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9docs\1903537\"/>
    </mc:Choice>
  </mc:AlternateContent>
  <bookViews>
    <workbookView xWindow="0" yWindow="0" windowWidth="19125" windowHeight="11520"/>
  </bookViews>
  <sheets>
    <sheet name="Table 1" sheetId="25" r:id="rId1"/>
    <sheet name="Table 2" sheetId="66" r:id="rId2"/>
    <sheet name="Table 4" sheetId="28" r:id="rId3"/>
    <sheet name="Table 5" sheetId="31" r:id="rId4"/>
    <sheet name="Table 3 TransCost D2 " sheetId="47" state="hidden" r:id="rId5"/>
    <sheet name="Table 3 UT Wind 2030" sheetId="63" state="hidden" r:id="rId6"/>
    <sheet name="Table 3 DJ Wind 2030" sheetId="42" state="hidden" r:id="rId7"/>
    <sheet name="Table 3 ID Wind 2030" sheetId="64" state="hidden" r:id="rId8"/>
    <sheet name="Table 3 ID Wind 2033" sheetId="44" state="hidden" r:id="rId9"/>
    <sheet name="Table 3 UT Wind 2036" sheetId="50" state="hidden" r:id="rId10"/>
    <sheet name="Table 3 WW Wind 2035" sheetId="52" state="hidden" r:id="rId11"/>
    <sheet name="Table 3 YK Wind 2035" sheetId="53" state="hidden" r:id="rId12"/>
    <sheet name="Table 3 OR Wind 2035" sheetId="54" state="hidden" r:id="rId13"/>
    <sheet name="Table 3 YK Solar 2030" sheetId="41" state="hidden" r:id="rId14"/>
    <sheet name="Table 3 YK Solar 2032" sheetId="56" state="hidden" r:id="rId15"/>
    <sheet name="Table 3 YK Solar 2033" sheetId="57" state="hidden" r:id="rId16"/>
    <sheet name="Table 3 UT Solar 2033 ST" sheetId="40" state="hidden" r:id="rId17"/>
    <sheet name="Table 3 UT Solar 2035 ST" sheetId="62" state="hidden" r:id="rId18"/>
    <sheet name="Table 3 UT Solar 2035 FT" sheetId="55" state="hidden" r:id="rId19"/>
    <sheet name="Table 3 OR Solar 2030" sheetId="58" state="hidden" r:id="rId20"/>
    <sheet name="Table 3 OR Solar 2031" sheetId="59" state="hidden" r:id="rId21"/>
    <sheet name="Table 3 OR Solar 2032" sheetId="60" state="hidden" r:id="rId22"/>
    <sheet name="Table 3 OR Solar 2033" sheetId="61" state="hidden" r:id="rId23"/>
    <sheet name="Table 3 EV2020 Wind_2020" sheetId="43" state="hidden" r:id="rId24"/>
    <sheet name="Table 3 EV2020 Wind_2021" sheetId="49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00_SCCT_UtahN" localSheetId="1">'[1]Table 1'!$I$19</definedName>
    <definedName name="_200_SCCT_UtahN">'Table 1'!$I$19</definedName>
    <definedName name="_200_SCCT_WYNE">'Table 1'!$I$21</definedName>
    <definedName name="_30_Geo_West" localSheetId="1">'[1]Table 1'!$I$17</definedName>
    <definedName name="_30_Geo_West" localSheetId="4">'Table 1'!$I$17</definedName>
    <definedName name="_30_Geo_West">'Table 1'!$I$17</definedName>
    <definedName name="_436_CCCT_WestMain" localSheetId="1">'[1]Table 1'!$I$18</definedName>
    <definedName name="_436_CCCT_WestMain" localSheetId="4">'Table 1'!$I$18</definedName>
    <definedName name="_436_CCCT_WestMain">'Table 1'!$I$18</definedName>
    <definedName name="_477_CCCT_WestMain" localSheetId="1">'Table 1'!$I$18</definedName>
    <definedName name="_477_CCCT_WestMain">'[2]Table 1'!$I$18</definedName>
    <definedName name="_477_CCCT_WYNE">'Table 1'!$I$20</definedName>
    <definedName name="_635_CCCT_UtahS" localSheetId="1">'Table 1'!$I$19</definedName>
    <definedName name="_635_CCCT_UtahS">'[2]Table 1'!$I$19</definedName>
    <definedName name="_635_CCCT_WyoNE" localSheetId="1">'Table 1'!$I$17</definedName>
    <definedName name="_635_CCCT_WyoNE">'[2]Table 1'!$I$17</definedName>
    <definedName name="_774_Wind_IDGoshen">'Table 1'!$I$23</definedName>
    <definedName name="_85_Wind_DJ_2031">'Table 1'!$I$22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23" hidden="1">{"PRINT",#N/A,TRUE,"APPA";"PRINT",#N/A,TRUE,"APS";"PRINT",#N/A,TRUE,"BHPL";"PRINT",#N/A,TRUE,"BHPL2";"PRINT",#N/A,TRUE,"CDWR";"PRINT",#N/A,TRUE,"EWEB";"PRINT",#N/A,TRUE,"LADWP";"PRINT",#N/A,TRUE,"NEVBASE"}</definedName>
    <definedName name="_j1" localSheetId="24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23" hidden="1">{"PRINT",#N/A,TRUE,"APPA";"PRINT",#N/A,TRUE,"APS";"PRINT",#N/A,TRUE,"BHPL";"PRINT",#N/A,TRUE,"BHPL2";"PRINT",#N/A,TRUE,"CDWR";"PRINT",#N/A,TRUE,"EWEB";"PRINT",#N/A,TRUE,"LADWP";"PRINT",#N/A,TRUE,"NEVBASE"}</definedName>
    <definedName name="_j2" localSheetId="24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23" hidden="1">{"PRINT",#N/A,TRUE,"APPA";"PRINT",#N/A,TRUE,"APS";"PRINT",#N/A,TRUE,"BHPL";"PRINT",#N/A,TRUE,"BHPL2";"PRINT",#N/A,TRUE,"CDWR";"PRINT",#N/A,TRUE,"EWEB";"PRINT",#N/A,TRUE,"LADWP";"PRINT",#N/A,TRUE,"NEVBASE"}</definedName>
    <definedName name="_j3" localSheetId="24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23" hidden="1">{"PRINT",#N/A,TRUE,"APPA";"PRINT",#N/A,TRUE,"APS";"PRINT",#N/A,TRUE,"BHPL";"PRINT",#N/A,TRUE,"BHPL2";"PRINT",#N/A,TRUE,"CDWR";"PRINT",#N/A,TRUE,"EWEB";"PRINT",#N/A,TRUE,"LADWP";"PRINT",#N/A,TRUE,"NEVBASE"}</definedName>
    <definedName name="_j4" localSheetId="24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23" hidden="1">{"PRINT",#N/A,TRUE,"APPA";"PRINT",#N/A,TRUE,"APS";"PRINT",#N/A,TRUE,"BHPL";"PRINT",#N/A,TRUE,"BHPL2";"PRINT",#N/A,TRUE,"CDWR";"PRINT",#N/A,TRUE,"EWEB";"PRINT",#N/A,TRUE,"LADWP";"PRINT",#N/A,TRUE,"NEVBASE"}</definedName>
    <definedName name="_j5" localSheetId="24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1">'[1]Table 1'!#REF!</definedName>
    <definedName name="_Percent_Last_CCCT">'[3]Table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1'!$I$35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>'[4]on off peak hours'!$C$15:$ED$15</definedName>
    <definedName name="Discount_Rate">'Table 1'!$I$39</definedName>
    <definedName name="Discount_Rate_2015_IRP" localSheetId="23">'[5]Table 7 to 8'!$AE$43</definedName>
    <definedName name="Discount_Rate_2015_IRP" localSheetId="24">'[5]Table 7 to 8'!$AE$43</definedName>
    <definedName name="Discount_Rate_2015_IRP" localSheetId="7">'[5]Table 7 to 8'!$AE$43</definedName>
    <definedName name="Discount_Rate_2015_IRP" localSheetId="8">'[5]Table 7 to 8'!$AE$43</definedName>
    <definedName name="Discount_Rate_2015_IRP" localSheetId="19">'[5]Table 7 to 8'!$AE$43</definedName>
    <definedName name="Discount_Rate_2015_IRP" localSheetId="20">'[5]Table 7 to 8'!$AE$43</definedName>
    <definedName name="Discount_Rate_2015_IRP" localSheetId="21">'[5]Table 7 to 8'!$AE$43</definedName>
    <definedName name="Discount_Rate_2015_IRP" localSheetId="22">'[5]Table 7 to 8'!$AE$43</definedName>
    <definedName name="Discount_Rate_2015_IRP" localSheetId="12">'[5]Table 7 to 8'!$AE$43</definedName>
    <definedName name="Discount_Rate_2015_IRP" localSheetId="4">'[5]Table 7 to 8'!$AE$43</definedName>
    <definedName name="Discount_Rate_2015_IRP" localSheetId="16">'[5]Table 7 to 8'!$AE$43</definedName>
    <definedName name="Discount_Rate_2015_IRP" localSheetId="18">'[5]Table 7 to 8'!$AE$43</definedName>
    <definedName name="Discount_Rate_2015_IRP" localSheetId="17">'[5]Table 7 to 8'!$AE$43</definedName>
    <definedName name="Discount_Rate_2015_IRP" localSheetId="5">'[5]Table 7 to 8'!$AE$43</definedName>
    <definedName name="Discount_Rate_2015_IRP" localSheetId="9">'[5]Table 7 to 8'!$AE$43</definedName>
    <definedName name="Discount_Rate_2015_IRP" localSheetId="10">'[5]Table 7 to 8'!$AE$43</definedName>
    <definedName name="Discount_Rate_2015_IRP" localSheetId="13">'[5]Table 7 to 8'!$AE$43</definedName>
    <definedName name="Discount_Rate_2015_IRP" localSheetId="14">'[5]Table 7 to 8'!$AE$43</definedName>
    <definedName name="Discount_Rate_2015_IRP" localSheetId="15">'[5]Table 7 to 8'!$AE$43</definedName>
    <definedName name="Discount_Rate_2015_IRP" localSheetId="11">'[5]Table 7 to 8'!$AE$43</definedName>
    <definedName name="DispatchSum">"GRID Thermal Generation!R2C1:R4C2"</definedName>
    <definedName name="FixedSolar_Capacity_Contr">'[6]Exhibit 3- Std FixedSolar QF'!$G$53</definedName>
    <definedName name="HoursHoliday">'[4]on off peak hours'!$C$16:$ED$20</definedName>
    <definedName name="Market" localSheetId="6">'[7]OFPC Source'!$J$8:$M$295</definedName>
    <definedName name="Market" localSheetId="23">'[7]OFPC Source'!$J$8:$M$295</definedName>
    <definedName name="Market" localSheetId="24">'[7]OFPC Source'!$J$8:$M$295</definedName>
    <definedName name="Market" localSheetId="7">'[7]OFPC Source'!$J$8:$M$295</definedName>
    <definedName name="Market" localSheetId="8">'[7]OFPC Source'!$J$8:$M$295</definedName>
    <definedName name="Market" localSheetId="19">'[7]OFPC Source'!$J$8:$M$295</definedName>
    <definedName name="Market" localSheetId="20">'[7]OFPC Source'!$J$8:$M$295</definedName>
    <definedName name="Market" localSheetId="21">'[7]OFPC Source'!$J$8:$M$295</definedName>
    <definedName name="Market" localSheetId="22">'[7]OFPC Source'!$J$8:$M$295</definedName>
    <definedName name="Market" localSheetId="12">'[7]OFPC Source'!$J$8:$M$295</definedName>
    <definedName name="Market" localSheetId="4">'[7]OFPC Source'!$J$8:$M$295</definedName>
    <definedName name="Market" localSheetId="16">'[7]OFPC Source'!$J$8:$M$295</definedName>
    <definedName name="Market" localSheetId="18">'[7]OFPC Source'!$J$8:$M$295</definedName>
    <definedName name="Market" localSheetId="17">'[7]OFPC Source'!$J$8:$M$295</definedName>
    <definedName name="Market" localSheetId="5">'[7]OFPC Source'!$J$8:$M$295</definedName>
    <definedName name="Market" localSheetId="9">'[7]OFPC Source'!$J$8:$M$295</definedName>
    <definedName name="Market" localSheetId="10">'[7]OFPC Source'!$J$8:$M$295</definedName>
    <definedName name="Market" localSheetId="13">'[7]OFPC Source'!$J$8:$M$295</definedName>
    <definedName name="Market" localSheetId="14">'[7]OFPC Source'!$J$8:$M$295</definedName>
    <definedName name="Market" localSheetId="15">'[7]OFPC Source'!$J$8:$M$295</definedName>
    <definedName name="Market" localSheetId="11">'[7]OFPC Source'!$J$8:$M$295</definedName>
    <definedName name="Market">'[6]OFPC Source'!$J$8:$M$295</definedName>
    <definedName name="MidC_Flat" localSheetId="1">[8]Market_Price!#REF!</definedName>
    <definedName name="MidC_Flat">[8]Market_Price!#REF!</definedName>
    <definedName name="OR_AC_price" localSheetId="1">#REF!</definedName>
    <definedName name="OR_AC_price">#REF!</definedName>
    <definedName name="_xlnm.Print_Area" localSheetId="0">'Table 1'!$A$1:$H$57</definedName>
    <definedName name="_xlnm.Print_Area" localSheetId="1">'Table 2'!$B$1:$P$36</definedName>
    <definedName name="_xlnm.Print_Area" localSheetId="6">'Table 3 DJ Wind 2030'!$A$1:$K$74</definedName>
    <definedName name="_xlnm.Print_Area" localSheetId="23">'Table 3 EV2020 Wind_2020'!$A$1:$M$74</definedName>
    <definedName name="_xlnm.Print_Area" localSheetId="24">'Table 3 EV2020 Wind_2021'!$A$1:$M$74</definedName>
    <definedName name="_xlnm.Print_Area" localSheetId="7">'Table 3 ID Wind 2030'!$A$1:$K$74</definedName>
    <definedName name="_xlnm.Print_Area" localSheetId="8">'Table 3 ID Wind 2033'!$A$1:$K$74</definedName>
    <definedName name="_xlnm.Print_Area" localSheetId="19">'Table 3 OR Solar 2030'!$A$1:$K$74</definedName>
    <definedName name="_xlnm.Print_Area" localSheetId="20">'Table 3 OR Solar 2031'!$A$1:$K$74</definedName>
    <definedName name="_xlnm.Print_Area" localSheetId="21">'Table 3 OR Solar 2032'!$A$1:$K$74</definedName>
    <definedName name="_xlnm.Print_Area" localSheetId="22">'Table 3 OR Solar 2033'!$A$1:$K$74</definedName>
    <definedName name="_xlnm.Print_Area" localSheetId="12">'Table 3 OR Wind 2035'!$A$1:$K$74</definedName>
    <definedName name="_xlnm.Print_Area" localSheetId="4">'Table 3 TransCost D2 '!$A$1:$K$49</definedName>
    <definedName name="_xlnm.Print_Area" localSheetId="16">'Table 3 UT Solar 2033 ST'!$A$1:$K$74</definedName>
    <definedName name="_xlnm.Print_Area" localSheetId="18">'Table 3 UT Solar 2035 FT'!$A$1:$K$74</definedName>
    <definedName name="_xlnm.Print_Area" localSheetId="17">'Table 3 UT Solar 2035 ST'!$A$1:$K$74</definedName>
    <definedName name="_xlnm.Print_Area" localSheetId="5">'Table 3 UT Wind 2030'!$A$1:$K$74</definedName>
    <definedName name="_xlnm.Print_Area" localSheetId="9">'Table 3 UT Wind 2036'!$A$1:$K$74</definedName>
    <definedName name="_xlnm.Print_Area" localSheetId="10">'Table 3 WW Wind 2035'!$A$1:$K$74</definedName>
    <definedName name="_xlnm.Print_Area" localSheetId="13">'Table 3 YK Solar 2030'!$A$1:$K$74</definedName>
    <definedName name="_xlnm.Print_Area" localSheetId="14">'Table 3 YK Solar 2032'!$A$1:$K$74</definedName>
    <definedName name="_xlnm.Print_Area" localSheetId="15">'Table 3 YK Solar 2033'!$A$1:$K$74</definedName>
    <definedName name="_xlnm.Print_Area" localSheetId="11">'Table 3 YK Wind 2035'!$A$1:$K$74</definedName>
    <definedName name="_xlnm.Print_Area" localSheetId="2">'Table 4'!$A$1:$E$44</definedName>
    <definedName name="_xlnm.Print_Area" localSheetId="3">'Table 5'!$A$1:$H$266</definedName>
    <definedName name="_xlnm.Print_Titles" localSheetId="1">'Table 2'!$1:$9</definedName>
    <definedName name="RenewableMarketShape" localSheetId="6">'[7]OFPC Source'!$P$5:$U$28</definedName>
    <definedName name="RenewableMarketShape" localSheetId="23">'[7]OFPC Source'!$P$5:$U$28</definedName>
    <definedName name="RenewableMarketShape" localSheetId="24">'[7]OFPC Source'!$P$5:$U$28</definedName>
    <definedName name="RenewableMarketShape" localSheetId="7">'[7]OFPC Source'!$P$5:$U$28</definedName>
    <definedName name="RenewableMarketShape" localSheetId="8">'[7]OFPC Source'!$P$5:$U$28</definedName>
    <definedName name="RenewableMarketShape" localSheetId="19">'[7]OFPC Source'!$P$5:$U$28</definedName>
    <definedName name="RenewableMarketShape" localSheetId="20">'[7]OFPC Source'!$P$5:$U$28</definedName>
    <definedName name="RenewableMarketShape" localSheetId="21">'[7]OFPC Source'!$P$5:$U$28</definedName>
    <definedName name="RenewableMarketShape" localSheetId="22">'[7]OFPC Source'!$P$5:$U$28</definedName>
    <definedName name="RenewableMarketShape" localSheetId="12">'[7]OFPC Source'!$P$5:$U$28</definedName>
    <definedName name="RenewableMarketShape" localSheetId="4">'[7]OFPC Source'!$P$5:$U$28</definedName>
    <definedName name="RenewableMarketShape" localSheetId="16">'[7]OFPC Source'!$P$5:$U$28</definedName>
    <definedName name="RenewableMarketShape" localSheetId="18">'[7]OFPC Source'!$P$5:$U$28</definedName>
    <definedName name="RenewableMarketShape" localSheetId="17">'[7]OFPC Source'!$P$5:$U$28</definedName>
    <definedName name="RenewableMarketShape" localSheetId="5">'[7]OFPC Source'!$P$5:$U$28</definedName>
    <definedName name="RenewableMarketShape" localSheetId="9">'[7]OFPC Source'!$P$5:$U$28</definedName>
    <definedName name="RenewableMarketShape" localSheetId="10">'[7]OFPC Source'!$P$5:$U$28</definedName>
    <definedName name="RenewableMarketShape" localSheetId="13">'[7]OFPC Source'!$P$5:$U$28</definedName>
    <definedName name="RenewableMarketShape" localSheetId="14">'[7]OFPC Source'!$P$5:$U$28</definedName>
    <definedName name="RenewableMarketShape" localSheetId="15">'[7]OFPC Source'!$P$5:$U$28</definedName>
    <definedName name="RenewableMarketShape" localSheetId="11">'[7]OFPC Source'!$P$5:$U$28</definedName>
    <definedName name="RenewableMarketShape">'[6]OFPC Source'!$P$5:$U$33</definedName>
    <definedName name="RevenueSum">"GRID Thermal Revenue!R2C1:R4C2"</definedName>
    <definedName name="Solar_Fixed_integr_cost">'[9]Table 10'!$B$46</definedName>
    <definedName name="Solar_HLH" localSheetId="6">'[7]OFPC Source'!$U$47</definedName>
    <definedName name="Solar_HLH" localSheetId="23">'[7]OFPC Source'!$U$47</definedName>
    <definedName name="Solar_HLH" localSheetId="24">'[7]OFPC Source'!$U$47</definedName>
    <definedName name="Solar_HLH" localSheetId="7">'[7]OFPC Source'!$U$47</definedName>
    <definedName name="Solar_HLH" localSheetId="8">'[7]OFPC Source'!$U$47</definedName>
    <definedName name="Solar_HLH" localSheetId="19">'[7]OFPC Source'!$U$47</definedName>
    <definedName name="Solar_HLH" localSheetId="20">'[7]OFPC Source'!$U$47</definedName>
    <definedName name="Solar_HLH" localSheetId="21">'[7]OFPC Source'!$U$47</definedName>
    <definedName name="Solar_HLH" localSheetId="22">'[7]OFPC Source'!$U$47</definedName>
    <definedName name="Solar_HLH" localSheetId="12">'[7]OFPC Source'!$U$47</definedName>
    <definedName name="Solar_HLH" localSheetId="4">'[7]OFPC Source'!$U$47</definedName>
    <definedName name="Solar_HLH" localSheetId="16">'[7]OFPC Source'!$U$47</definedName>
    <definedName name="Solar_HLH" localSheetId="18">'[7]OFPC Source'!$U$47</definedName>
    <definedName name="Solar_HLH" localSheetId="17">'[7]OFPC Source'!$U$47</definedName>
    <definedName name="Solar_HLH" localSheetId="5">'[7]OFPC Source'!$U$47</definedName>
    <definedName name="Solar_HLH" localSheetId="9">'[7]OFPC Source'!$U$47</definedName>
    <definedName name="Solar_HLH" localSheetId="10">'[7]OFPC Source'!$U$47</definedName>
    <definedName name="Solar_HLH" localSheetId="13">'[7]OFPC Source'!$U$47</definedName>
    <definedName name="Solar_HLH" localSheetId="14">'[7]OFPC Source'!$U$47</definedName>
    <definedName name="Solar_HLH" localSheetId="15">'[7]OFPC Source'!$U$47</definedName>
    <definedName name="Solar_HLH" localSheetId="11">'[7]OFPC Source'!$U$47</definedName>
    <definedName name="Solar_HLH">'[6]OFPC Source'!$U$48</definedName>
    <definedName name="Solar_LLH" localSheetId="6">'[7]OFPC Source'!$V$47</definedName>
    <definedName name="Solar_LLH" localSheetId="23">'[7]OFPC Source'!$V$47</definedName>
    <definedName name="Solar_LLH" localSheetId="24">'[7]OFPC Source'!$V$47</definedName>
    <definedName name="Solar_LLH" localSheetId="7">'[7]OFPC Source'!$V$47</definedName>
    <definedName name="Solar_LLH" localSheetId="8">'[7]OFPC Source'!$V$47</definedName>
    <definedName name="Solar_LLH" localSheetId="19">'[7]OFPC Source'!$V$47</definedName>
    <definedName name="Solar_LLH" localSheetId="20">'[7]OFPC Source'!$V$47</definedName>
    <definedName name="Solar_LLH" localSheetId="21">'[7]OFPC Source'!$V$47</definedName>
    <definedName name="Solar_LLH" localSheetId="22">'[7]OFPC Source'!$V$47</definedName>
    <definedName name="Solar_LLH" localSheetId="12">'[7]OFPC Source'!$V$47</definedName>
    <definedName name="Solar_LLH" localSheetId="4">'[7]OFPC Source'!$V$47</definedName>
    <definedName name="Solar_LLH" localSheetId="16">'[7]OFPC Source'!$V$47</definedName>
    <definedName name="Solar_LLH" localSheetId="18">'[7]OFPC Source'!$V$47</definedName>
    <definedName name="Solar_LLH" localSheetId="17">'[7]OFPC Source'!$V$47</definedName>
    <definedName name="Solar_LLH" localSheetId="5">'[7]OFPC Source'!$V$47</definedName>
    <definedName name="Solar_LLH" localSheetId="9">'[7]OFPC Source'!$V$47</definedName>
    <definedName name="Solar_LLH" localSheetId="10">'[7]OFPC Source'!$V$47</definedName>
    <definedName name="Solar_LLH" localSheetId="13">'[7]OFPC Source'!$V$47</definedName>
    <definedName name="Solar_LLH" localSheetId="14">'[7]OFPC Source'!$V$47</definedName>
    <definedName name="Solar_LLH" localSheetId="15">'[7]OFPC Source'!$V$47</definedName>
    <definedName name="Solar_LLH" localSheetId="11">'[7]OFPC Source'!$V$47</definedName>
    <definedName name="Solar_LLH">'[6]OFPC Source'!$V$48</definedName>
    <definedName name="Solar_Tracking_integr_cost">'[9]Table 10'!$B$45</definedName>
    <definedName name="Study_Cap_Adj" localSheetId="1">'Table 1'!$I$8</definedName>
    <definedName name="Study_Cap_Adj" localSheetId="4">'Table 1'!$I$8</definedName>
    <definedName name="Study_Cap_Adj">'Table 1'!$I$8</definedName>
    <definedName name="Study_CF" localSheetId="1">'Table 5'!$M$7</definedName>
    <definedName name="Study_CF">'Table 5'!$M$7</definedName>
    <definedName name="Study_MW" localSheetId="1">'Table 5'!$M$6</definedName>
    <definedName name="Study_MW">'Table 5'!$M$6</definedName>
    <definedName name="Study_Name" localSheetId="6">[4]ImportData!$D$7</definedName>
    <definedName name="Study_Name" localSheetId="23">[4]ImportData!$D$7</definedName>
    <definedName name="Study_Name" localSheetId="24">[4]ImportData!$D$7</definedName>
    <definedName name="Study_Name" localSheetId="7">[4]ImportData!$D$7</definedName>
    <definedName name="Study_Name" localSheetId="8">[4]ImportData!$D$7</definedName>
    <definedName name="Study_Name" localSheetId="19">[4]ImportData!$D$7</definedName>
    <definedName name="Study_Name" localSheetId="20">[4]ImportData!$D$7</definedName>
    <definedName name="Study_Name" localSheetId="21">[4]ImportData!$D$7</definedName>
    <definedName name="Study_Name" localSheetId="22">[4]ImportData!$D$7</definedName>
    <definedName name="Study_Name" localSheetId="12">[4]ImportData!$D$7</definedName>
    <definedName name="Study_Name" localSheetId="4">[4]ImportData!$D$7</definedName>
    <definedName name="Study_Name" localSheetId="16">[4]ImportData!$D$7</definedName>
    <definedName name="Study_Name" localSheetId="18">[4]ImportData!$D$7</definedName>
    <definedName name="Study_Name" localSheetId="17">[4]ImportData!$D$7</definedName>
    <definedName name="Study_Name" localSheetId="5">[4]ImportData!$D$7</definedName>
    <definedName name="Study_Name" localSheetId="9">[4]ImportData!$D$7</definedName>
    <definedName name="Study_Name" localSheetId="10">[4]ImportData!$D$7</definedName>
    <definedName name="Study_Name" localSheetId="13">[4]ImportData!$D$7</definedName>
    <definedName name="Study_Name" localSheetId="14">[4]ImportData!$D$7</definedName>
    <definedName name="Study_Name" localSheetId="15">[4]ImportData!$D$7</definedName>
    <definedName name="Study_Name" localSheetId="11">[4]ImportData!$D$7</definedName>
    <definedName name="ValuationDate" localSheetId="1">#REF!</definedName>
    <definedName name="ValuationDate">#REF!</definedName>
    <definedName name="Wind_Capacity_Contr">'[6]Exhibit 2- Std Wind QF '!$E$57</definedName>
    <definedName name="Wind_Integration_Charge">'[6]Exhibit 2- Std Wind QF '!$E$45</definedName>
  </definedNames>
  <calcPr calcId="152511"/>
</workbook>
</file>

<file path=xl/calcChain.xml><?xml version="1.0" encoding="utf-8"?>
<calcChain xmlns="http://schemas.openxmlformats.org/spreadsheetml/2006/main">
  <c r="B38" i="25" l="1"/>
  <c r="B22" i="66" l="1"/>
  <c r="B21" i="66"/>
  <c r="B20" i="66"/>
  <c r="B19" i="66"/>
  <c r="B18" i="66"/>
  <c r="B17" i="66"/>
  <c r="B16" i="66"/>
  <c r="B15" i="66"/>
  <c r="B14" i="66"/>
  <c r="B13" i="66"/>
  <c r="O9" i="66"/>
  <c r="N9" i="66"/>
  <c r="M9" i="66"/>
  <c r="L9" i="66"/>
  <c r="K9" i="66"/>
  <c r="J9" i="66"/>
  <c r="I9" i="66"/>
  <c r="H9" i="66"/>
  <c r="G9" i="66"/>
  <c r="F9" i="66"/>
  <c r="E9" i="66"/>
  <c r="D9" i="66"/>
  <c r="C9" i="66"/>
  <c r="B9" i="66"/>
  <c r="A9" i="31" l="1"/>
  <c r="R6" i="31" l="1"/>
  <c r="H12" i="52" l="1"/>
  <c r="H13" i="52" s="1"/>
  <c r="H14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2" i="52" s="1"/>
  <c r="H33" i="52" s="1"/>
  <c r="H34" i="52" s="1"/>
  <c r="H35" i="52" s="1"/>
  <c r="H36" i="52" s="1"/>
  <c r="H12" i="61"/>
  <c r="H13" i="61" s="1"/>
  <c r="H14" i="61" s="1"/>
  <c r="H15" i="61" s="1"/>
  <c r="H16" i="61" s="1"/>
  <c r="H17" i="61" s="1"/>
  <c r="H18" i="61" s="1"/>
  <c r="H19" i="61" s="1"/>
  <c r="H20" i="61" s="1"/>
  <c r="H21" i="61" s="1"/>
  <c r="H22" i="61" s="1"/>
  <c r="H23" i="61" s="1"/>
  <c r="H24" i="61" s="1"/>
  <c r="H25" i="61" s="1"/>
  <c r="H26" i="61" s="1"/>
  <c r="H27" i="61" s="1"/>
  <c r="H28" i="61" s="1"/>
  <c r="H29" i="61" s="1"/>
  <c r="H30" i="61" s="1"/>
  <c r="H31" i="61" s="1"/>
  <c r="H32" i="61" s="1"/>
  <c r="H33" i="61" s="1"/>
  <c r="H34" i="61" s="1"/>
  <c r="H35" i="61" s="1"/>
  <c r="H36" i="61" s="1"/>
  <c r="H12" i="64"/>
  <c r="H13" i="64" s="1"/>
  <c r="H14" i="64" s="1"/>
  <c r="H15" i="64" s="1"/>
  <c r="H16" i="64" s="1"/>
  <c r="H17" i="64" s="1"/>
  <c r="H18" i="64" s="1"/>
  <c r="H19" i="64" s="1"/>
  <c r="H20" i="64" s="1"/>
  <c r="H21" i="64" s="1"/>
  <c r="H22" i="64" s="1"/>
  <c r="H23" i="64" s="1"/>
  <c r="H24" i="64" s="1"/>
  <c r="H25" i="64" s="1"/>
  <c r="H26" i="64" s="1"/>
  <c r="H27" i="64" s="1"/>
  <c r="H28" i="64" s="1"/>
  <c r="H29" i="64" s="1"/>
  <c r="H30" i="64" s="1"/>
  <c r="H31" i="64" s="1"/>
  <c r="H32" i="64" s="1"/>
  <c r="H33" i="64" s="1"/>
  <c r="H34" i="64" s="1"/>
  <c r="H35" i="64" s="1"/>
  <c r="H36" i="64" s="1"/>
  <c r="H12" i="53"/>
  <c r="H13" i="53" s="1"/>
  <c r="H14" i="53" s="1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H29" i="53" s="1"/>
  <c r="H30" i="53" s="1"/>
  <c r="H31" i="53" s="1"/>
  <c r="H32" i="53" s="1"/>
  <c r="H33" i="53" s="1"/>
  <c r="H34" i="53" s="1"/>
  <c r="H35" i="53" s="1"/>
  <c r="H36" i="53" s="1"/>
  <c r="H12" i="57"/>
  <c r="H13" i="57" s="1"/>
  <c r="H14" i="57" s="1"/>
  <c r="H15" i="57" s="1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H30" i="57" s="1"/>
  <c r="H31" i="57" s="1"/>
  <c r="H32" i="57" s="1"/>
  <c r="H33" i="57" s="1"/>
  <c r="H34" i="57" s="1"/>
  <c r="H35" i="57" s="1"/>
  <c r="H36" i="57" s="1"/>
  <c r="H12" i="58"/>
  <c r="H13" i="58" s="1"/>
  <c r="H14" i="58" s="1"/>
  <c r="H15" i="58" s="1"/>
  <c r="H16" i="58" s="1"/>
  <c r="H17" i="58" s="1"/>
  <c r="H18" i="58" s="1"/>
  <c r="H19" i="58" s="1"/>
  <c r="H20" i="58" s="1"/>
  <c r="H21" i="58" s="1"/>
  <c r="H22" i="58" s="1"/>
  <c r="H23" i="58" s="1"/>
  <c r="H24" i="58" s="1"/>
  <c r="H25" i="58" s="1"/>
  <c r="H26" i="58" s="1"/>
  <c r="H27" i="58" s="1"/>
  <c r="H28" i="58" s="1"/>
  <c r="H29" i="58" s="1"/>
  <c r="H30" i="58" s="1"/>
  <c r="H31" i="58" s="1"/>
  <c r="H32" i="58" s="1"/>
  <c r="H33" i="58" s="1"/>
  <c r="H34" i="58" s="1"/>
  <c r="H35" i="58" s="1"/>
  <c r="H36" i="58" s="1"/>
  <c r="H12" i="55"/>
  <c r="H13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2" i="55" s="1"/>
  <c r="H33" i="55" s="1"/>
  <c r="H34" i="55" s="1"/>
  <c r="H35" i="55" s="1"/>
  <c r="H36" i="55" s="1"/>
  <c r="H12" i="4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H12" i="62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H12" i="60"/>
  <c r="H13" i="60" s="1"/>
  <c r="H14" i="60" s="1"/>
  <c r="H15" i="60" s="1"/>
  <c r="H16" i="60" s="1"/>
  <c r="H17" i="60" s="1"/>
  <c r="H18" i="60" s="1"/>
  <c r="H19" i="60" s="1"/>
  <c r="H20" i="60" s="1"/>
  <c r="H21" i="60" s="1"/>
  <c r="H22" i="60" s="1"/>
  <c r="H23" i="60" s="1"/>
  <c r="H24" i="60" s="1"/>
  <c r="H25" i="60" s="1"/>
  <c r="H26" i="60" s="1"/>
  <c r="H27" i="60" s="1"/>
  <c r="H28" i="60" s="1"/>
  <c r="H29" i="60" s="1"/>
  <c r="H30" i="60" s="1"/>
  <c r="H31" i="60" s="1"/>
  <c r="H32" i="60" s="1"/>
  <c r="H33" i="60" s="1"/>
  <c r="H34" i="60" s="1"/>
  <c r="H35" i="60" s="1"/>
  <c r="H36" i="60" s="1"/>
  <c r="H12" i="56"/>
  <c r="H13" i="56" s="1"/>
  <c r="H14" i="56" s="1"/>
  <c r="H15" i="56" s="1"/>
  <c r="H16" i="56" s="1"/>
  <c r="H17" i="56" s="1"/>
  <c r="H18" i="56" s="1"/>
  <c r="H19" i="56" s="1"/>
  <c r="H20" i="56" s="1"/>
  <c r="H21" i="56" s="1"/>
  <c r="H22" i="56" s="1"/>
  <c r="H23" i="56" s="1"/>
  <c r="H24" i="56" s="1"/>
  <c r="H25" i="56" s="1"/>
  <c r="H26" i="56" s="1"/>
  <c r="H27" i="56" s="1"/>
  <c r="H28" i="56" s="1"/>
  <c r="H29" i="56" s="1"/>
  <c r="H30" i="56" s="1"/>
  <c r="H31" i="56" s="1"/>
  <c r="H32" i="56" s="1"/>
  <c r="H33" i="56" s="1"/>
  <c r="H34" i="56" s="1"/>
  <c r="H35" i="56" s="1"/>
  <c r="H36" i="56" s="1"/>
  <c r="H12" i="44"/>
  <c r="H13" i="44" s="1"/>
  <c r="H14" i="44" s="1"/>
  <c r="H15" i="44" s="1"/>
  <c r="H16" i="44" s="1"/>
  <c r="H17" i="44" s="1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2" i="44" s="1"/>
  <c r="H33" i="44" s="1"/>
  <c r="H34" i="44" s="1"/>
  <c r="H35" i="44" s="1"/>
  <c r="H36" i="44" s="1"/>
  <c r="H12" i="54"/>
  <c r="H13" i="54" s="1"/>
  <c r="H14" i="54" s="1"/>
  <c r="H15" i="54" s="1"/>
  <c r="H16" i="54" s="1"/>
  <c r="H17" i="54" s="1"/>
  <c r="H18" i="54" s="1"/>
  <c r="H19" i="54" s="1"/>
  <c r="H20" i="54" s="1"/>
  <c r="H21" i="54" s="1"/>
  <c r="H22" i="54" s="1"/>
  <c r="H23" i="54" s="1"/>
  <c r="H24" i="54" s="1"/>
  <c r="H25" i="54" s="1"/>
  <c r="H26" i="54" s="1"/>
  <c r="H27" i="54" s="1"/>
  <c r="H28" i="54" s="1"/>
  <c r="H29" i="54" s="1"/>
  <c r="H30" i="54" s="1"/>
  <c r="H31" i="54" s="1"/>
  <c r="H32" i="54" s="1"/>
  <c r="H33" i="54" s="1"/>
  <c r="H34" i="54" s="1"/>
  <c r="H35" i="54" s="1"/>
  <c r="H36" i="54" s="1"/>
  <c r="H12" i="40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H12" i="59"/>
  <c r="H13" i="59" s="1"/>
  <c r="H14" i="59" s="1"/>
  <c r="H15" i="59" s="1"/>
  <c r="H16" i="59" s="1"/>
  <c r="H17" i="59" s="1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2" i="59" s="1"/>
  <c r="H33" i="59" s="1"/>
  <c r="H34" i="59" s="1"/>
  <c r="H35" i="59" s="1"/>
  <c r="H36" i="59" s="1"/>
  <c r="L13" i="31" l="1"/>
  <c r="M14" i="31"/>
  <c r="B13" i="31"/>
  <c r="L14" i="31" l="1"/>
  <c r="BN9" i="25" l="1"/>
  <c r="BO9" i="25"/>
  <c r="CJ9" i="25" s="1"/>
  <c r="BJ9" i="25"/>
  <c r="CE9" i="25" s="1"/>
  <c r="BI9" i="25"/>
  <c r="AT9" i="25"/>
  <c r="AO9" i="25"/>
  <c r="C24" i="64"/>
  <c r="C68" i="64"/>
  <c r="C67" i="64"/>
  <c r="P11" i="64"/>
  <c r="D47" i="64"/>
  <c r="D46" i="64"/>
  <c r="K11" i="64"/>
  <c r="K12" i="64" s="1"/>
  <c r="K13" i="64" s="1"/>
  <c r="K14" i="64" s="1"/>
  <c r="K15" i="64" s="1"/>
  <c r="K16" i="64" s="1"/>
  <c r="K17" i="64" s="1"/>
  <c r="K18" i="64" s="1"/>
  <c r="K19" i="64" s="1"/>
  <c r="K20" i="64" s="1"/>
  <c r="K21" i="64" s="1"/>
  <c r="K22" i="64" s="1"/>
  <c r="K23" i="64" s="1"/>
  <c r="K24" i="64" s="1"/>
  <c r="K25" i="64" s="1"/>
  <c r="K26" i="64" s="1"/>
  <c r="K27" i="64" s="1"/>
  <c r="K28" i="64" s="1"/>
  <c r="K29" i="64" s="1"/>
  <c r="K30" i="64" s="1"/>
  <c r="K31" i="64" s="1"/>
  <c r="K32" i="64" s="1"/>
  <c r="K33" i="64" s="1"/>
  <c r="K34" i="64" s="1"/>
  <c r="K35" i="64" s="1"/>
  <c r="K36" i="64" s="1"/>
  <c r="E11" i="64"/>
  <c r="E12" i="64" s="1"/>
  <c r="E13" i="64" s="1"/>
  <c r="E14" i="64" s="1"/>
  <c r="E15" i="64" s="1"/>
  <c r="E16" i="64" s="1"/>
  <c r="E17" i="64" s="1"/>
  <c r="E18" i="64" s="1"/>
  <c r="E19" i="64" s="1"/>
  <c r="E20" i="64" s="1"/>
  <c r="E21" i="64" s="1"/>
  <c r="E22" i="64" s="1"/>
  <c r="E23" i="64" s="1"/>
  <c r="E24" i="64" s="1"/>
  <c r="E25" i="64" s="1"/>
  <c r="E26" i="64" s="1"/>
  <c r="E27" i="64" s="1"/>
  <c r="E28" i="64" s="1"/>
  <c r="E29" i="64" s="1"/>
  <c r="E30" i="64" s="1"/>
  <c r="E31" i="64" s="1"/>
  <c r="E32" i="64" s="1"/>
  <c r="E33" i="64" s="1"/>
  <c r="E34" i="64" s="1"/>
  <c r="E35" i="64" s="1"/>
  <c r="E36" i="64" s="1"/>
  <c r="D49" i="64"/>
  <c r="C49" i="64"/>
  <c r="D48" i="64"/>
  <c r="C48" i="64"/>
  <c r="C47" i="64"/>
  <c r="C46" i="64"/>
  <c r="C45" i="64"/>
  <c r="H11" i="64"/>
  <c r="G11" i="64"/>
  <c r="G12" i="64" s="1"/>
  <c r="G13" i="64" s="1"/>
  <c r="G14" i="64" s="1"/>
  <c r="G15" i="64" s="1"/>
  <c r="G16" i="64" s="1"/>
  <c r="G17" i="64" s="1"/>
  <c r="G18" i="64" s="1"/>
  <c r="G19" i="64" s="1"/>
  <c r="G20" i="64" s="1"/>
  <c r="G21" i="64" s="1"/>
  <c r="G22" i="64" s="1"/>
  <c r="G23" i="64" s="1"/>
  <c r="G24" i="64" s="1"/>
  <c r="G25" i="64" s="1"/>
  <c r="G26" i="64" s="1"/>
  <c r="G27" i="64" s="1"/>
  <c r="G28" i="64" s="1"/>
  <c r="G29" i="64" s="1"/>
  <c r="G30" i="64" s="1"/>
  <c r="G31" i="64" s="1"/>
  <c r="G32" i="64" s="1"/>
  <c r="G33" i="64" s="1"/>
  <c r="G34" i="64" s="1"/>
  <c r="G35" i="64" s="1"/>
  <c r="G36" i="64" s="1"/>
  <c r="B11" i="64"/>
  <c r="B12" i="64" s="1"/>
  <c r="B13" i="64" s="1"/>
  <c r="B14" i="64" s="1"/>
  <c r="B15" i="64" s="1"/>
  <c r="B16" i="64" s="1"/>
  <c r="B17" i="64" s="1"/>
  <c r="B18" i="64" s="1"/>
  <c r="B19" i="64" s="1"/>
  <c r="B20" i="64" s="1"/>
  <c r="B21" i="64" s="1"/>
  <c r="B22" i="64" s="1"/>
  <c r="B23" i="64" s="1"/>
  <c r="B24" i="64" s="1"/>
  <c r="B25" i="64" s="1"/>
  <c r="B26" i="64" s="1"/>
  <c r="B27" i="64" s="1"/>
  <c r="B28" i="64" s="1"/>
  <c r="B29" i="64" s="1"/>
  <c r="B30" i="64" s="1"/>
  <c r="B31" i="64" s="1"/>
  <c r="B32" i="64" s="1"/>
  <c r="B33" i="64" s="1"/>
  <c r="B34" i="64" s="1"/>
  <c r="B35" i="64" s="1"/>
  <c r="B36" i="64" s="1"/>
  <c r="P10" i="64"/>
  <c r="C24" i="63"/>
  <c r="D24" i="64" l="1"/>
  <c r="D25" i="64" s="1"/>
  <c r="D26" i="64" s="1"/>
  <c r="D27" i="64" s="1"/>
  <c r="D28" i="64" s="1"/>
  <c r="D29" i="64" s="1"/>
  <c r="D30" i="64" s="1"/>
  <c r="D31" i="64" s="1"/>
  <c r="D32" i="64" s="1"/>
  <c r="D33" i="64" s="1"/>
  <c r="D34" i="64" s="1"/>
  <c r="D35" i="64" s="1"/>
  <c r="D36" i="64" s="1"/>
  <c r="P12" i="64"/>
  <c r="P13" i="64" s="1"/>
  <c r="F11" i="64"/>
  <c r="I11" i="64" s="1"/>
  <c r="J11" i="64" s="1"/>
  <c r="B3" i="64"/>
  <c r="C52" i="64" s="1"/>
  <c r="B9" i="64" s="1"/>
  <c r="C69" i="64"/>
  <c r="C70" i="64" l="1"/>
  <c r="F12" i="64"/>
  <c r="I12" i="64" s="1"/>
  <c r="J12" i="64" s="1"/>
  <c r="F13" i="64" l="1"/>
  <c r="I13" i="64" s="1"/>
  <c r="J13" i="64" s="1"/>
  <c r="P14" i="64"/>
  <c r="C71" i="64"/>
  <c r="C72" i="64" l="1"/>
  <c r="P15" i="64"/>
  <c r="F14" i="64"/>
  <c r="I14" i="64" s="1"/>
  <c r="J14" i="64" s="1"/>
  <c r="P16" i="64" l="1"/>
  <c r="F15" i="64"/>
  <c r="I15" i="64" s="1"/>
  <c r="J15" i="64" s="1"/>
  <c r="C73" i="64"/>
  <c r="C74" i="64" l="1"/>
  <c r="F16" i="64"/>
  <c r="I16" i="64" s="1"/>
  <c r="J16" i="64" s="1"/>
  <c r="P17" i="64"/>
  <c r="C67" i="63"/>
  <c r="C68" i="63" s="1"/>
  <c r="H11" i="63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B3" i="63"/>
  <c r="C52" i="63" s="1"/>
  <c r="B9" i="63" s="1"/>
  <c r="G11" i="63"/>
  <c r="G12" i="63" s="1"/>
  <c r="G13" i="63" s="1"/>
  <c r="G14" i="63" s="1"/>
  <c r="G15" i="63" s="1"/>
  <c r="G16" i="63" s="1"/>
  <c r="G17" i="63" s="1"/>
  <c r="G18" i="63" s="1"/>
  <c r="G19" i="63" s="1"/>
  <c r="G20" i="63" s="1"/>
  <c r="G21" i="63" s="1"/>
  <c r="G22" i="63" s="1"/>
  <c r="G23" i="63" s="1"/>
  <c r="G24" i="63" s="1"/>
  <c r="G25" i="63" s="1"/>
  <c r="G26" i="63" s="1"/>
  <c r="G27" i="63" s="1"/>
  <c r="G28" i="63" s="1"/>
  <c r="G29" i="63" s="1"/>
  <c r="G30" i="63" s="1"/>
  <c r="G31" i="63" s="1"/>
  <c r="G32" i="63" s="1"/>
  <c r="G33" i="63" s="1"/>
  <c r="G34" i="63" s="1"/>
  <c r="G35" i="63" s="1"/>
  <c r="G36" i="63" s="1"/>
  <c r="K11" i="63"/>
  <c r="K12" i="63" s="1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K26" i="63" s="1"/>
  <c r="K27" i="63" s="1"/>
  <c r="K28" i="63" s="1"/>
  <c r="K29" i="63" s="1"/>
  <c r="K30" i="63" s="1"/>
  <c r="K31" i="63" s="1"/>
  <c r="K32" i="63" s="1"/>
  <c r="K33" i="63" s="1"/>
  <c r="K34" i="63" s="1"/>
  <c r="K35" i="63" s="1"/>
  <c r="K36" i="63" s="1"/>
  <c r="E11" i="63"/>
  <c r="C49" i="63"/>
  <c r="D48" i="63"/>
  <c r="C48" i="63"/>
  <c r="C47" i="63"/>
  <c r="C46" i="63"/>
  <c r="C45" i="63"/>
  <c r="D44" i="63"/>
  <c r="D49" i="63" s="1"/>
  <c r="B12" i="63"/>
  <c r="B13" i="63" s="1"/>
  <c r="B14" i="63" s="1"/>
  <c r="B15" i="63" s="1"/>
  <c r="B16" i="63" s="1"/>
  <c r="B17" i="63" s="1"/>
  <c r="B18" i="63" s="1"/>
  <c r="B19" i="63" s="1"/>
  <c r="B20" i="63" s="1"/>
  <c r="B21" i="63" s="1"/>
  <c r="B22" i="63" s="1"/>
  <c r="B23" i="63" s="1"/>
  <c r="B24" i="63" s="1"/>
  <c r="B25" i="63" s="1"/>
  <c r="B26" i="63" s="1"/>
  <c r="B27" i="63" s="1"/>
  <c r="B28" i="63" s="1"/>
  <c r="B29" i="63" s="1"/>
  <c r="B30" i="63" s="1"/>
  <c r="B31" i="63" s="1"/>
  <c r="B32" i="63" s="1"/>
  <c r="B33" i="63" s="1"/>
  <c r="B34" i="63" s="1"/>
  <c r="B35" i="63" s="1"/>
  <c r="B36" i="63" s="1"/>
  <c r="B11" i="63"/>
  <c r="P10" i="63"/>
  <c r="F11" i="63" l="1"/>
  <c r="I11" i="63" s="1"/>
  <c r="J11" i="63" s="1"/>
  <c r="E12" i="63"/>
  <c r="E13" i="63" s="1"/>
  <c r="E14" i="63" s="1"/>
  <c r="E15" i="63" s="1"/>
  <c r="E16" i="63" s="1"/>
  <c r="E17" i="63" s="1"/>
  <c r="E18" i="63" s="1"/>
  <c r="E19" i="63" s="1"/>
  <c r="E20" i="63" s="1"/>
  <c r="E21" i="63" s="1"/>
  <c r="E22" i="63" s="1"/>
  <c r="E23" i="63" s="1"/>
  <c r="E24" i="63" s="1"/>
  <c r="E25" i="63" s="1"/>
  <c r="E26" i="63" s="1"/>
  <c r="E27" i="63" s="1"/>
  <c r="E28" i="63" s="1"/>
  <c r="E29" i="63" s="1"/>
  <c r="E30" i="63" s="1"/>
  <c r="E31" i="63" s="1"/>
  <c r="E32" i="63" s="1"/>
  <c r="E33" i="63" s="1"/>
  <c r="E34" i="63" s="1"/>
  <c r="E35" i="63" s="1"/>
  <c r="E36" i="63" s="1"/>
  <c r="D47" i="63"/>
  <c r="P11" i="63"/>
  <c r="D46" i="63"/>
  <c r="D24" i="63"/>
  <c r="D25" i="63" s="1"/>
  <c r="D26" i="63" s="1"/>
  <c r="D27" i="63" s="1"/>
  <c r="D28" i="63" s="1"/>
  <c r="D29" i="63" s="1"/>
  <c r="D30" i="63" s="1"/>
  <c r="D31" i="63" s="1"/>
  <c r="D32" i="63" s="1"/>
  <c r="D33" i="63" s="1"/>
  <c r="D34" i="63" s="1"/>
  <c r="D35" i="63" s="1"/>
  <c r="D36" i="63" s="1"/>
  <c r="F17" i="64"/>
  <c r="I17" i="64" s="1"/>
  <c r="J17" i="64" s="1"/>
  <c r="P18" i="64"/>
  <c r="F66" i="64"/>
  <c r="C69" i="63"/>
  <c r="F18" i="64" l="1"/>
  <c r="I18" i="64" s="1"/>
  <c r="J18" i="64" s="1"/>
  <c r="P19" i="64"/>
  <c r="F67" i="64"/>
  <c r="P12" i="63"/>
  <c r="P13" i="63" s="1"/>
  <c r="C70" i="63"/>
  <c r="F68" i="64" l="1"/>
  <c r="F19" i="64"/>
  <c r="I19" i="64" s="1"/>
  <c r="J19" i="64" s="1"/>
  <c r="P20" i="64"/>
  <c r="F12" i="63"/>
  <c r="I12" i="63" s="1"/>
  <c r="J12" i="63" s="1"/>
  <c r="C71" i="63"/>
  <c r="P14" i="63"/>
  <c r="F20" i="64" l="1"/>
  <c r="I20" i="64" s="1"/>
  <c r="J20" i="64" s="1"/>
  <c r="P21" i="64"/>
  <c r="F69" i="64"/>
  <c r="P15" i="63"/>
  <c r="F13" i="63"/>
  <c r="I13" i="63" s="1"/>
  <c r="J13" i="63" s="1"/>
  <c r="C72" i="63"/>
  <c r="P22" i="64" l="1"/>
  <c r="F70" i="64"/>
  <c r="F21" i="64"/>
  <c r="I21" i="64" s="1"/>
  <c r="J21" i="64" s="1"/>
  <c r="P16" i="63"/>
  <c r="C73" i="63"/>
  <c r="F14" i="63"/>
  <c r="I14" i="63" s="1"/>
  <c r="J14" i="63" s="1"/>
  <c r="F22" i="64" l="1"/>
  <c r="I22" i="64" s="1"/>
  <c r="J22" i="64" s="1"/>
  <c r="P23" i="64"/>
  <c r="F71" i="64"/>
  <c r="F15" i="63"/>
  <c r="I15" i="63" s="1"/>
  <c r="J15" i="63" s="1"/>
  <c r="C74" i="63"/>
  <c r="P17" i="63"/>
  <c r="P24" i="64" l="1"/>
  <c r="P18" i="63"/>
  <c r="F72" i="64"/>
  <c r="F23" i="64"/>
  <c r="I23" i="64" s="1"/>
  <c r="J23" i="64" s="1"/>
  <c r="F66" i="63"/>
  <c r="F16" i="63"/>
  <c r="I16" i="63" s="1"/>
  <c r="J16" i="63" s="1"/>
  <c r="P25" i="64" l="1"/>
  <c r="F73" i="64"/>
  <c r="F24" i="64"/>
  <c r="I24" i="64" s="1"/>
  <c r="J24" i="64" s="1"/>
  <c r="F67" i="63"/>
  <c r="F17" i="63"/>
  <c r="I17" i="63" s="1"/>
  <c r="J17" i="63" s="1"/>
  <c r="P19" i="63"/>
  <c r="P20" i="63" l="1"/>
  <c r="F74" i="64"/>
  <c r="P26" i="64"/>
  <c r="F25" i="64"/>
  <c r="I25" i="64" s="1"/>
  <c r="J25" i="64" s="1"/>
  <c r="F68" i="63"/>
  <c r="F18" i="63"/>
  <c r="I18" i="63" s="1"/>
  <c r="J18" i="63" s="1"/>
  <c r="I66" i="64" l="1"/>
  <c r="P27" i="64"/>
  <c r="F26" i="64"/>
  <c r="I26" i="64" s="1"/>
  <c r="J26" i="64" s="1"/>
  <c r="F19" i="63"/>
  <c r="I19" i="63" s="1"/>
  <c r="J19" i="63" s="1"/>
  <c r="P21" i="63"/>
  <c r="F69" i="63"/>
  <c r="F27" i="64" l="1"/>
  <c r="I27" i="64" s="1"/>
  <c r="J27" i="64" s="1"/>
  <c r="P28" i="64"/>
  <c r="I67" i="64"/>
  <c r="F70" i="63"/>
  <c r="P22" i="63"/>
  <c r="F20" i="63"/>
  <c r="I20" i="63" s="1"/>
  <c r="J20" i="63" s="1"/>
  <c r="F28" i="64" l="1"/>
  <c r="I28" i="64" s="1"/>
  <c r="J28" i="64" s="1"/>
  <c r="I68" i="64"/>
  <c r="P29" i="64"/>
  <c r="F71" i="63"/>
  <c r="F21" i="63"/>
  <c r="I21" i="63" s="1"/>
  <c r="J21" i="63" s="1"/>
  <c r="P23" i="63"/>
  <c r="P24" i="63" l="1"/>
  <c r="F29" i="64"/>
  <c r="I29" i="64" s="1"/>
  <c r="J29" i="64" s="1"/>
  <c r="P30" i="64"/>
  <c r="I69" i="64"/>
  <c r="F72" i="63"/>
  <c r="F22" i="63"/>
  <c r="I22" i="63" s="1"/>
  <c r="J22" i="63" s="1"/>
  <c r="F24" i="63" l="1"/>
  <c r="I24" i="63" s="1"/>
  <c r="J24" i="63" s="1"/>
  <c r="F30" i="64"/>
  <c r="I30" i="64" s="1"/>
  <c r="J30" i="64" s="1"/>
  <c r="I70" i="64"/>
  <c r="P31" i="64"/>
  <c r="F23" i="63"/>
  <c r="I23" i="63" s="1"/>
  <c r="J23" i="63" s="1"/>
  <c r="P25" i="63"/>
  <c r="F73" i="63"/>
  <c r="F32" i="64" l="1"/>
  <c r="P32" i="64"/>
  <c r="F25" i="63"/>
  <c r="I25" i="63" s="1"/>
  <c r="J25" i="63" s="1"/>
  <c r="F31" i="64"/>
  <c r="I31" i="64" s="1"/>
  <c r="J31" i="64" s="1"/>
  <c r="I71" i="64"/>
  <c r="F74" i="63"/>
  <c r="P26" i="63"/>
  <c r="F26" i="63" l="1"/>
  <c r="I26" i="63" s="1"/>
  <c r="J26" i="63" s="1"/>
  <c r="P33" i="64"/>
  <c r="I72" i="64"/>
  <c r="I32" i="64"/>
  <c r="J32" i="64" s="1"/>
  <c r="I66" i="63"/>
  <c r="P27" i="63"/>
  <c r="F34" i="64" l="1"/>
  <c r="P34" i="64"/>
  <c r="P28" i="63"/>
  <c r="F27" i="63"/>
  <c r="I27" i="63" s="1"/>
  <c r="J27" i="63" s="1"/>
  <c r="F33" i="64"/>
  <c r="I33" i="64" s="1"/>
  <c r="J33" i="64" s="1"/>
  <c r="I73" i="64"/>
  <c r="I67" i="63"/>
  <c r="P35" i="64" l="1"/>
  <c r="I34" i="64"/>
  <c r="J34" i="64" s="1"/>
  <c r="F28" i="63"/>
  <c r="I28" i="63" s="1"/>
  <c r="J28" i="63" s="1"/>
  <c r="F35" i="64"/>
  <c r="I74" i="64"/>
  <c r="I68" i="63"/>
  <c r="P29" i="63"/>
  <c r="P36" i="64" l="1"/>
  <c r="P30" i="63"/>
  <c r="F36" i="64"/>
  <c r="F29" i="63"/>
  <c r="I29" i="63" s="1"/>
  <c r="J29" i="63" s="1"/>
  <c r="I35" i="64"/>
  <c r="J35" i="64" s="1"/>
  <c r="I69" i="63"/>
  <c r="P31" i="63" l="1"/>
  <c r="I36" i="64"/>
  <c r="J36" i="64" s="1"/>
  <c r="I70" i="63"/>
  <c r="P32" i="63" l="1"/>
  <c r="F30" i="63"/>
  <c r="I30" i="63" s="1"/>
  <c r="J30" i="63" s="1"/>
  <c r="I71" i="63"/>
  <c r="P33" i="63" l="1"/>
  <c r="F31" i="63"/>
  <c r="I31" i="63" s="1"/>
  <c r="J31" i="63" s="1"/>
  <c r="I72" i="63"/>
  <c r="F32" i="63" l="1"/>
  <c r="I32" i="63" s="1"/>
  <c r="J32" i="63" s="1"/>
  <c r="I73" i="63"/>
  <c r="P34" i="63"/>
  <c r="P35" i="63" l="1"/>
  <c r="F33" i="63"/>
  <c r="I33" i="63" s="1"/>
  <c r="J33" i="63" s="1"/>
  <c r="I74" i="63"/>
  <c r="F34" i="63" l="1"/>
  <c r="I34" i="63" s="1"/>
  <c r="J34" i="63" s="1"/>
  <c r="F35" i="63"/>
  <c r="I35" i="63" s="1"/>
  <c r="J35" i="63" s="1"/>
  <c r="P36" i="63"/>
  <c r="F36" i="63" l="1"/>
  <c r="I36" i="63" s="1"/>
  <c r="J36" i="63" s="1"/>
  <c r="C65" i="64" l="1"/>
  <c r="C65" i="63"/>
  <c r="CT9" i="25" l="1"/>
  <c r="CS9" i="25"/>
  <c r="CR9" i="25"/>
  <c r="CQ9" i="25"/>
  <c r="CP9" i="25"/>
  <c r="CO9" i="25"/>
  <c r="CN9" i="25"/>
  <c r="CM9" i="25"/>
  <c r="CL9" i="25"/>
  <c r="CK9" i="25"/>
  <c r="BD9" i="25"/>
  <c r="BD8" i="25"/>
  <c r="BC9" i="25"/>
  <c r="BB9" i="25"/>
  <c r="BA9" i="25"/>
  <c r="AZ9" i="25"/>
  <c r="AY9" i="25"/>
  <c r="AX9" i="25"/>
  <c r="AW9" i="25"/>
  <c r="AV9" i="25"/>
  <c r="BC8" i="25"/>
  <c r="BB8" i="25"/>
  <c r="BA8" i="25"/>
  <c r="AZ8" i="25"/>
  <c r="AY8" i="25"/>
  <c r="AX8" i="25"/>
  <c r="AW8" i="25"/>
  <c r="AV8" i="25"/>
  <c r="AU8" i="25"/>
  <c r="C29" i="62" l="1"/>
  <c r="D44" i="41"/>
  <c r="D44" i="56" s="1"/>
  <c r="D44" i="57" s="1"/>
  <c r="D44" i="58" s="1"/>
  <c r="D44" i="59" s="1"/>
  <c r="D44" i="60" s="1"/>
  <c r="D44" i="61" s="1"/>
  <c r="D44" i="40" s="1"/>
  <c r="D44" i="62" s="1"/>
  <c r="D44" i="55" s="1"/>
  <c r="J264" i="31" l="1"/>
  <c r="D44" i="49"/>
  <c r="C67" i="62" l="1"/>
  <c r="C68" i="62" s="1"/>
  <c r="D11" i="62"/>
  <c r="D29" i="62"/>
  <c r="D30" i="62" s="1"/>
  <c r="D31" i="62" s="1"/>
  <c r="D32" i="62" s="1"/>
  <c r="D33" i="62" s="1"/>
  <c r="D34" i="62" s="1"/>
  <c r="D35" i="62" s="1"/>
  <c r="D36" i="62" s="1"/>
  <c r="K11" i="62"/>
  <c r="K12" i="62" s="1"/>
  <c r="K13" i="62" s="1"/>
  <c r="K14" i="62" s="1"/>
  <c r="K15" i="62" s="1"/>
  <c r="K16" i="62" s="1"/>
  <c r="K17" i="62" s="1"/>
  <c r="K18" i="62" s="1"/>
  <c r="K19" i="62" s="1"/>
  <c r="K20" i="62" s="1"/>
  <c r="K21" i="62" s="1"/>
  <c r="K22" i="62" s="1"/>
  <c r="K23" i="62" s="1"/>
  <c r="K24" i="62" s="1"/>
  <c r="K25" i="62" s="1"/>
  <c r="K26" i="62" s="1"/>
  <c r="K27" i="62" s="1"/>
  <c r="K28" i="62" s="1"/>
  <c r="K29" i="62" s="1"/>
  <c r="K30" i="62" s="1"/>
  <c r="K31" i="62" s="1"/>
  <c r="K32" i="62" s="1"/>
  <c r="K33" i="62" s="1"/>
  <c r="K34" i="62" s="1"/>
  <c r="K35" i="62" s="1"/>
  <c r="K36" i="62" s="1"/>
  <c r="E11" i="62"/>
  <c r="E12" i="62" s="1"/>
  <c r="E13" i="62" s="1"/>
  <c r="E14" i="62" s="1"/>
  <c r="E15" i="62" s="1"/>
  <c r="E16" i="62" s="1"/>
  <c r="E17" i="62" s="1"/>
  <c r="E18" i="62" s="1"/>
  <c r="E19" i="62" s="1"/>
  <c r="E20" i="62" s="1"/>
  <c r="E21" i="62" s="1"/>
  <c r="E22" i="62" s="1"/>
  <c r="E23" i="62" s="1"/>
  <c r="E24" i="62" s="1"/>
  <c r="E25" i="62" s="1"/>
  <c r="E26" i="62" s="1"/>
  <c r="E27" i="62" s="1"/>
  <c r="E28" i="62" s="1"/>
  <c r="E29" i="62" s="1"/>
  <c r="E30" i="62" s="1"/>
  <c r="E31" i="62" s="1"/>
  <c r="E32" i="62" s="1"/>
  <c r="E33" i="62" s="1"/>
  <c r="E34" i="62" s="1"/>
  <c r="E35" i="62" s="1"/>
  <c r="E36" i="62" s="1"/>
  <c r="C49" i="62"/>
  <c r="D48" i="62"/>
  <c r="C48" i="62"/>
  <c r="D47" i="62"/>
  <c r="C47" i="62"/>
  <c r="C46" i="62"/>
  <c r="C45" i="62"/>
  <c r="D49" i="62"/>
  <c r="B18" i="62"/>
  <c r="B19" i="62" s="1"/>
  <c r="B20" i="62" s="1"/>
  <c r="B21" i="62" s="1"/>
  <c r="B22" i="62" s="1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15" i="62"/>
  <c r="B16" i="62" s="1"/>
  <c r="B17" i="62" s="1"/>
  <c r="B14" i="62"/>
  <c r="B13" i="62"/>
  <c r="H11" i="62"/>
  <c r="G11" i="62"/>
  <c r="G12" i="62" s="1"/>
  <c r="G13" i="62" s="1"/>
  <c r="G14" i="62" s="1"/>
  <c r="G15" i="62" s="1"/>
  <c r="G16" i="62" s="1"/>
  <c r="G17" i="62" s="1"/>
  <c r="G18" i="62" s="1"/>
  <c r="G19" i="62" s="1"/>
  <c r="G20" i="62" s="1"/>
  <c r="G21" i="62" s="1"/>
  <c r="G22" i="62" s="1"/>
  <c r="G23" i="62" s="1"/>
  <c r="G24" i="62" s="1"/>
  <c r="G25" i="62" s="1"/>
  <c r="G26" i="62" s="1"/>
  <c r="G27" i="62" s="1"/>
  <c r="G28" i="62" s="1"/>
  <c r="G29" i="62" s="1"/>
  <c r="G30" i="62" s="1"/>
  <c r="G31" i="62" s="1"/>
  <c r="G32" i="62" s="1"/>
  <c r="G33" i="62" s="1"/>
  <c r="G34" i="62" s="1"/>
  <c r="G35" i="62" s="1"/>
  <c r="G36" i="62" s="1"/>
  <c r="B11" i="62"/>
  <c r="B12" i="62" s="1"/>
  <c r="B3" i="62"/>
  <c r="C52" i="62" s="1"/>
  <c r="B9" i="62" s="1"/>
  <c r="D46" i="62" l="1"/>
  <c r="F11" i="62"/>
  <c r="I11" i="62" s="1"/>
  <c r="J11" i="62" s="1"/>
  <c r="C69" i="62"/>
  <c r="C70" i="62" l="1"/>
  <c r="D12" i="62"/>
  <c r="C71" i="62" l="1"/>
  <c r="D13" i="62"/>
  <c r="F12" i="62"/>
  <c r="I12" i="62" s="1"/>
  <c r="J12" i="62" s="1"/>
  <c r="F13" i="62" l="1"/>
  <c r="I13" i="62" s="1"/>
  <c r="J13" i="62" s="1"/>
  <c r="D14" i="62"/>
  <c r="C72" i="62"/>
  <c r="D15" i="62" l="1"/>
  <c r="F14" i="62"/>
  <c r="I14" i="62" s="1"/>
  <c r="J14" i="62" s="1"/>
  <c r="C73" i="62"/>
  <c r="D16" i="62" l="1"/>
  <c r="F15" i="62"/>
  <c r="I15" i="62" s="1"/>
  <c r="J15" i="62" s="1"/>
  <c r="C74" i="62"/>
  <c r="D17" i="62" l="1"/>
  <c r="F16" i="62"/>
  <c r="I16" i="62" s="1"/>
  <c r="J16" i="62" s="1"/>
  <c r="F66" i="62"/>
  <c r="CI9" i="25"/>
  <c r="BM9" i="25"/>
  <c r="CH9" i="25" s="1"/>
  <c r="BL9" i="25"/>
  <c r="CG9" i="25" s="1"/>
  <c r="BK9" i="25"/>
  <c r="CF9" i="25" s="1"/>
  <c r="CD9" i="25"/>
  <c r="BH9" i="25"/>
  <c r="CC9" i="25" s="1"/>
  <c r="BG9" i="25"/>
  <c r="CB9" i="25" s="1"/>
  <c r="BF9" i="25"/>
  <c r="CA9" i="25" s="1"/>
  <c r="AU9" i="25"/>
  <c r="AS9" i="25"/>
  <c r="AR9" i="25"/>
  <c r="AQ9" i="25"/>
  <c r="AP9" i="25"/>
  <c r="AN9" i="25"/>
  <c r="AM9" i="25"/>
  <c r="AL9" i="25"/>
  <c r="AK9" i="25"/>
  <c r="F67" i="62" l="1"/>
  <c r="F17" i="62"/>
  <c r="I17" i="62" s="1"/>
  <c r="J17" i="62" s="1"/>
  <c r="D18" i="62"/>
  <c r="F68" i="62" l="1"/>
  <c r="D19" i="62"/>
  <c r="F18" i="62"/>
  <c r="I18" i="62" s="1"/>
  <c r="J18" i="62" s="1"/>
  <c r="C27" i="61"/>
  <c r="C67" i="61"/>
  <c r="B3" i="61"/>
  <c r="C52" i="61" s="1"/>
  <c r="B9" i="61" s="1"/>
  <c r="K11" i="61"/>
  <c r="K12" i="61" s="1"/>
  <c r="K13" i="61" s="1"/>
  <c r="K14" i="61" s="1"/>
  <c r="K15" i="61" s="1"/>
  <c r="K16" i="61" s="1"/>
  <c r="K17" i="61" s="1"/>
  <c r="K18" i="61" s="1"/>
  <c r="K19" i="61" s="1"/>
  <c r="K20" i="61" s="1"/>
  <c r="K21" i="61" s="1"/>
  <c r="K22" i="61" s="1"/>
  <c r="K23" i="61" s="1"/>
  <c r="K24" i="61" s="1"/>
  <c r="K25" i="61" s="1"/>
  <c r="K26" i="61" s="1"/>
  <c r="K27" i="61" s="1"/>
  <c r="K28" i="61" s="1"/>
  <c r="K29" i="61" s="1"/>
  <c r="K30" i="61" s="1"/>
  <c r="K31" i="61" s="1"/>
  <c r="K32" i="61" s="1"/>
  <c r="K33" i="61" s="1"/>
  <c r="K34" i="61" s="1"/>
  <c r="K35" i="61" s="1"/>
  <c r="K36" i="61" s="1"/>
  <c r="E11" i="61"/>
  <c r="E12" i="61" s="1"/>
  <c r="E13" i="61" s="1"/>
  <c r="E14" i="61" s="1"/>
  <c r="E15" i="61" s="1"/>
  <c r="E16" i="61" s="1"/>
  <c r="E17" i="61" s="1"/>
  <c r="E18" i="61" s="1"/>
  <c r="E19" i="61" s="1"/>
  <c r="E20" i="61" s="1"/>
  <c r="E21" i="61" s="1"/>
  <c r="E22" i="61" s="1"/>
  <c r="E23" i="61" s="1"/>
  <c r="E24" i="61" s="1"/>
  <c r="E25" i="61" s="1"/>
  <c r="E26" i="61" s="1"/>
  <c r="E27" i="61" s="1"/>
  <c r="E28" i="61" s="1"/>
  <c r="E29" i="61" s="1"/>
  <c r="E30" i="61" s="1"/>
  <c r="E31" i="61" s="1"/>
  <c r="E32" i="61" s="1"/>
  <c r="E33" i="61" s="1"/>
  <c r="E34" i="61" s="1"/>
  <c r="E35" i="61" s="1"/>
  <c r="E36" i="61" s="1"/>
  <c r="C49" i="61"/>
  <c r="D48" i="61"/>
  <c r="C48" i="61"/>
  <c r="C47" i="61"/>
  <c r="D46" i="61"/>
  <c r="C46" i="61"/>
  <c r="C45" i="61"/>
  <c r="D49" i="61"/>
  <c r="H11" i="61"/>
  <c r="G11" i="61"/>
  <c r="G12" i="61" s="1"/>
  <c r="G13" i="61" s="1"/>
  <c r="G14" i="61" s="1"/>
  <c r="G15" i="61" s="1"/>
  <c r="G16" i="61" s="1"/>
  <c r="G17" i="61" s="1"/>
  <c r="G18" i="61" s="1"/>
  <c r="G19" i="61" s="1"/>
  <c r="G20" i="61" s="1"/>
  <c r="G21" i="61" s="1"/>
  <c r="G22" i="61" s="1"/>
  <c r="G23" i="61" s="1"/>
  <c r="G24" i="61" s="1"/>
  <c r="G25" i="61" s="1"/>
  <c r="G26" i="61" s="1"/>
  <c r="G27" i="61" s="1"/>
  <c r="G28" i="61" s="1"/>
  <c r="G29" i="61" s="1"/>
  <c r="G30" i="61" s="1"/>
  <c r="G31" i="61" s="1"/>
  <c r="G32" i="61" s="1"/>
  <c r="G33" i="61" s="1"/>
  <c r="G34" i="61" s="1"/>
  <c r="G35" i="61" s="1"/>
  <c r="G36" i="61" s="1"/>
  <c r="B11" i="6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C26" i="60"/>
  <c r="C67" i="60"/>
  <c r="C68" i="60" s="1"/>
  <c r="D47" i="60"/>
  <c r="D46" i="60"/>
  <c r="G11" i="60"/>
  <c r="G12" i="60" s="1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G23" i="60" s="1"/>
  <c r="G24" i="60" s="1"/>
  <c r="G25" i="60" s="1"/>
  <c r="G26" i="60" s="1"/>
  <c r="G27" i="60" s="1"/>
  <c r="G28" i="60" s="1"/>
  <c r="G29" i="60" s="1"/>
  <c r="G30" i="60" s="1"/>
  <c r="G31" i="60" s="1"/>
  <c r="G32" i="60" s="1"/>
  <c r="G33" i="60" s="1"/>
  <c r="G34" i="60" s="1"/>
  <c r="G35" i="60" s="1"/>
  <c r="G36" i="60" s="1"/>
  <c r="K11" i="60"/>
  <c r="K12" i="60" s="1"/>
  <c r="K13" i="60" s="1"/>
  <c r="K14" i="60" s="1"/>
  <c r="K15" i="60" s="1"/>
  <c r="K16" i="60" s="1"/>
  <c r="K17" i="60" s="1"/>
  <c r="K18" i="60" s="1"/>
  <c r="K19" i="60" s="1"/>
  <c r="K20" i="60" s="1"/>
  <c r="K21" i="60" s="1"/>
  <c r="K22" i="60" s="1"/>
  <c r="K23" i="60" s="1"/>
  <c r="K24" i="60" s="1"/>
  <c r="K25" i="60" s="1"/>
  <c r="K26" i="60" s="1"/>
  <c r="K27" i="60" s="1"/>
  <c r="K28" i="60" s="1"/>
  <c r="K29" i="60" s="1"/>
  <c r="K30" i="60" s="1"/>
  <c r="K31" i="60" s="1"/>
  <c r="K32" i="60" s="1"/>
  <c r="K33" i="60" s="1"/>
  <c r="K34" i="60" s="1"/>
  <c r="K35" i="60" s="1"/>
  <c r="K36" i="60" s="1"/>
  <c r="E11" i="60"/>
  <c r="C49" i="60"/>
  <c r="D48" i="60"/>
  <c r="C48" i="60"/>
  <c r="C47" i="60"/>
  <c r="C46" i="60"/>
  <c r="C45" i="60"/>
  <c r="D49" i="60"/>
  <c r="H11" i="60"/>
  <c r="B11" i="60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C25" i="59"/>
  <c r="C67" i="59"/>
  <c r="C68" i="59" s="1"/>
  <c r="D47" i="59"/>
  <c r="K11" i="59"/>
  <c r="K12" i="59" s="1"/>
  <c r="K13" i="59" s="1"/>
  <c r="K14" i="59" s="1"/>
  <c r="K15" i="59" s="1"/>
  <c r="K16" i="59" s="1"/>
  <c r="K17" i="59" s="1"/>
  <c r="K18" i="59" s="1"/>
  <c r="K19" i="59" s="1"/>
  <c r="K20" i="59" s="1"/>
  <c r="K21" i="59" s="1"/>
  <c r="K22" i="59" s="1"/>
  <c r="K23" i="59" s="1"/>
  <c r="K24" i="59" s="1"/>
  <c r="K25" i="59" s="1"/>
  <c r="K26" i="59" s="1"/>
  <c r="K27" i="59" s="1"/>
  <c r="K28" i="59" s="1"/>
  <c r="K29" i="59" s="1"/>
  <c r="K30" i="59" s="1"/>
  <c r="K31" i="59" s="1"/>
  <c r="K32" i="59" s="1"/>
  <c r="K33" i="59" s="1"/>
  <c r="K34" i="59" s="1"/>
  <c r="K35" i="59" s="1"/>
  <c r="K36" i="59" s="1"/>
  <c r="E11" i="59"/>
  <c r="E12" i="59" s="1"/>
  <c r="E13" i="59" s="1"/>
  <c r="E14" i="59" s="1"/>
  <c r="E15" i="59" s="1"/>
  <c r="E16" i="59" s="1"/>
  <c r="E17" i="59" s="1"/>
  <c r="E18" i="59" s="1"/>
  <c r="E19" i="59" s="1"/>
  <c r="E20" i="59" s="1"/>
  <c r="E21" i="59" s="1"/>
  <c r="E22" i="59" s="1"/>
  <c r="E23" i="59" s="1"/>
  <c r="E24" i="59" s="1"/>
  <c r="E25" i="59" s="1"/>
  <c r="E26" i="59" s="1"/>
  <c r="E27" i="59" s="1"/>
  <c r="E28" i="59" s="1"/>
  <c r="E29" i="59" s="1"/>
  <c r="E30" i="59" s="1"/>
  <c r="E31" i="59" s="1"/>
  <c r="E32" i="59" s="1"/>
  <c r="E33" i="59" s="1"/>
  <c r="E34" i="59" s="1"/>
  <c r="E35" i="59" s="1"/>
  <c r="E36" i="59" s="1"/>
  <c r="C49" i="59"/>
  <c r="D48" i="59"/>
  <c r="C48" i="59"/>
  <c r="C47" i="59"/>
  <c r="D46" i="59"/>
  <c r="C46" i="59"/>
  <c r="C45" i="59"/>
  <c r="D49" i="59"/>
  <c r="H11" i="59"/>
  <c r="G11" i="59"/>
  <c r="G12" i="59" s="1"/>
  <c r="G13" i="59" s="1"/>
  <c r="G14" i="59" s="1"/>
  <c r="G15" i="59" s="1"/>
  <c r="G16" i="59" s="1"/>
  <c r="G17" i="59" s="1"/>
  <c r="G18" i="59" s="1"/>
  <c r="G19" i="59" s="1"/>
  <c r="G20" i="59" s="1"/>
  <c r="G21" i="59" s="1"/>
  <c r="G22" i="59" s="1"/>
  <c r="G23" i="59" s="1"/>
  <c r="G24" i="59" s="1"/>
  <c r="G25" i="59" s="1"/>
  <c r="G26" i="59" s="1"/>
  <c r="G27" i="59" s="1"/>
  <c r="G28" i="59" s="1"/>
  <c r="G29" i="59" s="1"/>
  <c r="G30" i="59" s="1"/>
  <c r="G31" i="59" s="1"/>
  <c r="G32" i="59" s="1"/>
  <c r="G33" i="59" s="1"/>
  <c r="G34" i="59" s="1"/>
  <c r="G35" i="59" s="1"/>
  <c r="G36" i="59" s="1"/>
  <c r="B11" i="59"/>
  <c r="B12" i="59" s="1"/>
  <c r="B13" i="59" s="1"/>
  <c r="B14" i="59" s="1"/>
  <c r="B15" i="59" s="1"/>
  <c r="B16" i="59" s="1"/>
  <c r="B17" i="59" s="1"/>
  <c r="B18" i="59" s="1"/>
  <c r="B19" i="59" s="1"/>
  <c r="B20" i="59" s="1"/>
  <c r="B21" i="59" s="1"/>
  <c r="B22" i="59" s="1"/>
  <c r="B23" i="59" s="1"/>
  <c r="B24" i="59" s="1"/>
  <c r="B25" i="59" s="1"/>
  <c r="B26" i="59" s="1"/>
  <c r="B27" i="59" s="1"/>
  <c r="B28" i="59" s="1"/>
  <c r="B29" i="59" s="1"/>
  <c r="B30" i="59" s="1"/>
  <c r="B31" i="59" s="1"/>
  <c r="B32" i="59" s="1"/>
  <c r="B33" i="59" s="1"/>
  <c r="B34" i="59" s="1"/>
  <c r="B35" i="59" s="1"/>
  <c r="B36" i="59" s="1"/>
  <c r="D47" i="58"/>
  <c r="D46" i="58"/>
  <c r="G11" i="58"/>
  <c r="G12" i="58" s="1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32" i="58" s="1"/>
  <c r="G33" i="58" s="1"/>
  <c r="G34" i="58" s="1"/>
  <c r="G35" i="58" s="1"/>
  <c r="G36" i="58" s="1"/>
  <c r="E11" i="58"/>
  <c r="C68" i="58"/>
  <c r="C69" i="58" s="1"/>
  <c r="C67" i="58"/>
  <c r="C49" i="58"/>
  <c r="D48" i="58"/>
  <c r="C48" i="58"/>
  <c r="C47" i="58"/>
  <c r="C46" i="58"/>
  <c r="C45" i="58"/>
  <c r="D49" i="58"/>
  <c r="B12" i="58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K11" i="58"/>
  <c r="K12" i="58" s="1"/>
  <c r="K13" i="58" s="1"/>
  <c r="K14" i="58" s="1"/>
  <c r="K15" i="58" s="1"/>
  <c r="K16" i="58" s="1"/>
  <c r="K17" i="58" s="1"/>
  <c r="K18" i="58" s="1"/>
  <c r="K19" i="58" s="1"/>
  <c r="K20" i="58" s="1"/>
  <c r="K21" i="58" s="1"/>
  <c r="K22" i="58" s="1"/>
  <c r="K23" i="58" s="1"/>
  <c r="K24" i="58" s="1"/>
  <c r="K25" i="58" s="1"/>
  <c r="K26" i="58" s="1"/>
  <c r="K27" i="58" s="1"/>
  <c r="K28" i="58" s="1"/>
  <c r="K29" i="58" s="1"/>
  <c r="K30" i="58" s="1"/>
  <c r="K31" i="58" s="1"/>
  <c r="K32" i="58" s="1"/>
  <c r="K33" i="58" s="1"/>
  <c r="K34" i="58" s="1"/>
  <c r="K35" i="58" s="1"/>
  <c r="K36" i="58" s="1"/>
  <c r="H11" i="58"/>
  <c r="B11" i="58"/>
  <c r="C27" i="57"/>
  <c r="C68" i="57"/>
  <c r="C69" i="57" s="1"/>
  <c r="C67" i="57"/>
  <c r="B3" i="57"/>
  <c r="C52" i="57" s="1"/>
  <c r="B9" i="57" s="1"/>
  <c r="D46" i="57"/>
  <c r="G11" i="57"/>
  <c r="G12" i="57" s="1"/>
  <c r="G13" i="57" s="1"/>
  <c r="G14" i="57" s="1"/>
  <c r="G15" i="57" s="1"/>
  <c r="G16" i="57" s="1"/>
  <c r="G17" i="57" s="1"/>
  <c r="G18" i="57" s="1"/>
  <c r="G19" i="57" s="1"/>
  <c r="G20" i="57" s="1"/>
  <c r="G21" i="57" s="1"/>
  <c r="G22" i="57" s="1"/>
  <c r="G23" i="57" s="1"/>
  <c r="G24" i="57" s="1"/>
  <c r="G25" i="57" s="1"/>
  <c r="G26" i="57" s="1"/>
  <c r="G27" i="57" s="1"/>
  <c r="G28" i="57" s="1"/>
  <c r="G29" i="57" s="1"/>
  <c r="G30" i="57" s="1"/>
  <c r="G31" i="57" s="1"/>
  <c r="G32" i="57" s="1"/>
  <c r="G33" i="57" s="1"/>
  <c r="G34" i="57" s="1"/>
  <c r="G35" i="57" s="1"/>
  <c r="G36" i="57" s="1"/>
  <c r="K11" i="57"/>
  <c r="K12" i="57" s="1"/>
  <c r="K13" i="57" s="1"/>
  <c r="K14" i="57" s="1"/>
  <c r="K15" i="57" s="1"/>
  <c r="K16" i="57" s="1"/>
  <c r="K17" i="57" s="1"/>
  <c r="K18" i="57" s="1"/>
  <c r="K19" i="57" s="1"/>
  <c r="K20" i="57" s="1"/>
  <c r="K21" i="57" s="1"/>
  <c r="K22" i="57" s="1"/>
  <c r="K23" i="57" s="1"/>
  <c r="K24" i="57" s="1"/>
  <c r="K25" i="57" s="1"/>
  <c r="K26" i="57" s="1"/>
  <c r="K27" i="57" s="1"/>
  <c r="K28" i="57" s="1"/>
  <c r="K29" i="57" s="1"/>
  <c r="K30" i="57" s="1"/>
  <c r="K31" i="57" s="1"/>
  <c r="K32" i="57" s="1"/>
  <c r="K33" i="57" s="1"/>
  <c r="K34" i="57" s="1"/>
  <c r="K35" i="57" s="1"/>
  <c r="K36" i="57" s="1"/>
  <c r="E11" i="57"/>
  <c r="C49" i="57"/>
  <c r="D48" i="57"/>
  <c r="C48" i="57"/>
  <c r="D47" i="57"/>
  <c r="C47" i="57"/>
  <c r="C46" i="57"/>
  <c r="C45" i="57"/>
  <c r="D49" i="57"/>
  <c r="H11" i="57"/>
  <c r="B11" i="57"/>
  <c r="B12" i="57" s="1"/>
  <c r="B13" i="57" s="1"/>
  <c r="B14" i="57" s="1"/>
  <c r="B15" i="57" s="1"/>
  <c r="B16" i="57" s="1"/>
  <c r="B17" i="57" s="1"/>
  <c r="B18" i="57" s="1"/>
  <c r="B19" i="57" s="1"/>
  <c r="B20" i="57" s="1"/>
  <c r="B21" i="57" s="1"/>
  <c r="B22" i="57" s="1"/>
  <c r="B23" i="57" s="1"/>
  <c r="B24" i="57" s="1"/>
  <c r="B25" i="57" s="1"/>
  <c r="B26" i="57" s="1"/>
  <c r="B27" i="57" s="1"/>
  <c r="B28" i="57" s="1"/>
  <c r="B29" i="57" s="1"/>
  <c r="B30" i="57" s="1"/>
  <c r="B31" i="57" s="1"/>
  <c r="B32" i="57" s="1"/>
  <c r="B33" i="57" s="1"/>
  <c r="B34" i="57" s="1"/>
  <c r="B35" i="57" s="1"/>
  <c r="B36" i="57" s="1"/>
  <c r="H11" i="56"/>
  <c r="H11" i="41"/>
  <c r="C26" i="56"/>
  <c r="C68" i="56"/>
  <c r="C69" i="56" s="1"/>
  <c r="C67" i="56"/>
  <c r="D47" i="56"/>
  <c r="G11" i="56"/>
  <c r="G12" i="56" s="1"/>
  <c r="G13" i="56" s="1"/>
  <c r="G14" i="56" s="1"/>
  <c r="G15" i="56" s="1"/>
  <c r="G16" i="56" s="1"/>
  <c r="G17" i="56" s="1"/>
  <c r="G18" i="56" s="1"/>
  <c r="G19" i="56" s="1"/>
  <c r="G20" i="56" s="1"/>
  <c r="G21" i="56" s="1"/>
  <c r="G22" i="56" s="1"/>
  <c r="G23" i="56" s="1"/>
  <c r="G24" i="56" s="1"/>
  <c r="G25" i="56" s="1"/>
  <c r="G26" i="56" s="1"/>
  <c r="G27" i="56" s="1"/>
  <c r="G28" i="56" s="1"/>
  <c r="G29" i="56" s="1"/>
  <c r="G30" i="56" s="1"/>
  <c r="G31" i="56" s="1"/>
  <c r="G32" i="56" s="1"/>
  <c r="G33" i="56" s="1"/>
  <c r="G34" i="56" s="1"/>
  <c r="G35" i="56" s="1"/>
  <c r="G36" i="56" s="1"/>
  <c r="K11" i="56"/>
  <c r="K12" i="56" s="1"/>
  <c r="K13" i="56" s="1"/>
  <c r="K14" i="56" s="1"/>
  <c r="K15" i="56" s="1"/>
  <c r="K16" i="56" s="1"/>
  <c r="K17" i="56" s="1"/>
  <c r="K18" i="56" s="1"/>
  <c r="K19" i="56" s="1"/>
  <c r="K20" i="56" s="1"/>
  <c r="K21" i="56" s="1"/>
  <c r="K22" i="56" s="1"/>
  <c r="K23" i="56" s="1"/>
  <c r="K24" i="56" s="1"/>
  <c r="K25" i="56" s="1"/>
  <c r="K26" i="56" s="1"/>
  <c r="K27" i="56" s="1"/>
  <c r="K28" i="56" s="1"/>
  <c r="K29" i="56" s="1"/>
  <c r="K30" i="56" s="1"/>
  <c r="K31" i="56" s="1"/>
  <c r="K32" i="56" s="1"/>
  <c r="K33" i="56" s="1"/>
  <c r="K34" i="56" s="1"/>
  <c r="K35" i="56" s="1"/>
  <c r="K36" i="56" s="1"/>
  <c r="E11" i="56"/>
  <c r="C49" i="56"/>
  <c r="D48" i="56"/>
  <c r="C48" i="56"/>
  <c r="C47" i="56"/>
  <c r="D46" i="56"/>
  <c r="C46" i="56"/>
  <c r="C45" i="56"/>
  <c r="D49" i="56"/>
  <c r="B11" i="56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G11" i="41"/>
  <c r="G12" i="41" s="1"/>
  <c r="G13" i="41" s="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G27" i="41" s="1"/>
  <c r="G28" i="41" s="1"/>
  <c r="G29" i="41" s="1"/>
  <c r="G30" i="41" s="1"/>
  <c r="G31" i="41" s="1"/>
  <c r="G32" i="41" s="1"/>
  <c r="G33" i="41" s="1"/>
  <c r="G34" i="41" s="1"/>
  <c r="G35" i="41" s="1"/>
  <c r="G36" i="41" s="1"/>
  <c r="K11" i="41"/>
  <c r="K12" i="41" s="1"/>
  <c r="K13" i="41" s="1"/>
  <c r="K14" i="41" s="1"/>
  <c r="K15" i="41" s="1"/>
  <c r="K16" i="41" s="1"/>
  <c r="K17" i="41" s="1"/>
  <c r="K18" i="41" s="1"/>
  <c r="K19" i="41" s="1"/>
  <c r="K20" i="41" s="1"/>
  <c r="K21" i="41" s="1"/>
  <c r="K22" i="41" s="1"/>
  <c r="K23" i="41" s="1"/>
  <c r="K24" i="41" s="1"/>
  <c r="K25" i="41" s="1"/>
  <c r="K26" i="41" s="1"/>
  <c r="K27" i="41" s="1"/>
  <c r="K28" i="41" s="1"/>
  <c r="K29" i="41" s="1"/>
  <c r="K30" i="41" s="1"/>
  <c r="K31" i="41" s="1"/>
  <c r="K32" i="41" s="1"/>
  <c r="K33" i="41" s="1"/>
  <c r="K34" i="41" s="1"/>
  <c r="K35" i="41" s="1"/>
  <c r="K36" i="41" s="1"/>
  <c r="E11" i="41"/>
  <c r="E12" i="41" s="1"/>
  <c r="E13" i="41" s="1"/>
  <c r="E14" i="41" s="1"/>
  <c r="E15" i="41" s="1"/>
  <c r="E16" i="41" s="1"/>
  <c r="E17" i="41" s="1"/>
  <c r="E18" i="41" s="1"/>
  <c r="E19" i="41" s="1"/>
  <c r="E20" i="41" s="1"/>
  <c r="E21" i="41" s="1"/>
  <c r="E22" i="41" s="1"/>
  <c r="E23" i="41" s="1"/>
  <c r="E24" i="41" s="1"/>
  <c r="E25" i="41" s="1"/>
  <c r="E26" i="41" s="1"/>
  <c r="E27" i="41" s="1"/>
  <c r="E28" i="41" s="1"/>
  <c r="E29" i="41" s="1"/>
  <c r="E30" i="41" s="1"/>
  <c r="E31" i="41" s="1"/>
  <c r="E32" i="41" s="1"/>
  <c r="E33" i="41" s="1"/>
  <c r="E34" i="41" s="1"/>
  <c r="E35" i="41" s="1"/>
  <c r="E36" i="41" s="1"/>
  <c r="C24" i="41"/>
  <c r="D24" i="41" s="1"/>
  <c r="D25" i="41" s="1"/>
  <c r="D26" i="41" s="1"/>
  <c r="D27" i="41" s="1"/>
  <c r="D28" i="41" s="1"/>
  <c r="D29" i="41" s="1"/>
  <c r="D30" i="41" s="1"/>
  <c r="D31" i="41" s="1"/>
  <c r="D32" i="41" s="1"/>
  <c r="D33" i="41" s="1"/>
  <c r="D34" i="41" s="1"/>
  <c r="D35" i="41" s="1"/>
  <c r="D36" i="41" s="1"/>
  <c r="B3" i="55"/>
  <c r="C52" i="55" s="1"/>
  <c r="B9" i="55" s="1"/>
  <c r="D46" i="55"/>
  <c r="G11" i="55"/>
  <c r="G12" i="55" s="1"/>
  <c r="G13" i="55" s="1"/>
  <c r="G14" i="55" s="1"/>
  <c r="G15" i="55" s="1"/>
  <c r="G16" i="55" s="1"/>
  <c r="G17" i="55" s="1"/>
  <c r="G18" i="55" s="1"/>
  <c r="G19" i="55" s="1"/>
  <c r="G20" i="55" s="1"/>
  <c r="G21" i="55" s="1"/>
  <c r="G22" i="55" s="1"/>
  <c r="G23" i="55" s="1"/>
  <c r="G24" i="55" s="1"/>
  <c r="G25" i="55" s="1"/>
  <c r="G26" i="55" s="1"/>
  <c r="G27" i="55" s="1"/>
  <c r="G28" i="55" s="1"/>
  <c r="G29" i="55" s="1"/>
  <c r="G30" i="55" s="1"/>
  <c r="G31" i="55" s="1"/>
  <c r="G32" i="55" s="1"/>
  <c r="G33" i="55" s="1"/>
  <c r="G34" i="55" s="1"/>
  <c r="G35" i="55" s="1"/>
  <c r="G36" i="55" s="1"/>
  <c r="K11" i="55"/>
  <c r="K12" i="55" s="1"/>
  <c r="K13" i="55" s="1"/>
  <c r="K14" i="55" s="1"/>
  <c r="K15" i="55" s="1"/>
  <c r="K16" i="55" s="1"/>
  <c r="K17" i="55" s="1"/>
  <c r="K18" i="55" s="1"/>
  <c r="K19" i="55" s="1"/>
  <c r="K20" i="55" s="1"/>
  <c r="K21" i="55" s="1"/>
  <c r="K22" i="55" s="1"/>
  <c r="K23" i="55" s="1"/>
  <c r="K24" i="55" s="1"/>
  <c r="K25" i="55" s="1"/>
  <c r="K26" i="55" s="1"/>
  <c r="K27" i="55" s="1"/>
  <c r="K28" i="55" s="1"/>
  <c r="K29" i="55" s="1"/>
  <c r="K30" i="55" s="1"/>
  <c r="K31" i="55" s="1"/>
  <c r="K32" i="55" s="1"/>
  <c r="K33" i="55" s="1"/>
  <c r="K34" i="55" s="1"/>
  <c r="K35" i="55" s="1"/>
  <c r="K36" i="55" s="1"/>
  <c r="E11" i="55"/>
  <c r="E12" i="55" s="1"/>
  <c r="E13" i="55" s="1"/>
  <c r="E14" i="55" s="1"/>
  <c r="E15" i="55" s="1"/>
  <c r="E16" i="55" s="1"/>
  <c r="E17" i="55" s="1"/>
  <c r="E18" i="55" s="1"/>
  <c r="E19" i="55" s="1"/>
  <c r="E20" i="55" s="1"/>
  <c r="E21" i="55" s="1"/>
  <c r="E22" i="55" s="1"/>
  <c r="E23" i="55" s="1"/>
  <c r="E24" i="55" s="1"/>
  <c r="E25" i="55" s="1"/>
  <c r="E26" i="55" s="1"/>
  <c r="E27" i="55" s="1"/>
  <c r="E28" i="55" s="1"/>
  <c r="E29" i="55" s="1"/>
  <c r="E30" i="55" s="1"/>
  <c r="E31" i="55" s="1"/>
  <c r="E32" i="55" s="1"/>
  <c r="E33" i="55" s="1"/>
  <c r="E34" i="55" s="1"/>
  <c r="E35" i="55" s="1"/>
  <c r="E36" i="55" s="1"/>
  <c r="E11" i="40"/>
  <c r="E12" i="40" s="1"/>
  <c r="E13" i="40" s="1"/>
  <c r="E14" i="40" s="1"/>
  <c r="E15" i="40" s="1"/>
  <c r="E16" i="40" s="1"/>
  <c r="E17" i="40" s="1"/>
  <c r="E18" i="40" s="1"/>
  <c r="E19" i="40" s="1"/>
  <c r="E20" i="40" s="1"/>
  <c r="E21" i="40" s="1"/>
  <c r="E22" i="40" s="1"/>
  <c r="E23" i="40" s="1"/>
  <c r="E24" i="40" s="1"/>
  <c r="E25" i="40" s="1"/>
  <c r="E26" i="40" s="1"/>
  <c r="E27" i="40" s="1"/>
  <c r="E28" i="40" s="1"/>
  <c r="E29" i="40" s="1"/>
  <c r="E30" i="40" s="1"/>
  <c r="E31" i="40" s="1"/>
  <c r="E32" i="40" s="1"/>
  <c r="E33" i="40" s="1"/>
  <c r="E34" i="40" s="1"/>
  <c r="E35" i="40" s="1"/>
  <c r="E36" i="40" s="1"/>
  <c r="K11" i="40"/>
  <c r="K12" i="40" s="1"/>
  <c r="K13" i="40" s="1"/>
  <c r="K14" i="40" s="1"/>
  <c r="K15" i="40" s="1"/>
  <c r="K16" i="40" s="1"/>
  <c r="K17" i="40" s="1"/>
  <c r="K18" i="40" s="1"/>
  <c r="K19" i="40" s="1"/>
  <c r="K20" i="40" s="1"/>
  <c r="K21" i="40" s="1"/>
  <c r="K22" i="40" s="1"/>
  <c r="K23" i="40" s="1"/>
  <c r="K24" i="40" s="1"/>
  <c r="K25" i="40" s="1"/>
  <c r="K26" i="40" s="1"/>
  <c r="K27" i="40" s="1"/>
  <c r="K28" i="40" s="1"/>
  <c r="K29" i="40" s="1"/>
  <c r="K30" i="40" s="1"/>
  <c r="K31" i="40" s="1"/>
  <c r="K32" i="40" s="1"/>
  <c r="K33" i="40" s="1"/>
  <c r="K34" i="40" s="1"/>
  <c r="K35" i="40" s="1"/>
  <c r="K36" i="40" s="1"/>
  <c r="C29" i="55"/>
  <c r="C67" i="55"/>
  <c r="C68" i="55" s="1"/>
  <c r="D11" i="55"/>
  <c r="C49" i="55"/>
  <c r="D48" i="55"/>
  <c r="C48" i="55"/>
  <c r="C47" i="55"/>
  <c r="C46" i="55"/>
  <c r="C45" i="55"/>
  <c r="D49" i="55"/>
  <c r="H11" i="55"/>
  <c r="B11" i="55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H11" i="40"/>
  <c r="G11" i="40"/>
  <c r="G12" i="40" s="1"/>
  <c r="G13" i="40" s="1"/>
  <c r="G14" i="40" s="1"/>
  <c r="G15" i="40" s="1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s="1"/>
  <c r="C27" i="40"/>
  <c r="B3" i="54"/>
  <c r="C52" i="54" s="1"/>
  <c r="B9" i="54" s="1"/>
  <c r="D46" i="54"/>
  <c r="G11" i="54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G32" i="54" s="1"/>
  <c r="G33" i="54" s="1"/>
  <c r="G34" i="54" s="1"/>
  <c r="G35" i="54" s="1"/>
  <c r="G36" i="54" s="1"/>
  <c r="K11" i="54"/>
  <c r="K12" i="54" s="1"/>
  <c r="K13" i="54" s="1"/>
  <c r="K14" i="54" s="1"/>
  <c r="K15" i="54" s="1"/>
  <c r="K16" i="54" s="1"/>
  <c r="K17" i="54" s="1"/>
  <c r="K18" i="54" s="1"/>
  <c r="K19" i="54" s="1"/>
  <c r="K20" i="54" s="1"/>
  <c r="K21" i="54" s="1"/>
  <c r="K22" i="54" s="1"/>
  <c r="K23" i="54" s="1"/>
  <c r="K24" i="54" s="1"/>
  <c r="K25" i="54" s="1"/>
  <c r="K26" i="54" s="1"/>
  <c r="K27" i="54" s="1"/>
  <c r="K28" i="54" s="1"/>
  <c r="K29" i="54" s="1"/>
  <c r="K30" i="54" s="1"/>
  <c r="K31" i="54" s="1"/>
  <c r="K32" i="54" s="1"/>
  <c r="K33" i="54" s="1"/>
  <c r="K34" i="54" s="1"/>
  <c r="K35" i="54" s="1"/>
  <c r="K36" i="54" s="1"/>
  <c r="E11" i="54"/>
  <c r="E12" i="54" s="1"/>
  <c r="E13" i="54" s="1"/>
  <c r="E14" i="54" s="1"/>
  <c r="E15" i="54" s="1"/>
  <c r="E16" i="54" s="1"/>
  <c r="E17" i="54" s="1"/>
  <c r="E18" i="54" s="1"/>
  <c r="E19" i="54" s="1"/>
  <c r="E20" i="54" s="1"/>
  <c r="E21" i="54" s="1"/>
  <c r="E22" i="54" s="1"/>
  <c r="E23" i="54" s="1"/>
  <c r="E24" i="54" s="1"/>
  <c r="E25" i="54" s="1"/>
  <c r="E26" i="54" s="1"/>
  <c r="E27" i="54" s="1"/>
  <c r="E28" i="54" s="1"/>
  <c r="E29" i="54" s="1"/>
  <c r="E30" i="54" s="1"/>
  <c r="E31" i="54" s="1"/>
  <c r="E32" i="54" s="1"/>
  <c r="E33" i="54" s="1"/>
  <c r="E34" i="54" s="1"/>
  <c r="E35" i="54" s="1"/>
  <c r="E36" i="54" s="1"/>
  <c r="C29" i="54"/>
  <c r="D29" i="54" s="1"/>
  <c r="D30" i="54" s="1"/>
  <c r="D31" i="54" s="1"/>
  <c r="D32" i="54" s="1"/>
  <c r="D33" i="54" s="1"/>
  <c r="D34" i="54" s="1"/>
  <c r="D35" i="54" s="1"/>
  <c r="D36" i="54" s="1"/>
  <c r="C68" i="54"/>
  <c r="C67" i="54"/>
  <c r="P11" i="54"/>
  <c r="D49" i="54"/>
  <c r="C49" i="54"/>
  <c r="D48" i="54"/>
  <c r="C48" i="54"/>
  <c r="C47" i="54"/>
  <c r="C46" i="54"/>
  <c r="C45" i="54"/>
  <c r="B15" i="54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13" i="54"/>
  <c r="B14" i="54" s="1"/>
  <c r="H11" i="54"/>
  <c r="B11" i="54"/>
  <c r="B12" i="54" s="1"/>
  <c r="P10" i="54"/>
  <c r="C29" i="53"/>
  <c r="C68" i="53"/>
  <c r="C67" i="53"/>
  <c r="D47" i="53"/>
  <c r="D46" i="53"/>
  <c r="G11" i="53"/>
  <c r="G12" i="53" s="1"/>
  <c r="G13" i="53" s="1"/>
  <c r="G14" i="53" s="1"/>
  <c r="G15" i="53" s="1"/>
  <c r="G16" i="53" s="1"/>
  <c r="G17" i="53" s="1"/>
  <c r="G18" i="53" s="1"/>
  <c r="G19" i="53" s="1"/>
  <c r="G20" i="53" s="1"/>
  <c r="G21" i="53" s="1"/>
  <c r="G22" i="53" s="1"/>
  <c r="G23" i="53" s="1"/>
  <c r="G24" i="53" s="1"/>
  <c r="G25" i="53" s="1"/>
  <c r="G26" i="53" s="1"/>
  <c r="G27" i="53" s="1"/>
  <c r="G28" i="53" s="1"/>
  <c r="G29" i="53" s="1"/>
  <c r="G30" i="53" s="1"/>
  <c r="G31" i="53" s="1"/>
  <c r="G32" i="53" s="1"/>
  <c r="G33" i="53" s="1"/>
  <c r="G34" i="53" s="1"/>
  <c r="G35" i="53" s="1"/>
  <c r="G36" i="53" s="1"/>
  <c r="K11" i="53"/>
  <c r="K12" i="53" s="1"/>
  <c r="K13" i="53" s="1"/>
  <c r="K14" i="53" s="1"/>
  <c r="K15" i="53" s="1"/>
  <c r="K16" i="53" s="1"/>
  <c r="K17" i="53" s="1"/>
  <c r="K18" i="53" s="1"/>
  <c r="K19" i="53" s="1"/>
  <c r="K20" i="53" s="1"/>
  <c r="K21" i="53" s="1"/>
  <c r="K22" i="53" s="1"/>
  <c r="K23" i="53" s="1"/>
  <c r="K24" i="53" s="1"/>
  <c r="K25" i="53" s="1"/>
  <c r="K26" i="53" s="1"/>
  <c r="K27" i="53" s="1"/>
  <c r="K28" i="53" s="1"/>
  <c r="K29" i="53" s="1"/>
  <c r="K30" i="53" s="1"/>
  <c r="K31" i="53" s="1"/>
  <c r="K32" i="53" s="1"/>
  <c r="K33" i="53" s="1"/>
  <c r="K34" i="53" s="1"/>
  <c r="K35" i="53" s="1"/>
  <c r="K36" i="53" s="1"/>
  <c r="E11" i="53"/>
  <c r="D49" i="53"/>
  <c r="C49" i="53"/>
  <c r="D48" i="53"/>
  <c r="C48" i="53"/>
  <c r="C47" i="53"/>
  <c r="C46" i="53"/>
  <c r="C45" i="53"/>
  <c r="B13" i="53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12" i="53"/>
  <c r="H11" i="53"/>
  <c r="B11" i="53"/>
  <c r="P10" i="53"/>
  <c r="D47" i="52"/>
  <c r="D46" i="52"/>
  <c r="G11" i="52"/>
  <c r="G12" i="52" s="1"/>
  <c r="G13" i="52" s="1"/>
  <c r="G14" i="52" s="1"/>
  <c r="G15" i="52" s="1"/>
  <c r="G16" i="52" s="1"/>
  <c r="G17" i="52" s="1"/>
  <c r="G18" i="52" s="1"/>
  <c r="G19" i="52" s="1"/>
  <c r="G20" i="52" s="1"/>
  <c r="G21" i="52" s="1"/>
  <c r="G22" i="52" s="1"/>
  <c r="G23" i="52" s="1"/>
  <c r="G24" i="52" s="1"/>
  <c r="G25" i="52" s="1"/>
  <c r="G26" i="52" s="1"/>
  <c r="G27" i="52" s="1"/>
  <c r="G28" i="52" s="1"/>
  <c r="G29" i="52" s="1"/>
  <c r="G30" i="52" s="1"/>
  <c r="G31" i="52" s="1"/>
  <c r="G32" i="52" s="1"/>
  <c r="G33" i="52" s="1"/>
  <c r="G34" i="52" s="1"/>
  <c r="G35" i="52" s="1"/>
  <c r="G36" i="52" s="1"/>
  <c r="K11" i="52"/>
  <c r="K12" i="52" s="1"/>
  <c r="K13" i="52" s="1"/>
  <c r="K14" i="52" s="1"/>
  <c r="K15" i="52" s="1"/>
  <c r="K16" i="52" s="1"/>
  <c r="K17" i="52" s="1"/>
  <c r="K18" i="52" s="1"/>
  <c r="K19" i="52" s="1"/>
  <c r="K20" i="52" s="1"/>
  <c r="K21" i="52" s="1"/>
  <c r="K22" i="52" s="1"/>
  <c r="K23" i="52" s="1"/>
  <c r="K24" i="52" s="1"/>
  <c r="K25" i="52" s="1"/>
  <c r="K26" i="52" s="1"/>
  <c r="K27" i="52" s="1"/>
  <c r="K28" i="52" s="1"/>
  <c r="K29" i="52" s="1"/>
  <c r="K30" i="52" s="1"/>
  <c r="K31" i="52" s="1"/>
  <c r="K32" i="52" s="1"/>
  <c r="K33" i="52" s="1"/>
  <c r="K34" i="52" s="1"/>
  <c r="K35" i="52" s="1"/>
  <c r="K36" i="52" s="1"/>
  <c r="E11" i="52"/>
  <c r="E12" i="52" s="1"/>
  <c r="E13" i="52" s="1"/>
  <c r="E14" i="52" s="1"/>
  <c r="E15" i="52" s="1"/>
  <c r="E16" i="52" s="1"/>
  <c r="E17" i="52" s="1"/>
  <c r="E18" i="52" s="1"/>
  <c r="E19" i="52" s="1"/>
  <c r="E20" i="52" s="1"/>
  <c r="E21" i="52" s="1"/>
  <c r="E22" i="52" s="1"/>
  <c r="E23" i="52" s="1"/>
  <c r="E24" i="52" s="1"/>
  <c r="E25" i="52" s="1"/>
  <c r="E26" i="52" s="1"/>
  <c r="E27" i="52" s="1"/>
  <c r="E28" i="52" s="1"/>
  <c r="E29" i="52" s="1"/>
  <c r="E30" i="52" s="1"/>
  <c r="E31" i="52" s="1"/>
  <c r="E32" i="52" s="1"/>
  <c r="E33" i="52" s="1"/>
  <c r="E34" i="52" s="1"/>
  <c r="E35" i="52" s="1"/>
  <c r="E36" i="52" s="1"/>
  <c r="C29" i="52"/>
  <c r="D29" i="52" s="1"/>
  <c r="D30" i="52" s="1"/>
  <c r="D31" i="52" s="1"/>
  <c r="D32" i="52" s="1"/>
  <c r="D33" i="52" s="1"/>
  <c r="D34" i="52" s="1"/>
  <c r="D35" i="52" s="1"/>
  <c r="D36" i="52" s="1"/>
  <c r="C67" i="52"/>
  <c r="D49" i="52"/>
  <c r="C49" i="52"/>
  <c r="D48" i="52"/>
  <c r="C48" i="52"/>
  <c r="C47" i="52"/>
  <c r="C46" i="52"/>
  <c r="C45" i="52"/>
  <c r="B15" i="52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14" i="52"/>
  <c r="H11" i="52"/>
  <c r="B11" i="52"/>
  <c r="B12" i="52" s="1"/>
  <c r="B13" i="52" s="1"/>
  <c r="P10" i="52"/>
  <c r="H11" i="44"/>
  <c r="G11" i="44"/>
  <c r="G12" i="44" s="1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1" i="44" s="1"/>
  <c r="G32" i="44" s="1"/>
  <c r="G33" i="44" s="1"/>
  <c r="G34" i="44" s="1"/>
  <c r="G35" i="44" s="1"/>
  <c r="G36" i="44" s="1"/>
  <c r="K11" i="44"/>
  <c r="K12" i="44" s="1"/>
  <c r="K13" i="44" s="1"/>
  <c r="K14" i="44" s="1"/>
  <c r="K15" i="44" s="1"/>
  <c r="K16" i="44" s="1"/>
  <c r="K17" i="44" s="1"/>
  <c r="K18" i="44" s="1"/>
  <c r="K19" i="44" s="1"/>
  <c r="K20" i="44" s="1"/>
  <c r="K21" i="44" s="1"/>
  <c r="K22" i="44" s="1"/>
  <c r="K23" i="44" s="1"/>
  <c r="K24" i="44" s="1"/>
  <c r="K25" i="44" s="1"/>
  <c r="K26" i="44" s="1"/>
  <c r="K27" i="44" s="1"/>
  <c r="K28" i="44" s="1"/>
  <c r="K29" i="44" s="1"/>
  <c r="K30" i="44" s="1"/>
  <c r="K31" i="44" s="1"/>
  <c r="K32" i="44" s="1"/>
  <c r="K33" i="44" s="1"/>
  <c r="K34" i="44" s="1"/>
  <c r="K35" i="44" s="1"/>
  <c r="K36" i="44" s="1"/>
  <c r="E11" i="44"/>
  <c r="E12" i="44" s="1"/>
  <c r="E13" i="44" s="1"/>
  <c r="E14" i="44" s="1"/>
  <c r="E15" i="44" s="1"/>
  <c r="E16" i="44" s="1"/>
  <c r="E17" i="44" s="1"/>
  <c r="E18" i="44" s="1"/>
  <c r="E19" i="44" s="1"/>
  <c r="E20" i="44" s="1"/>
  <c r="E21" i="44" s="1"/>
  <c r="E22" i="44" s="1"/>
  <c r="E23" i="44" s="1"/>
  <c r="E24" i="44" s="1"/>
  <c r="E25" i="44" s="1"/>
  <c r="E26" i="44" s="1"/>
  <c r="E27" i="44" s="1"/>
  <c r="E28" i="44" s="1"/>
  <c r="E29" i="44" s="1"/>
  <c r="E30" i="44" s="1"/>
  <c r="E31" i="44" s="1"/>
  <c r="E32" i="44" s="1"/>
  <c r="E33" i="44" s="1"/>
  <c r="E34" i="44" s="1"/>
  <c r="E35" i="44" s="1"/>
  <c r="E36" i="44" s="1"/>
  <c r="C27" i="44"/>
  <c r="C30" i="50"/>
  <c r="D47" i="50"/>
  <c r="D46" i="50"/>
  <c r="G11" i="50"/>
  <c r="G12" i="50" s="1"/>
  <c r="G13" i="50" s="1"/>
  <c r="G14" i="50" s="1"/>
  <c r="G15" i="50" s="1"/>
  <c r="G16" i="50" s="1"/>
  <c r="G17" i="50" s="1"/>
  <c r="G18" i="50" s="1"/>
  <c r="G19" i="50" s="1"/>
  <c r="G20" i="50" s="1"/>
  <c r="G21" i="50" s="1"/>
  <c r="G22" i="50" s="1"/>
  <c r="G23" i="50" s="1"/>
  <c r="G24" i="50" s="1"/>
  <c r="G25" i="50" s="1"/>
  <c r="G26" i="50" s="1"/>
  <c r="G27" i="50" s="1"/>
  <c r="G28" i="50" s="1"/>
  <c r="G29" i="50" s="1"/>
  <c r="G30" i="50" s="1"/>
  <c r="G31" i="50" s="1"/>
  <c r="G32" i="50" s="1"/>
  <c r="G33" i="50" s="1"/>
  <c r="G34" i="50" s="1"/>
  <c r="G35" i="50" s="1"/>
  <c r="G36" i="50" s="1"/>
  <c r="K11" i="50"/>
  <c r="K12" i="50" s="1"/>
  <c r="K13" i="50" s="1"/>
  <c r="K14" i="50" s="1"/>
  <c r="K15" i="50" s="1"/>
  <c r="K16" i="50" s="1"/>
  <c r="K17" i="50" s="1"/>
  <c r="K18" i="50" s="1"/>
  <c r="K19" i="50" s="1"/>
  <c r="K20" i="50" s="1"/>
  <c r="K21" i="50" s="1"/>
  <c r="K22" i="50" s="1"/>
  <c r="K23" i="50" s="1"/>
  <c r="K24" i="50" s="1"/>
  <c r="K25" i="50" s="1"/>
  <c r="K26" i="50" s="1"/>
  <c r="K27" i="50" s="1"/>
  <c r="K28" i="50" s="1"/>
  <c r="K29" i="50" s="1"/>
  <c r="K30" i="50" s="1"/>
  <c r="K31" i="50" s="1"/>
  <c r="K32" i="50" s="1"/>
  <c r="K33" i="50" s="1"/>
  <c r="K34" i="50" s="1"/>
  <c r="K35" i="50" s="1"/>
  <c r="K36" i="50" s="1"/>
  <c r="E11" i="50"/>
  <c r="C24" i="42"/>
  <c r="C68" i="50"/>
  <c r="C67" i="50"/>
  <c r="H11" i="50"/>
  <c r="H12" i="50" s="1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C49" i="50"/>
  <c r="D48" i="50"/>
  <c r="C48" i="50"/>
  <c r="C47" i="50"/>
  <c r="C46" i="50"/>
  <c r="C45" i="50"/>
  <c r="D44" i="50"/>
  <c r="D49" i="50" s="1"/>
  <c r="B12" i="50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11" i="50"/>
  <c r="P10" i="50"/>
  <c r="D44" i="42"/>
  <c r="G11" i="42"/>
  <c r="G12" i="42" s="1"/>
  <c r="G13" i="42" s="1"/>
  <c r="G14" i="42" s="1"/>
  <c r="G15" i="42" s="1"/>
  <c r="G16" i="42" s="1"/>
  <c r="G17" i="42" s="1"/>
  <c r="G18" i="42" s="1"/>
  <c r="G19" i="42" s="1"/>
  <c r="G20" i="42" s="1"/>
  <c r="G21" i="42" s="1"/>
  <c r="G22" i="42" s="1"/>
  <c r="G23" i="42" s="1"/>
  <c r="G24" i="42" s="1"/>
  <c r="G25" i="42" s="1"/>
  <c r="G26" i="42" s="1"/>
  <c r="G27" i="42" s="1"/>
  <c r="G28" i="42" s="1"/>
  <c r="G29" i="42" s="1"/>
  <c r="G30" i="42" s="1"/>
  <c r="G31" i="42" s="1"/>
  <c r="G32" i="42" s="1"/>
  <c r="G33" i="42" s="1"/>
  <c r="G34" i="42" s="1"/>
  <c r="G35" i="42" s="1"/>
  <c r="G36" i="42" s="1"/>
  <c r="C15" i="49"/>
  <c r="C69" i="49"/>
  <c r="C70" i="49" s="1"/>
  <c r="C67" i="49"/>
  <c r="C68" i="49" s="1"/>
  <c r="D47" i="49"/>
  <c r="D46" i="49"/>
  <c r="H11" i="49"/>
  <c r="H12" i="49" s="1"/>
  <c r="H13" i="49" s="1"/>
  <c r="H14" i="49" s="1"/>
  <c r="H15" i="49" s="1"/>
  <c r="H16" i="49" s="1"/>
  <c r="H17" i="49" s="1"/>
  <c r="H18" i="49" s="1"/>
  <c r="H19" i="49" s="1"/>
  <c r="H20" i="49" s="1"/>
  <c r="H21" i="49" s="1"/>
  <c r="H22" i="49" s="1"/>
  <c r="H23" i="49" s="1"/>
  <c r="H24" i="49" s="1"/>
  <c r="H25" i="49" s="1"/>
  <c r="H26" i="49" s="1"/>
  <c r="H27" i="49" s="1"/>
  <c r="H28" i="49" s="1"/>
  <c r="H29" i="49" s="1"/>
  <c r="G11" i="49"/>
  <c r="G12" i="49" s="1"/>
  <c r="G13" i="49" s="1"/>
  <c r="G14" i="49" s="1"/>
  <c r="G15" i="49" s="1"/>
  <c r="G16" i="49" s="1"/>
  <c r="G17" i="49" s="1"/>
  <c r="G18" i="49" s="1"/>
  <c r="G19" i="49" s="1"/>
  <c r="G20" i="49" s="1"/>
  <c r="G21" i="49" s="1"/>
  <c r="G22" i="49" s="1"/>
  <c r="G23" i="49" s="1"/>
  <c r="G24" i="49" s="1"/>
  <c r="G25" i="49" s="1"/>
  <c r="G26" i="49" s="1"/>
  <c r="G27" i="49" s="1"/>
  <c r="G28" i="49" s="1"/>
  <c r="G29" i="49" s="1"/>
  <c r="L11" i="49"/>
  <c r="L12" i="49" s="1"/>
  <c r="L13" i="49" s="1"/>
  <c r="L14" i="49" s="1"/>
  <c r="L15" i="49" s="1"/>
  <c r="L16" i="49" s="1"/>
  <c r="L17" i="49" s="1"/>
  <c r="L18" i="49" s="1"/>
  <c r="L19" i="49" s="1"/>
  <c r="L20" i="49" s="1"/>
  <c r="L21" i="49" s="1"/>
  <c r="L22" i="49" s="1"/>
  <c r="L23" i="49" s="1"/>
  <c r="L24" i="49" s="1"/>
  <c r="L25" i="49" s="1"/>
  <c r="L26" i="49" s="1"/>
  <c r="L27" i="49" s="1"/>
  <c r="L28" i="49" s="1"/>
  <c r="L29" i="49" s="1"/>
  <c r="E11" i="49"/>
  <c r="E12" i="49" s="1"/>
  <c r="E13" i="49" s="1"/>
  <c r="E14" i="49" s="1"/>
  <c r="E15" i="49" s="1"/>
  <c r="E16" i="49" s="1"/>
  <c r="E17" i="49" s="1"/>
  <c r="E18" i="49" s="1"/>
  <c r="E19" i="49" s="1"/>
  <c r="E20" i="49" s="1"/>
  <c r="E21" i="49" s="1"/>
  <c r="E22" i="49" s="1"/>
  <c r="E23" i="49" s="1"/>
  <c r="E24" i="49" s="1"/>
  <c r="E25" i="49" s="1"/>
  <c r="E26" i="49" s="1"/>
  <c r="E27" i="49" s="1"/>
  <c r="E28" i="49" s="1"/>
  <c r="E29" i="49" s="1"/>
  <c r="D49" i="49"/>
  <c r="C49" i="49"/>
  <c r="D48" i="49"/>
  <c r="C48" i="49"/>
  <c r="C47" i="49"/>
  <c r="C46" i="49"/>
  <c r="C45" i="49"/>
  <c r="B11" i="49"/>
  <c r="B12" i="49" s="1"/>
  <c r="B13" i="49" s="1"/>
  <c r="B14" i="49" s="1"/>
  <c r="K11" i="42"/>
  <c r="K12" i="42" s="1"/>
  <c r="K13" i="42" s="1"/>
  <c r="K14" i="42" s="1"/>
  <c r="K15" i="42" s="1"/>
  <c r="K16" i="42" s="1"/>
  <c r="K17" i="42" s="1"/>
  <c r="K18" i="42" s="1"/>
  <c r="K19" i="42" s="1"/>
  <c r="K20" i="42" s="1"/>
  <c r="K21" i="42" s="1"/>
  <c r="K22" i="42" s="1"/>
  <c r="K23" i="42" s="1"/>
  <c r="K24" i="42" s="1"/>
  <c r="K25" i="42" s="1"/>
  <c r="K26" i="42" s="1"/>
  <c r="K27" i="42" s="1"/>
  <c r="K28" i="42" s="1"/>
  <c r="K29" i="42" s="1"/>
  <c r="K30" i="42" s="1"/>
  <c r="K31" i="42" s="1"/>
  <c r="K32" i="42" s="1"/>
  <c r="K33" i="42" s="1"/>
  <c r="K34" i="42" s="1"/>
  <c r="K35" i="42" s="1"/>
  <c r="K36" i="42" s="1"/>
  <c r="F11" i="58" l="1"/>
  <c r="E12" i="58"/>
  <c r="E13" i="58" s="1"/>
  <c r="E14" i="58" s="1"/>
  <c r="E15" i="58" s="1"/>
  <c r="E16" i="58" s="1"/>
  <c r="E17" i="58" s="1"/>
  <c r="E18" i="58" s="1"/>
  <c r="E19" i="58" s="1"/>
  <c r="E20" i="58" s="1"/>
  <c r="E21" i="58" s="1"/>
  <c r="E22" i="58" s="1"/>
  <c r="E23" i="58" s="1"/>
  <c r="E24" i="58" s="1"/>
  <c r="E25" i="58" s="1"/>
  <c r="E26" i="58" s="1"/>
  <c r="E27" i="58" s="1"/>
  <c r="E28" i="58" s="1"/>
  <c r="E29" i="58" s="1"/>
  <c r="E30" i="58" s="1"/>
  <c r="E31" i="58" s="1"/>
  <c r="E32" i="58" s="1"/>
  <c r="E33" i="58" s="1"/>
  <c r="E34" i="58" s="1"/>
  <c r="E35" i="58" s="1"/>
  <c r="E36" i="58" s="1"/>
  <c r="F11" i="60"/>
  <c r="E12" i="60"/>
  <c r="E13" i="60" s="1"/>
  <c r="E14" i="60" s="1"/>
  <c r="E15" i="60" s="1"/>
  <c r="E16" i="60" s="1"/>
  <c r="E17" i="60" s="1"/>
  <c r="E18" i="60" s="1"/>
  <c r="E19" i="60" s="1"/>
  <c r="E20" i="60" s="1"/>
  <c r="E21" i="60" s="1"/>
  <c r="E22" i="60" s="1"/>
  <c r="E23" i="60" s="1"/>
  <c r="E24" i="60" s="1"/>
  <c r="E25" i="60" s="1"/>
  <c r="E26" i="60" s="1"/>
  <c r="E27" i="60" s="1"/>
  <c r="E28" i="60" s="1"/>
  <c r="E29" i="60" s="1"/>
  <c r="E30" i="60" s="1"/>
  <c r="E31" i="60" s="1"/>
  <c r="E32" i="60" s="1"/>
  <c r="E33" i="60" s="1"/>
  <c r="E34" i="60" s="1"/>
  <c r="E35" i="60" s="1"/>
  <c r="E36" i="60" s="1"/>
  <c r="F11" i="50"/>
  <c r="E12" i="50"/>
  <c r="E13" i="50" s="1"/>
  <c r="E14" i="50" s="1"/>
  <c r="E15" i="50" s="1"/>
  <c r="E16" i="50" s="1"/>
  <c r="E17" i="50" s="1"/>
  <c r="E18" i="50" s="1"/>
  <c r="E19" i="50" s="1"/>
  <c r="E20" i="50" s="1"/>
  <c r="E21" i="50" s="1"/>
  <c r="E22" i="50" s="1"/>
  <c r="E23" i="50" s="1"/>
  <c r="E24" i="50" s="1"/>
  <c r="E25" i="50" s="1"/>
  <c r="E26" i="50" s="1"/>
  <c r="E27" i="50" s="1"/>
  <c r="E28" i="50" s="1"/>
  <c r="E29" i="50" s="1"/>
  <c r="E30" i="50" s="1"/>
  <c r="E31" i="50" s="1"/>
  <c r="E32" i="50" s="1"/>
  <c r="E33" i="50" s="1"/>
  <c r="E34" i="50" s="1"/>
  <c r="E35" i="50" s="1"/>
  <c r="E36" i="50" s="1"/>
  <c r="F11" i="53"/>
  <c r="E12" i="53"/>
  <c r="E13" i="53" s="1"/>
  <c r="E14" i="53" s="1"/>
  <c r="E15" i="53" s="1"/>
  <c r="E16" i="53" s="1"/>
  <c r="E17" i="53" s="1"/>
  <c r="E18" i="53" s="1"/>
  <c r="E19" i="53" s="1"/>
  <c r="E20" i="53" s="1"/>
  <c r="E21" i="53" s="1"/>
  <c r="E22" i="53" s="1"/>
  <c r="E23" i="53" s="1"/>
  <c r="E24" i="53" s="1"/>
  <c r="E25" i="53" s="1"/>
  <c r="E26" i="53" s="1"/>
  <c r="E27" i="53" s="1"/>
  <c r="E28" i="53" s="1"/>
  <c r="E29" i="53" s="1"/>
  <c r="E30" i="53" s="1"/>
  <c r="E31" i="53" s="1"/>
  <c r="E32" i="53" s="1"/>
  <c r="E33" i="53" s="1"/>
  <c r="E34" i="53" s="1"/>
  <c r="E35" i="53" s="1"/>
  <c r="E36" i="53" s="1"/>
  <c r="F11" i="56"/>
  <c r="E12" i="56"/>
  <c r="E13" i="56" s="1"/>
  <c r="E14" i="56" s="1"/>
  <c r="E15" i="56" s="1"/>
  <c r="E16" i="56" s="1"/>
  <c r="E17" i="56" s="1"/>
  <c r="E18" i="56" s="1"/>
  <c r="E19" i="56" s="1"/>
  <c r="E20" i="56" s="1"/>
  <c r="E21" i="56" s="1"/>
  <c r="E22" i="56" s="1"/>
  <c r="E23" i="56" s="1"/>
  <c r="E24" i="56" s="1"/>
  <c r="E25" i="56" s="1"/>
  <c r="E26" i="56" s="1"/>
  <c r="E27" i="56" s="1"/>
  <c r="E28" i="56" s="1"/>
  <c r="E29" i="56" s="1"/>
  <c r="E30" i="56" s="1"/>
  <c r="E31" i="56" s="1"/>
  <c r="E32" i="56" s="1"/>
  <c r="E33" i="56" s="1"/>
  <c r="E34" i="56" s="1"/>
  <c r="E35" i="56" s="1"/>
  <c r="E36" i="56" s="1"/>
  <c r="F11" i="57"/>
  <c r="I11" i="57" s="1"/>
  <c r="J11" i="57" s="1"/>
  <c r="E12" i="57"/>
  <c r="E13" i="57" s="1"/>
  <c r="E14" i="57" s="1"/>
  <c r="E15" i="57" s="1"/>
  <c r="E16" i="57" s="1"/>
  <c r="E17" i="57" s="1"/>
  <c r="E18" i="57" s="1"/>
  <c r="E19" i="57" s="1"/>
  <c r="E20" i="57" s="1"/>
  <c r="E21" i="57" s="1"/>
  <c r="E22" i="57" s="1"/>
  <c r="E23" i="57" s="1"/>
  <c r="E24" i="57" s="1"/>
  <c r="E25" i="57" s="1"/>
  <c r="E26" i="57" s="1"/>
  <c r="E27" i="57" s="1"/>
  <c r="E28" i="57" s="1"/>
  <c r="E29" i="57" s="1"/>
  <c r="E30" i="57" s="1"/>
  <c r="E31" i="57" s="1"/>
  <c r="E32" i="57" s="1"/>
  <c r="E33" i="57" s="1"/>
  <c r="E34" i="57" s="1"/>
  <c r="E35" i="57" s="1"/>
  <c r="E36" i="57" s="1"/>
  <c r="D27" i="40"/>
  <c r="D28" i="40" s="1"/>
  <c r="D29" i="40" s="1"/>
  <c r="D30" i="40" s="1"/>
  <c r="D31" i="40" s="1"/>
  <c r="D32" i="40" s="1"/>
  <c r="D33" i="40" s="1"/>
  <c r="D34" i="40" s="1"/>
  <c r="D35" i="40" s="1"/>
  <c r="D36" i="40" s="1"/>
  <c r="B3" i="50"/>
  <c r="C52" i="50" s="1"/>
  <c r="B9" i="50" s="1"/>
  <c r="P12" i="54"/>
  <c r="B3" i="58"/>
  <c r="C52" i="58" s="1"/>
  <c r="B9" i="58" s="1"/>
  <c r="P11" i="52"/>
  <c r="F12" i="59"/>
  <c r="P11" i="50"/>
  <c r="P12" i="50" s="1"/>
  <c r="P11" i="53"/>
  <c r="P12" i="53" s="1"/>
  <c r="P13" i="53" s="1"/>
  <c r="D20" i="62"/>
  <c r="F19" i="62"/>
  <c r="I19" i="62" s="1"/>
  <c r="J19" i="62" s="1"/>
  <c r="F69" i="62"/>
  <c r="F11" i="49"/>
  <c r="J11" i="49" s="1"/>
  <c r="K11" i="49" s="1"/>
  <c r="B3" i="56"/>
  <c r="C52" i="56" s="1"/>
  <c r="B9" i="56" s="1"/>
  <c r="D27" i="61"/>
  <c r="D28" i="61" s="1"/>
  <c r="D29" i="61" s="1"/>
  <c r="D30" i="61" s="1"/>
  <c r="D31" i="61" s="1"/>
  <c r="D32" i="61" s="1"/>
  <c r="D33" i="61" s="1"/>
  <c r="D34" i="61" s="1"/>
  <c r="D35" i="61" s="1"/>
  <c r="D36" i="61" s="1"/>
  <c r="D29" i="53"/>
  <c r="D30" i="53" s="1"/>
  <c r="D31" i="53" s="1"/>
  <c r="D32" i="53" s="1"/>
  <c r="D33" i="53" s="1"/>
  <c r="D34" i="53" s="1"/>
  <c r="D35" i="53" s="1"/>
  <c r="D36" i="53" s="1"/>
  <c r="I11" i="53"/>
  <c r="J11" i="53" s="1"/>
  <c r="D47" i="55"/>
  <c r="B3" i="59"/>
  <c r="C52" i="59" s="1"/>
  <c r="B9" i="59" s="1"/>
  <c r="B3" i="60"/>
  <c r="C52" i="60" s="1"/>
  <c r="B9" i="60" s="1"/>
  <c r="D15" i="49"/>
  <c r="D16" i="49" s="1"/>
  <c r="D17" i="49" s="1"/>
  <c r="D18" i="49" s="1"/>
  <c r="D19" i="49" s="1"/>
  <c r="D20" i="49" s="1"/>
  <c r="D21" i="49" s="1"/>
  <c r="D22" i="49" s="1"/>
  <c r="D23" i="49" s="1"/>
  <c r="D24" i="49" s="1"/>
  <c r="D25" i="49" s="1"/>
  <c r="D26" i="49" s="1"/>
  <c r="D27" i="49" s="1"/>
  <c r="D28" i="49" s="1"/>
  <c r="D29" i="49" s="1"/>
  <c r="B3" i="53"/>
  <c r="C52" i="53" s="1"/>
  <c r="B9" i="53" s="1"/>
  <c r="D24" i="42"/>
  <c r="D25" i="42" s="1"/>
  <c r="D26" i="42" s="1"/>
  <c r="D27" i="42" s="1"/>
  <c r="D28" i="42" s="1"/>
  <c r="D29" i="42" s="1"/>
  <c r="D30" i="42" s="1"/>
  <c r="D31" i="42" s="1"/>
  <c r="D32" i="42" s="1"/>
  <c r="D33" i="42" s="1"/>
  <c r="D34" i="42" s="1"/>
  <c r="D35" i="42" s="1"/>
  <c r="D36" i="42" s="1"/>
  <c r="I11" i="50"/>
  <c r="J11" i="50" s="1"/>
  <c r="B3" i="49"/>
  <c r="C52" i="49" s="1"/>
  <c r="B9" i="49" s="1"/>
  <c r="D30" i="50"/>
  <c r="D31" i="50" s="1"/>
  <c r="D32" i="50" s="1"/>
  <c r="D33" i="50" s="1"/>
  <c r="D34" i="50" s="1"/>
  <c r="D35" i="50" s="1"/>
  <c r="D36" i="50" s="1"/>
  <c r="D27" i="44"/>
  <c r="D28" i="44" s="1"/>
  <c r="D29" i="44" s="1"/>
  <c r="D30" i="44" s="1"/>
  <c r="D31" i="44" s="1"/>
  <c r="D32" i="44" s="1"/>
  <c r="D33" i="44" s="1"/>
  <c r="D34" i="44" s="1"/>
  <c r="D35" i="44" s="1"/>
  <c r="D36" i="44" s="1"/>
  <c r="D47" i="54"/>
  <c r="D27" i="57"/>
  <c r="D28" i="57" s="1"/>
  <c r="D29" i="57" s="1"/>
  <c r="D30" i="57" s="1"/>
  <c r="D31" i="57" s="1"/>
  <c r="D32" i="57" s="1"/>
  <c r="D33" i="57" s="1"/>
  <c r="D34" i="57" s="1"/>
  <c r="D35" i="57" s="1"/>
  <c r="D36" i="57" s="1"/>
  <c r="D29" i="55"/>
  <c r="D30" i="55" s="1"/>
  <c r="D31" i="55" s="1"/>
  <c r="D32" i="55" s="1"/>
  <c r="D33" i="55" s="1"/>
  <c r="D34" i="55" s="1"/>
  <c r="D35" i="55" s="1"/>
  <c r="D36" i="55" s="1"/>
  <c r="D26" i="60"/>
  <c r="D27" i="60" s="1"/>
  <c r="D28" i="60" s="1"/>
  <c r="D29" i="60" s="1"/>
  <c r="D30" i="60" s="1"/>
  <c r="D31" i="60" s="1"/>
  <c r="D32" i="60" s="1"/>
  <c r="D33" i="60" s="1"/>
  <c r="D34" i="60" s="1"/>
  <c r="D35" i="60" s="1"/>
  <c r="D36" i="60" s="1"/>
  <c r="D26" i="56"/>
  <c r="D27" i="56" s="1"/>
  <c r="D28" i="56" s="1"/>
  <c r="D29" i="56" s="1"/>
  <c r="D30" i="56" s="1"/>
  <c r="D31" i="56" s="1"/>
  <c r="D32" i="56" s="1"/>
  <c r="D33" i="56" s="1"/>
  <c r="D34" i="56" s="1"/>
  <c r="D35" i="56" s="1"/>
  <c r="D36" i="56" s="1"/>
  <c r="D25" i="59"/>
  <c r="D26" i="59" s="1"/>
  <c r="D27" i="59" s="1"/>
  <c r="D28" i="59" s="1"/>
  <c r="D29" i="59" s="1"/>
  <c r="D30" i="59" s="1"/>
  <c r="D31" i="59" s="1"/>
  <c r="D32" i="59" s="1"/>
  <c r="D33" i="59" s="1"/>
  <c r="D34" i="59" s="1"/>
  <c r="D35" i="59" s="1"/>
  <c r="D36" i="59" s="1"/>
  <c r="F11" i="61"/>
  <c r="I11" i="61" s="1"/>
  <c r="J11" i="61" s="1"/>
  <c r="C68" i="61"/>
  <c r="D47" i="61"/>
  <c r="I11" i="60"/>
  <c r="J11" i="60" s="1"/>
  <c r="C69" i="60"/>
  <c r="C69" i="59"/>
  <c r="F11" i="59"/>
  <c r="I11" i="59" s="1"/>
  <c r="J11" i="59" s="1"/>
  <c r="I11" i="58"/>
  <c r="J11" i="58" s="1"/>
  <c r="C70" i="58"/>
  <c r="C70" i="57"/>
  <c r="C70" i="56"/>
  <c r="F11" i="55"/>
  <c r="I11" i="55" s="1"/>
  <c r="J11" i="55" s="1"/>
  <c r="C69" i="55"/>
  <c r="F12" i="54"/>
  <c r="F11" i="54"/>
  <c r="I11" i="54" s="1"/>
  <c r="J11" i="54" s="1"/>
  <c r="C69" i="54"/>
  <c r="C69" i="53"/>
  <c r="F11" i="52"/>
  <c r="I11" i="52" s="1"/>
  <c r="J11" i="52" s="1"/>
  <c r="C68" i="52"/>
  <c r="B3" i="52"/>
  <c r="C52" i="52" s="1"/>
  <c r="B9" i="52" s="1"/>
  <c r="C69" i="50"/>
  <c r="B15" i="49"/>
  <c r="C71" i="49"/>
  <c r="F12" i="57" l="1"/>
  <c r="I12" i="57" s="1"/>
  <c r="J12" i="57" s="1"/>
  <c r="I12" i="54"/>
  <c r="J12" i="54" s="1"/>
  <c r="I12" i="59"/>
  <c r="J12" i="59" s="1"/>
  <c r="P13" i="54"/>
  <c r="F12" i="61"/>
  <c r="D21" i="62"/>
  <c r="F20" i="62"/>
  <c r="I20" i="62" s="1"/>
  <c r="J20" i="62" s="1"/>
  <c r="F70" i="62"/>
  <c r="C69" i="61"/>
  <c r="C70" i="60"/>
  <c r="C70" i="59"/>
  <c r="F12" i="58"/>
  <c r="I12" i="58" s="1"/>
  <c r="J12" i="58" s="1"/>
  <c r="C71" i="58"/>
  <c r="C71" i="57"/>
  <c r="F12" i="56"/>
  <c r="I12" i="56" s="1"/>
  <c r="J12" i="56" s="1"/>
  <c r="C71" i="56"/>
  <c r="I11" i="56"/>
  <c r="J11" i="56" s="1"/>
  <c r="D12" i="55"/>
  <c r="C70" i="55"/>
  <c r="C70" i="54"/>
  <c r="C70" i="53"/>
  <c r="F12" i="53"/>
  <c r="I12" i="53" s="1"/>
  <c r="J12" i="53" s="1"/>
  <c r="C69" i="52"/>
  <c r="P12" i="52"/>
  <c r="F12" i="50"/>
  <c r="I12" i="50" s="1"/>
  <c r="J12" i="50" s="1"/>
  <c r="C70" i="50"/>
  <c r="P13" i="50"/>
  <c r="B16" i="49"/>
  <c r="C72" i="49"/>
  <c r="F13" i="57" l="1"/>
  <c r="I13" i="57" s="1"/>
  <c r="J13" i="57" s="1"/>
  <c r="I12" i="61"/>
  <c r="J12" i="61" s="1"/>
  <c r="P14" i="54"/>
  <c r="P14" i="50"/>
  <c r="F21" i="62"/>
  <c r="I21" i="62" s="1"/>
  <c r="J21" i="62" s="1"/>
  <c r="D22" i="62"/>
  <c r="F71" i="62"/>
  <c r="C70" i="61"/>
  <c r="F12" i="60"/>
  <c r="I12" i="60" s="1"/>
  <c r="J12" i="60" s="1"/>
  <c r="C71" i="60"/>
  <c r="C71" i="59"/>
  <c r="F13" i="59"/>
  <c r="I13" i="59" s="1"/>
  <c r="J13" i="59" s="1"/>
  <c r="F13" i="58"/>
  <c r="I13" i="58" s="1"/>
  <c r="J13" i="58" s="1"/>
  <c r="C72" i="58"/>
  <c r="F14" i="57"/>
  <c r="I14" i="57" s="1"/>
  <c r="J14" i="57" s="1"/>
  <c r="C72" i="57"/>
  <c r="C72" i="56"/>
  <c r="F13" i="56"/>
  <c r="I13" i="56" s="1"/>
  <c r="J13" i="56" s="1"/>
  <c r="D13" i="55"/>
  <c r="F12" i="55"/>
  <c r="I12" i="55" s="1"/>
  <c r="J12" i="55" s="1"/>
  <c r="C71" i="55"/>
  <c r="F13" i="54"/>
  <c r="I13" i="54" s="1"/>
  <c r="J13" i="54" s="1"/>
  <c r="C71" i="54"/>
  <c r="P14" i="53"/>
  <c r="F13" i="53"/>
  <c r="I13" i="53" s="1"/>
  <c r="J13" i="53" s="1"/>
  <c r="C71" i="53"/>
  <c r="P13" i="52"/>
  <c r="C70" i="52"/>
  <c r="F12" i="52"/>
  <c r="I12" i="52" s="1"/>
  <c r="J12" i="52" s="1"/>
  <c r="C71" i="50"/>
  <c r="F13" i="50"/>
  <c r="I13" i="50" s="1"/>
  <c r="J13" i="50" s="1"/>
  <c r="F12" i="49"/>
  <c r="J12" i="49" s="1"/>
  <c r="K12" i="49" s="1"/>
  <c r="B17" i="49"/>
  <c r="C73" i="49"/>
  <c r="P15" i="54" l="1"/>
  <c r="F72" i="62"/>
  <c r="D23" i="62"/>
  <c r="F22" i="62"/>
  <c r="I22" i="62" s="1"/>
  <c r="J22" i="62" s="1"/>
  <c r="F13" i="61"/>
  <c r="I13" i="61" s="1"/>
  <c r="J13" i="61" s="1"/>
  <c r="C71" i="61"/>
  <c r="C72" i="60"/>
  <c r="F13" i="60"/>
  <c r="I13" i="60" s="1"/>
  <c r="J13" i="60" s="1"/>
  <c r="C72" i="59"/>
  <c r="F14" i="59"/>
  <c r="I14" i="59" s="1"/>
  <c r="J14" i="59" s="1"/>
  <c r="C24" i="58"/>
  <c r="D24" i="58" s="1"/>
  <c r="D25" i="58" s="1"/>
  <c r="D26" i="58" s="1"/>
  <c r="D27" i="58" s="1"/>
  <c r="D28" i="58" s="1"/>
  <c r="D29" i="58" s="1"/>
  <c r="D30" i="58" s="1"/>
  <c r="D31" i="58" s="1"/>
  <c r="D32" i="58" s="1"/>
  <c r="D33" i="58" s="1"/>
  <c r="D34" i="58" s="1"/>
  <c r="D35" i="58" s="1"/>
  <c r="D36" i="58" s="1"/>
  <c r="F14" i="58"/>
  <c r="I14" i="58" s="1"/>
  <c r="J14" i="58" s="1"/>
  <c r="C73" i="58"/>
  <c r="F15" i="57"/>
  <c r="I15" i="57" s="1"/>
  <c r="J15" i="57" s="1"/>
  <c r="C73" i="57"/>
  <c r="C73" i="56"/>
  <c r="F14" i="56"/>
  <c r="I14" i="56" s="1"/>
  <c r="J14" i="56" s="1"/>
  <c r="C72" i="55"/>
  <c r="F13" i="55"/>
  <c r="I13" i="55" s="1"/>
  <c r="J13" i="55" s="1"/>
  <c r="D14" i="55"/>
  <c r="F14" i="54"/>
  <c r="I14" i="54" s="1"/>
  <c r="J14" i="54" s="1"/>
  <c r="C72" i="54"/>
  <c r="P15" i="53"/>
  <c r="C72" i="53"/>
  <c r="F14" i="53"/>
  <c r="I14" i="53" s="1"/>
  <c r="J14" i="53" s="1"/>
  <c r="F13" i="52"/>
  <c r="I13" i="52" s="1"/>
  <c r="J13" i="52" s="1"/>
  <c r="P14" i="52"/>
  <c r="C71" i="52"/>
  <c r="C72" i="50"/>
  <c r="P15" i="50"/>
  <c r="F14" i="50"/>
  <c r="I14" i="50" s="1"/>
  <c r="J14" i="50" s="1"/>
  <c r="F13" i="49"/>
  <c r="J13" i="49" s="1"/>
  <c r="K13" i="49" s="1"/>
  <c r="C74" i="49"/>
  <c r="B18" i="49"/>
  <c r="P16" i="54" l="1"/>
  <c r="P16" i="53"/>
  <c r="F73" i="62"/>
  <c r="D24" i="62"/>
  <c r="F23" i="62"/>
  <c r="I23" i="62" s="1"/>
  <c r="J23" i="62" s="1"/>
  <c r="F14" i="61"/>
  <c r="I14" i="61" s="1"/>
  <c r="J14" i="61" s="1"/>
  <c r="C72" i="61"/>
  <c r="F14" i="60"/>
  <c r="I14" i="60" s="1"/>
  <c r="J14" i="60" s="1"/>
  <c r="C73" i="60"/>
  <c r="F15" i="59"/>
  <c r="I15" i="59" s="1"/>
  <c r="J15" i="59" s="1"/>
  <c r="C73" i="59"/>
  <c r="C74" i="58"/>
  <c r="F15" i="58"/>
  <c r="I15" i="58" s="1"/>
  <c r="J15" i="58" s="1"/>
  <c r="F16" i="57"/>
  <c r="I16" i="57" s="1"/>
  <c r="J16" i="57" s="1"/>
  <c r="C74" i="57"/>
  <c r="C74" i="56"/>
  <c r="F15" i="56"/>
  <c r="I15" i="56" s="1"/>
  <c r="J15" i="56" s="1"/>
  <c r="C73" i="55"/>
  <c r="D15" i="55"/>
  <c r="F14" i="55"/>
  <c r="I14" i="55" s="1"/>
  <c r="J14" i="55" s="1"/>
  <c r="C73" i="54"/>
  <c r="F15" i="54"/>
  <c r="I15" i="54" s="1"/>
  <c r="J15" i="54" s="1"/>
  <c r="C73" i="53"/>
  <c r="F15" i="53"/>
  <c r="I15" i="53" s="1"/>
  <c r="J15" i="53" s="1"/>
  <c r="C72" i="52"/>
  <c r="F14" i="52"/>
  <c r="I14" i="52" s="1"/>
  <c r="J14" i="52" s="1"/>
  <c r="P15" i="52"/>
  <c r="F15" i="50"/>
  <c r="I15" i="50" s="1"/>
  <c r="J15" i="50" s="1"/>
  <c r="P16" i="50"/>
  <c r="C73" i="50"/>
  <c r="F66" i="49"/>
  <c r="F14" i="49"/>
  <c r="J14" i="49" s="1"/>
  <c r="K14" i="49" s="1"/>
  <c r="B19" i="49"/>
  <c r="P17" i="54" l="1"/>
  <c r="P17" i="53"/>
  <c r="F74" i="62"/>
  <c r="F24" i="62"/>
  <c r="I24" i="62" s="1"/>
  <c r="J24" i="62" s="1"/>
  <c r="D25" i="62"/>
  <c r="C73" i="61"/>
  <c r="F15" i="61"/>
  <c r="I15" i="61" s="1"/>
  <c r="J15" i="61" s="1"/>
  <c r="F15" i="60"/>
  <c r="I15" i="60" s="1"/>
  <c r="J15" i="60" s="1"/>
  <c r="C74" i="60"/>
  <c r="C74" i="59"/>
  <c r="F16" i="59"/>
  <c r="I16" i="59" s="1"/>
  <c r="J16" i="59" s="1"/>
  <c r="F16" i="58"/>
  <c r="I16" i="58" s="1"/>
  <c r="J16" i="58" s="1"/>
  <c r="F66" i="58"/>
  <c r="F66" i="57"/>
  <c r="F17" i="57"/>
  <c r="I17" i="57" s="1"/>
  <c r="J17" i="57" s="1"/>
  <c r="F66" i="56"/>
  <c r="F16" i="56"/>
  <c r="I16" i="56" s="1"/>
  <c r="J16" i="56" s="1"/>
  <c r="C74" i="55"/>
  <c r="F15" i="55"/>
  <c r="I15" i="55" s="1"/>
  <c r="J15" i="55" s="1"/>
  <c r="D16" i="55"/>
  <c r="C74" i="54"/>
  <c r="F16" i="54"/>
  <c r="I16" i="54" s="1"/>
  <c r="J16" i="54" s="1"/>
  <c r="F16" i="53"/>
  <c r="I16" i="53" s="1"/>
  <c r="J16" i="53" s="1"/>
  <c r="C74" i="53"/>
  <c r="C73" i="52"/>
  <c r="F15" i="52"/>
  <c r="I15" i="52" s="1"/>
  <c r="J15" i="52" s="1"/>
  <c r="P16" i="52"/>
  <c r="C74" i="50"/>
  <c r="F16" i="50"/>
  <c r="I16" i="50" s="1"/>
  <c r="J16" i="50" s="1"/>
  <c r="P17" i="50"/>
  <c r="F67" i="49"/>
  <c r="B20" i="49"/>
  <c r="F15" i="49"/>
  <c r="J15" i="49" s="1"/>
  <c r="K15" i="49" s="1"/>
  <c r="P18" i="54" l="1"/>
  <c r="P19" i="54" s="1"/>
  <c r="P18" i="53"/>
  <c r="P17" i="52"/>
  <c r="F25" i="62"/>
  <c r="I25" i="62" s="1"/>
  <c r="J25" i="62" s="1"/>
  <c r="D26" i="62"/>
  <c r="I66" i="62"/>
  <c r="F16" i="61"/>
  <c r="I16" i="61" s="1"/>
  <c r="J16" i="61" s="1"/>
  <c r="C74" i="61"/>
  <c r="F16" i="60"/>
  <c r="I16" i="60" s="1"/>
  <c r="J16" i="60" s="1"/>
  <c r="F66" i="60"/>
  <c r="F66" i="59"/>
  <c r="F17" i="59"/>
  <c r="I17" i="59" s="1"/>
  <c r="J17" i="59" s="1"/>
  <c r="F17" i="58"/>
  <c r="I17" i="58" s="1"/>
  <c r="J17" i="58" s="1"/>
  <c r="F67" i="58"/>
  <c r="F67" i="57"/>
  <c r="F18" i="57"/>
  <c r="I18" i="57" s="1"/>
  <c r="J18" i="57" s="1"/>
  <c r="F67" i="56"/>
  <c r="F17" i="56"/>
  <c r="I17" i="56" s="1"/>
  <c r="J17" i="56" s="1"/>
  <c r="F66" i="55"/>
  <c r="D17" i="55"/>
  <c r="F16" i="55"/>
  <c r="I16" i="55" s="1"/>
  <c r="J16" i="55" s="1"/>
  <c r="F17" i="54"/>
  <c r="I17" i="54" s="1"/>
  <c r="J17" i="54" s="1"/>
  <c r="F66" i="54"/>
  <c r="F17" i="53"/>
  <c r="I17" i="53" s="1"/>
  <c r="J17" i="53" s="1"/>
  <c r="F66" i="53"/>
  <c r="C74" i="52"/>
  <c r="F16" i="52"/>
  <c r="I16" i="52" s="1"/>
  <c r="J16" i="52" s="1"/>
  <c r="P18" i="50"/>
  <c r="F66" i="50"/>
  <c r="F17" i="50"/>
  <c r="I17" i="50" s="1"/>
  <c r="J17" i="50" s="1"/>
  <c r="B21" i="49"/>
  <c r="F16" i="49"/>
  <c r="J16" i="49" s="1"/>
  <c r="K16" i="49" s="1"/>
  <c r="F68" i="49"/>
  <c r="P19" i="50" l="1"/>
  <c r="F26" i="62"/>
  <c r="I26" i="62" s="1"/>
  <c r="J26" i="62" s="1"/>
  <c r="D27" i="62"/>
  <c r="D28" i="62" s="1"/>
  <c r="I67" i="62"/>
  <c r="F17" i="61"/>
  <c r="I17" i="61" s="1"/>
  <c r="J17" i="61" s="1"/>
  <c r="F66" i="61"/>
  <c r="F17" i="60"/>
  <c r="I17" i="60" s="1"/>
  <c r="J17" i="60" s="1"/>
  <c r="F67" i="60"/>
  <c r="F18" i="59"/>
  <c r="I18" i="59" s="1"/>
  <c r="J18" i="59" s="1"/>
  <c r="F67" i="59"/>
  <c r="F68" i="58"/>
  <c r="F18" i="58"/>
  <c r="I18" i="58" s="1"/>
  <c r="J18" i="58" s="1"/>
  <c r="F19" i="57"/>
  <c r="I19" i="57" s="1"/>
  <c r="J19" i="57" s="1"/>
  <c r="F68" i="57"/>
  <c r="F68" i="56"/>
  <c r="F18" i="56"/>
  <c r="I18" i="56" s="1"/>
  <c r="J18" i="56" s="1"/>
  <c r="F17" i="55"/>
  <c r="I17" i="55" s="1"/>
  <c r="J17" i="55" s="1"/>
  <c r="D18" i="55"/>
  <c r="F67" i="55"/>
  <c r="F18" i="54"/>
  <c r="I18" i="54" s="1"/>
  <c r="J18" i="54" s="1"/>
  <c r="P20" i="54"/>
  <c r="F67" i="54"/>
  <c r="F67" i="53"/>
  <c r="F18" i="53"/>
  <c r="I18" i="53" s="1"/>
  <c r="J18" i="53" s="1"/>
  <c r="P19" i="53"/>
  <c r="F66" i="52"/>
  <c r="F17" i="52"/>
  <c r="I17" i="52" s="1"/>
  <c r="J17" i="52" s="1"/>
  <c r="P18" i="52"/>
  <c r="F18" i="50"/>
  <c r="I18" i="50" s="1"/>
  <c r="J18" i="50" s="1"/>
  <c r="F67" i="50"/>
  <c r="F17" i="49"/>
  <c r="J17" i="49" s="1"/>
  <c r="K17" i="49" s="1"/>
  <c r="F69" i="49"/>
  <c r="B22" i="49"/>
  <c r="F27" i="62" l="1"/>
  <c r="I27" i="62" s="1"/>
  <c r="J27" i="62" s="1"/>
  <c r="P19" i="52"/>
  <c r="I68" i="62"/>
  <c r="F28" i="62"/>
  <c r="I28" i="62" s="1"/>
  <c r="J28" i="62" s="1"/>
  <c r="F18" i="61"/>
  <c r="I18" i="61" s="1"/>
  <c r="J18" i="61" s="1"/>
  <c r="F67" i="61"/>
  <c r="F18" i="60"/>
  <c r="I18" i="60" s="1"/>
  <c r="J18" i="60" s="1"/>
  <c r="F68" i="60"/>
  <c r="F68" i="59"/>
  <c r="F19" i="59"/>
  <c r="I19" i="59" s="1"/>
  <c r="J19" i="59" s="1"/>
  <c r="F69" i="58"/>
  <c r="F19" i="58"/>
  <c r="I19" i="58" s="1"/>
  <c r="J19" i="58" s="1"/>
  <c r="F20" i="57"/>
  <c r="I20" i="57" s="1"/>
  <c r="J20" i="57" s="1"/>
  <c r="F69" i="57"/>
  <c r="F69" i="56"/>
  <c r="F19" i="56"/>
  <c r="I19" i="56" s="1"/>
  <c r="J19" i="56" s="1"/>
  <c r="F68" i="55"/>
  <c r="D19" i="55"/>
  <c r="F18" i="55"/>
  <c r="I18" i="55" s="1"/>
  <c r="J18" i="55" s="1"/>
  <c r="F68" i="54"/>
  <c r="F19" i="54"/>
  <c r="I19" i="54" s="1"/>
  <c r="J19" i="54" s="1"/>
  <c r="F19" i="53"/>
  <c r="I19" i="53" s="1"/>
  <c r="J19" i="53" s="1"/>
  <c r="P20" i="53"/>
  <c r="F68" i="53"/>
  <c r="F18" i="52"/>
  <c r="I18" i="52" s="1"/>
  <c r="J18" i="52" s="1"/>
  <c r="F67" i="52"/>
  <c r="F68" i="50"/>
  <c r="F19" i="50"/>
  <c r="I19" i="50" s="1"/>
  <c r="J19" i="50" s="1"/>
  <c r="P20" i="50"/>
  <c r="F18" i="49"/>
  <c r="J18" i="49" s="1"/>
  <c r="K18" i="49" s="1"/>
  <c r="F70" i="49"/>
  <c r="B23" i="49"/>
  <c r="P20" i="52" l="1"/>
  <c r="P21" i="50"/>
  <c r="I69" i="62"/>
  <c r="F29" i="62"/>
  <c r="I29" i="62" s="1"/>
  <c r="J29" i="62" s="1"/>
  <c r="F19" i="61"/>
  <c r="I19" i="61" s="1"/>
  <c r="J19" i="61" s="1"/>
  <c r="F68" i="61"/>
  <c r="F69" i="60"/>
  <c r="F19" i="60"/>
  <c r="I19" i="60" s="1"/>
  <c r="J19" i="60" s="1"/>
  <c r="F20" i="59"/>
  <c r="I20" i="59" s="1"/>
  <c r="J20" i="59" s="1"/>
  <c r="F69" i="59"/>
  <c r="F70" i="58"/>
  <c r="F20" i="58"/>
  <c r="I20" i="58" s="1"/>
  <c r="J20" i="58" s="1"/>
  <c r="F70" i="57"/>
  <c r="F21" i="57"/>
  <c r="I21" i="57" s="1"/>
  <c r="J21" i="57" s="1"/>
  <c r="F20" i="56"/>
  <c r="I20" i="56" s="1"/>
  <c r="J20" i="56" s="1"/>
  <c r="F70" i="56"/>
  <c r="F19" i="55"/>
  <c r="I19" i="55" s="1"/>
  <c r="J19" i="55" s="1"/>
  <c r="D20" i="55"/>
  <c r="F69" i="55"/>
  <c r="F69" i="54"/>
  <c r="P21" i="54"/>
  <c r="F20" i="54"/>
  <c r="I20" i="54" s="1"/>
  <c r="J20" i="54" s="1"/>
  <c r="F69" i="53"/>
  <c r="F20" i="53"/>
  <c r="I20" i="53" s="1"/>
  <c r="J20" i="53" s="1"/>
  <c r="P21" i="53"/>
  <c r="F19" i="52"/>
  <c r="I19" i="52" s="1"/>
  <c r="J19" i="52" s="1"/>
  <c r="F68" i="52"/>
  <c r="F20" i="50"/>
  <c r="I20" i="50" s="1"/>
  <c r="J20" i="50" s="1"/>
  <c r="F69" i="50"/>
  <c r="B24" i="49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F71" i="49"/>
  <c r="F19" i="49"/>
  <c r="J19" i="49" s="1"/>
  <c r="K19" i="49" s="1"/>
  <c r="P22" i="54" l="1"/>
  <c r="P22" i="50"/>
  <c r="F30" i="62"/>
  <c r="I30" i="62" s="1"/>
  <c r="J30" i="62" s="1"/>
  <c r="I70" i="62"/>
  <c r="F20" i="61"/>
  <c r="I20" i="61" s="1"/>
  <c r="J20" i="61" s="1"/>
  <c r="F69" i="61"/>
  <c r="F70" i="60"/>
  <c r="F20" i="60"/>
  <c r="I20" i="60" s="1"/>
  <c r="J20" i="60" s="1"/>
  <c r="F21" i="59"/>
  <c r="I21" i="59" s="1"/>
  <c r="J21" i="59" s="1"/>
  <c r="F70" i="59"/>
  <c r="F21" i="58"/>
  <c r="I21" i="58" s="1"/>
  <c r="J21" i="58" s="1"/>
  <c r="F71" i="58"/>
  <c r="F22" i="57"/>
  <c r="I22" i="57" s="1"/>
  <c r="J22" i="57" s="1"/>
  <c r="F71" i="57"/>
  <c r="F71" i="56"/>
  <c r="F21" i="56"/>
  <c r="I21" i="56" s="1"/>
  <c r="J21" i="56" s="1"/>
  <c r="D21" i="55"/>
  <c r="F20" i="55"/>
  <c r="I20" i="55" s="1"/>
  <c r="J20" i="55" s="1"/>
  <c r="F70" i="55"/>
  <c r="F21" i="54"/>
  <c r="I21" i="54" s="1"/>
  <c r="J21" i="54" s="1"/>
  <c r="F70" i="54"/>
  <c r="P22" i="53"/>
  <c r="F70" i="53"/>
  <c r="F21" i="53"/>
  <c r="I21" i="53" s="1"/>
  <c r="J21" i="53" s="1"/>
  <c r="F69" i="52"/>
  <c r="F20" i="52"/>
  <c r="I20" i="52" s="1"/>
  <c r="J20" i="52" s="1"/>
  <c r="P21" i="52"/>
  <c r="F70" i="50"/>
  <c r="F21" i="50"/>
  <c r="I21" i="50" s="1"/>
  <c r="J21" i="50" s="1"/>
  <c r="F72" i="49"/>
  <c r="F20" i="49"/>
  <c r="J20" i="49" s="1"/>
  <c r="K20" i="49" s="1"/>
  <c r="P22" i="52" l="1"/>
  <c r="P23" i="53"/>
  <c r="P23" i="54"/>
  <c r="I71" i="62"/>
  <c r="F31" i="62"/>
  <c r="I31" i="62" s="1"/>
  <c r="J31" i="62" s="1"/>
  <c r="F70" i="61"/>
  <c r="F21" i="61"/>
  <c r="I21" i="61" s="1"/>
  <c r="J21" i="61" s="1"/>
  <c r="F21" i="60"/>
  <c r="I21" i="60" s="1"/>
  <c r="J21" i="60" s="1"/>
  <c r="F71" i="60"/>
  <c r="F71" i="59"/>
  <c r="F22" i="59"/>
  <c r="I22" i="59" s="1"/>
  <c r="J22" i="59" s="1"/>
  <c r="F22" i="58"/>
  <c r="I22" i="58" s="1"/>
  <c r="J22" i="58" s="1"/>
  <c r="F72" i="58"/>
  <c r="F23" i="57"/>
  <c r="I23" i="57" s="1"/>
  <c r="J23" i="57" s="1"/>
  <c r="F72" i="57"/>
  <c r="F72" i="56"/>
  <c r="F22" i="56"/>
  <c r="I22" i="56" s="1"/>
  <c r="J22" i="56" s="1"/>
  <c r="F71" i="55"/>
  <c r="F21" i="55"/>
  <c r="I21" i="55" s="1"/>
  <c r="J21" i="55" s="1"/>
  <c r="D22" i="55"/>
  <c r="F71" i="54"/>
  <c r="F22" i="54"/>
  <c r="I22" i="54" s="1"/>
  <c r="J22" i="54" s="1"/>
  <c r="F22" i="53"/>
  <c r="I22" i="53" s="1"/>
  <c r="J22" i="53" s="1"/>
  <c r="F71" i="53"/>
  <c r="F70" i="52"/>
  <c r="F21" i="52"/>
  <c r="I21" i="52" s="1"/>
  <c r="J21" i="52" s="1"/>
  <c r="P23" i="50"/>
  <c r="F71" i="50"/>
  <c r="F22" i="50"/>
  <c r="I22" i="50" s="1"/>
  <c r="J22" i="50" s="1"/>
  <c r="F21" i="49"/>
  <c r="J21" i="49" s="1"/>
  <c r="K21" i="49" s="1"/>
  <c r="F73" i="49"/>
  <c r="P24" i="54" l="1"/>
  <c r="P25" i="54" s="1"/>
  <c r="P24" i="53"/>
  <c r="F33" i="62"/>
  <c r="F32" i="62"/>
  <c r="I32" i="62" s="1"/>
  <c r="J32" i="62" s="1"/>
  <c r="I72" i="62"/>
  <c r="F22" i="61"/>
  <c r="I22" i="61" s="1"/>
  <c r="J22" i="61" s="1"/>
  <c r="F71" i="61"/>
  <c r="F22" i="60"/>
  <c r="I22" i="60" s="1"/>
  <c r="J22" i="60" s="1"/>
  <c r="F72" i="60"/>
  <c r="F23" i="59"/>
  <c r="I23" i="59" s="1"/>
  <c r="J23" i="59" s="1"/>
  <c r="F72" i="59"/>
  <c r="F23" i="58"/>
  <c r="I23" i="58" s="1"/>
  <c r="J23" i="58" s="1"/>
  <c r="F73" i="58"/>
  <c r="F73" i="57"/>
  <c r="F24" i="57"/>
  <c r="I24" i="57" s="1"/>
  <c r="J24" i="57" s="1"/>
  <c r="F73" i="56"/>
  <c r="F23" i="56"/>
  <c r="I23" i="56" s="1"/>
  <c r="J23" i="56" s="1"/>
  <c r="D23" i="55"/>
  <c r="F22" i="55"/>
  <c r="I22" i="55" s="1"/>
  <c r="J22" i="55" s="1"/>
  <c r="F72" i="55"/>
  <c r="F72" i="54"/>
  <c r="F23" i="54"/>
  <c r="I23" i="54" s="1"/>
  <c r="J23" i="54" s="1"/>
  <c r="F72" i="53"/>
  <c r="F23" i="53"/>
  <c r="I23" i="53" s="1"/>
  <c r="J23" i="53" s="1"/>
  <c r="F22" i="52"/>
  <c r="I22" i="52" s="1"/>
  <c r="J22" i="52" s="1"/>
  <c r="P23" i="52"/>
  <c r="F71" i="52"/>
  <c r="F72" i="50"/>
  <c r="F23" i="50"/>
  <c r="I23" i="50" s="1"/>
  <c r="J23" i="50" s="1"/>
  <c r="P24" i="50"/>
  <c r="F74" i="49"/>
  <c r="F22" i="49"/>
  <c r="J22" i="49" s="1"/>
  <c r="K22" i="49" s="1"/>
  <c r="I33" i="62" l="1"/>
  <c r="J33" i="62" s="1"/>
  <c r="P25" i="53"/>
  <c r="I73" i="62"/>
  <c r="F23" i="61"/>
  <c r="I23" i="61" s="1"/>
  <c r="J23" i="61" s="1"/>
  <c r="F72" i="61"/>
  <c r="F23" i="60"/>
  <c r="I23" i="60" s="1"/>
  <c r="J23" i="60" s="1"/>
  <c r="F73" i="60"/>
  <c r="F25" i="59"/>
  <c r="F24" i="59"/>
  <c r="I24" i="59" s="1"/>
  <c r="J24" i="59" s="1"/>
  <c r="F73" i="59"/>
  <c r="F24" i="58"/>
  <c r="I24" i="58" s="1"/>
  <c r="J24" i="58" s="1"/>
  <c r="F74" i="58"/>
  <c r="F74" i="57"/>
  <c r="F25" i="57"/>
  <c r="I25" i="57" s="1"/>
  <c r="J25" i="57" s="1"/>
  <c r="F74" i="56"/>
  <c r="F24" i="56"/>
  <c r="I24" i="56" s="1"/>
  <c r="J24" i="56" s="1"/>
  <c r="F23" i="55"/>
  <c r="I23" i="55" s="1"/>
  <c r="J23" i="55" s="1"/>
  <c r="D24" i="55"/>
  <c r="F73" i="55"/>
  <c r="F73" i="54"/>
  <c r="P26" i="54"/>
  <c r="F24" i="54"/>
  <c r="I24" i="54" s="1"/>
  <c r="J24" i="54" s="1"/>
  <c r="F73" i="53"/>
  <c r="F24" i="53"/>
  <c r="I24" i="53" s="1"/>
  <c r="J24" i="53" s="1"/>
  <c r="F72" i="52"/>
  <c r="P24" i="52"/>
  <c r="F23" i="52"/>
  <c r="I23" i="52" s="1"/>
  <c r="J23" i="52" s="1"/>
  <c r="P25" i="50"/>
  <c r="F73" i="50"/>
  <c r="F24" i="50"/>
  <c r="I24" i="50" s="1"/>
  <c r="J24" i="50" s="1"/>
  <c r="F23" i="49"/>
  <c r="J23" i="49" s="1"/>
  <c r="K23" i="49" s="1"/>
  <c r="I66" i="49"/>
  <c r="I25" i="59" l="1"/>
  <c r="J25" i="59" s="1"/>
  <c r="P25" i="52"/>
  <c r="P26" i="53"/>
  <c r="F34" i="62"/>
  <c r="I34" i="62" s="1"/>
  <c r="J34" i="62" s="1"/>
  <c r="I74" i="62"/>
  <c r="F73" i="61"/>
  <c r="F24" i="61"/>
  <c r="I24" i="61" s="1"/>
  <c r="J24" i="61" s="1"/>
  <c r="F24" i="60"/>
  <c r="I24" i="60" s="1"/>
  <c r="J24" i="60" s="1"/>
  <c r="F74" i="60"/>
  <c r="F74" i="59"/>
  <c r="F25" i="58"/>
  <c r="I25" i="58" s="1"/>
  <c r="J25" i="58" s="1"/>
  <c r="I66" i="58"/>
  <c r="I66" i="57"/>
  <c r="F26" i="57"/>
  <c r="I26" i="57" s="1"/>
  <c r="J26" i="57" s="1"/>
  <c r="F25" i="56"/>
  <c r="I25" i="56" s="1"/>
  <c r="J25" i="56" s="1"/>
  <c r="I66" i="56"/>
  <c r="F74" i="55"/>
  <c r="D25" i="55"/>
  <c r="F24" i="55"/>
  <c r="I24" i="55" s="1"/>
  <c r="J24" i="55" s="1"/>
  <c r="F25" i="54"/>
  <c r="I25" i="54" s="1"/>
  <c r="J25" i="54" s="1"/>
  <c r="F74" i="54"/>
  <c r="F25" i="53"/>
  <c r="I25" i="53" s="1"/>
  <c r="J25" i="53" s="1"/>
  <c r="F74" i="53"/>
  <c r="F73" i="52"/>
  <c r="F24" i="52"/>
  <c r="I24" i="52" s="1"/>
  <c r="J24" i="52" s="1"/>
  <c r="F74" i="50"/>
  <c r="F25" i="50"/>
  <c r="I25" i="50" s="1"/>
  <c r="J25" i="50" s="1"/>
  <c r="P26" i="50"/>
  <c r="F24" i="49"/>
  <c r="J24" i="49" s="1"/>
  <c r="K24" i="49" s="1"/>
  <c r="I67" i="49"/>
  <c r="G30" i="49" l="1"/>
  <c r="E30" i="49"/>
  <c r="L30" i="49"/>
  <c r="H30" i="49"/>
  <c r="D30" i="49"/>
  <c r="F27" i="59"/>
  <c r="P27" i="50"/>
  <c r="F27" i="50"/>
  <c r="P27" i="54"/>
  <c r="F28" i="57"/>
  <c r="F36" i="62"/>
  <c r="F35" i="62"/>
  <c r="I35" i="62" s="1"/>
  <c r="J35" i="62" s="1"/>
  <c r="F27" i="57"/>
  <c r="I27" i="57" s="1"/>
  <c r="J27" i="57" s="1"/>
  <c r="F74" i="61"/>
  <c r="F25" i="61"/>
  <c r="I25" i="61" s="1"/>
  <c r="J25" i="61" s="1"/>
  <c r="I66" i="60"/>
  <c r="F25" i="60"/>
  <c r="I25" i="60" s="1"/>
  <c r="J25" i="60" s="1"/>
  <c r="F26" i="59"/>
  <c r="I26" i="59" s="1"/>
  <c r="J26" i="59" s="1"/>
  <c r="I66" i="59"/>
  <c r="F26" i="58"/>
  <c r="I26" i="58" s="1"/>
  <c r="J26" i="58" s="1"/>
  <c r="I67" i="58"/>
  <c r="F27" i="58"/>
  <c r="I27" i="58" s="1"/>
  <c r="J27" i="58" s="1"/>
  <c r="I67" i="57"/>
  <c r="F27" i="56"/>
  <c r="I27" i="56" s="1"/>
  <c r="J27" i="56" s="1"/>
  <c r="F26" i="56"/>
  <c r="I26" i="56" s="1"/>
  <c r="J26" i="56" s="1"/>
  <c r="I67" i="56"/>
  <c r="F25" i="55"/>
  <c r="I25" i="55" s="1"/>
  <c r="J25" i="55" s="1"/>
  <c r="D26" i="55"/>
  <c r="I66" i="55"/>
  <c r="I66" i="54"/>
  <c r="F26" i="54"/>
  <c r="I26" i="54" s="1"/>
  <c r="J26" i="54" s="1"/>
  <c r="I66" i="53"/>
  <c r="P27" i="53"/>
  <c r="F26" i="53"/>
  <c r="I26" i="53" s="1"/>
  <c r="J26" i="53" s="1"/>
  <c r="F25" i="52"/>
  <c r="I25" i="52" s="1"/>
  <c r="J25" i="52" s="1"/>
  <c r="P26" i="52"/>
  <c r="F74" i="52"/>
  <c r="F26" i="50"/>
  <c r="I26" i="50" s="1"/>
  <c r="J26" i="50" s="1"/>
  <c r="I66" i="50"/>
  <c r="I68" i="49"/>
  <c r="F25" i="49"/>
  <c r="J25" i="49" s="1"/>
  <c r="K25" i="49" s="1"/>
  <c r="H31" i="49" l="1"/>
  <c r="L31" i="49"/>
  <c r="E31" i="49"/>
  <c r="D31" i="49"/>
  <c r="G31" i="49"/>
  <c r="P28" i="54"/>
  <c r="I27" i="50"/>
  <c r="J27" i="50" s="1"/>
  <c r="I36" i="62"/>
  <c r="J36" i="62" s="1"/>
  <c r="I28" i="57"/>
  <c r="J28" i="57" s="1"/>
  <c r="F26" i="55"/>
  <c r="I26" i="55" s="1"/>
  <c r="J26" i="55" s="1"/>
  <c r="D27" i="55"/>
  <c r="D28" i="55" s="1"/>
  <c r="F28" i="59"/>
  <c r="I66" i="61"/>
  <c r="F26" i="61"/>
  <c r="I26" i="61" s="1"/>
  <c r="J26" i="61" s="1"/>
  <c r="I67" i="60"/>
  <c r="F26" i="60"/>
  <c r="I26" i="60" s="1"/>
  <c r="J26" i="60" s="1"/>
  <c r="I67" i="59"/>
  <c r="I27" i="59"/>
  <c r="J27" i="59" s="1"/>
  <c r="F28" i="58"/>
  <c r="I28" i="58" s="1"/>
  <c r="J28" i="58" s="1"/>
  <c r="I68" i="58"/>
  <c r="I68" i="57"/>
  <c r="I68" i="56"/>
  <c r="F28" i="56"/>
  <c r="I28" i="56" s="1"/>
  <c r="J28" i="56" s="1"/>
  <c r="I67" i="55"/>
  <c r="I67" i="54"/>
  <c r="F27" i="54"/>
  <c r="I27" i="54" s="1"/>
  <c r="J27" i="54" s="1"/>
  <c r="F27" i="53"/>
  <c r="I27" i="53" s="1"/>
  <c r="J27" i="53" s="1"/>
  <c r="P28" i="53"/>
  <c r="I67" i="53"/>
  <c r="I66" i="52"/>
  <c r="F26" i="52"/>
  <c r="I26" i="52" s="1"/>
  <c r="J26" i="52" s="1"/>
  <c r="P27" i="52"/>
  <c r="I67" i="50"/>
  <c r="P28" i="50"/>
  <c r="I69" i="49"/>
  <c r="F26" i="49"/>
  <c r="J26" i="49" s="1"/>
  <c r="K26" i="49" s="1"/>
  <c r="D32" i="49" l="1"/>
  <c r="E32" i="49"/>
  <c r="L32" i="49"/>
  <c r="G32" i="49"/>
  <c r="H32" i="49"/>
  <c r="F29" i="57"/>
  <c r="I29" i="57" s="1"/>
  <c r="J29" i="57" s="1"/>
  <c r="F27" i="55"/>
  <c r="I27" i="55" s="1"/>
  <c r="J27" i="55" s="1"/>
  <c r="F28" i="61"/>
  <c r="P29" i="54"/>
  <c r="I28" i="59"/>
  <c r="J28" i="59" s="1"/>
  <c r="I67" i="61"/>
  <c r="F27" i="61"/>
  <c r="I27" i="61" s="1"/>
  <c r="J27" i="61" s="1"/>
  <c r="I68" i="60"/>
  <c r="F27" i="60"/>
  <c r="I27" i="60" s="1"/>
  <c r="J27" i="60" s="1"/>
  <c r="I68" i="59"/>
  <c r="F29" i="58"/>
  <c r="I29" i="58" s="1"/>
  <c r="J29" i="58" s="1"/>
  <c r="I69" i="58"/>
  <c r="I69" i="57"/>
  <c r="F29" i="56"/>
  <c r="I29" i="56" s="1"/>
  <c r="J29" i="56" s="1"/>
  <c r="I69" i="56"/>
  <c r="F29" i="55"/>
  <c r="I68" i="55"/>
  <c r="F28" i="55"/>
  <c r="I28" i="55" s="1"/>
  <c r="J28" i="55" s="1"/>
  <c r="F28" i="54"/>
  <c r="I28" i="54" s="1"/>
  <c r="J28" i="54" s="1"/>
  <c r="I68" i="54"/>
  <c r="I68" i="53"/>
  <c r="F28" i="53"/>
  <c r="I28" i="53" s="1"/>
  <c r="J28" i="53" s="1"/>
  <c r="P29" i="53"/>
  <c r="I67" i="52"/>
  <c r="P28" i="52"/>
  <c r="F27" i="52"/>
  <c r="I27" i="52" s="1"/>
  <c r="J27" i="52" s="1"/>
  <c r="F28" i="50"/>
  <c r="I28" i="50" s="1"/>
  <c r="J28" i="50" s="1"/>
  <c r="I68" i="50"/>
  <c r="P29" i="50"/>
  <c r="I70" i="49"/>
  <c r="F27" i="49"/>
  <c r="J27" i="49" s="1"/>
  <c r="K27" i="49" s="1"/>
  <c r="D33" i="49" l="1"/>
  <c r="G33" i="49"/>
  <c r="L33" i="49"/>
  <c r="H33" i="49"/>
  <c r="E33" i="49"/>
  <c r="F30" i="57"/>
  <c r="I30" i="57" s="1"/>
  <c r="J30" i="57" s="1"/>
  <c r="P29" i="52"/>
  <c r="P30" i="53"/>
  <c r="F29" i="52"/>
  <c r="P30" i="54"/>
  <c r="I68" i="61"/>
  <c r="I28" i="61"/>
  <c r="J28" i="61" s="1"/>
  <c r="F28" i="60"/>
  <c r="I28" i="60" s="1"/>
  <c r="J28" i="60" s="1"/>
  <c r="I69" i="60"/>
  <c r="I69" i="59"/>
  <c r="F29" i="59"/>
  <c r="I29" i="59" s="1"/>
  <c r="J29" i="59" s="1"/>
  <c r="I70" i="58"/>
  <c r="F30" i="58"/>
  <c r="I30" i="58" s="1"/>
  <c r="J30" i="58" s="1"/>
  <c r="I70" i="57"/>
  <c r="I70" i="56"/>
  <c r="F30" i="56"/>
  <c r="I30" i="56" s="1"/>
  <c r="J30" i="56" s="1"/>
  <c r="I69" i="55"/>
  <c r="I29" i="55"/>
  <c r="J29" i="55" s="1"/>
  <c r="F29" i="54"/>
  <c r="I29" i="54" s="1"/>
  <c r="J29" i="54" s="1"/>
  <c r="I69" i="54"/>
  <c r="I69" i="53"/>
  <c r="F29" i="53"/>
  <c r="I29" i="53" s="1"/>
  <c r="J29" i="53" s="1"/>
  <c r="F30" i="53"/>
  <c r="I68" i="52"/>
  <c r="F28" i="52"/>
  <c r="I28" i="52" s="1"/>
  <c r="J28" i="52" s="1"/>
  <c r="F29" i="50"/>
  <c r="I29" i="50" s="1"/>
  <c r="J29" i="50" s="1"/>
  <c r="I69" i="50"/>
  <c r="P30" i="50"/>
  <c r="I71" i="49"/>
  <c r="F28" i="49"/>
  <c r="J28" i="49" s="1"/>
  <c r="K28" i="49" s="1"/>
  <c r="D34" i="49" l="1"/>
  <c r="H34" i="49"/>
  <c r="L34" i="49"/>
  <c r="G34" i="49"/>
  <c r="E34" i="49"/>
  <c r="F31" i="57"/>
  <c r="I31" i="57" s="1"/>
  <c r="J31" i="57" s="1"/>
  <c r="P31" i="53"/>
  <c r="I30" i="53"/>
  <c r="J30" i="53" s="1"/>
  <c r="I29" i="52"/>
  <c r="J29" i="52" s="1"/>
  <c r="P31" i="50"/>
  <c r="F29" i="61"/>
  <c r="I29" i="61" s="1"/>
  <c r="J29" i="61" s="1"/>
  <c r="I69" i="61"/>
  <c r="I70" i="60"/>
  <c r="F29" i="60"/>
  <c r="I29" i="60" s="1"/>
  <c r="J29" i="60" s="1"/>
  <c r="I70" i="59"/>
  <c r="F30" i="59"/>
  <c r="I30" i="59" s="1"/>
  <c r="J30" i="59" s="1"/>
  <c r="I71" i="58"/>
  <c r="F31" i="58"/>
  <c r="I31" i="58" s="1"/>
  <c r="J31" i="58" s="1"/>
  <c r="I71" i="57"/>
  <c r="I71" i="56"/>
  <c r="F31" i="56"/>
  <c r="I31" i="56" s="1"/>
  <c r="J31" i="56" s="1"/>
  <c r="I70" i="55"/>
  <c r="F31" i="55"/>
  <c r="F30" i="55"/>
  <c r="I30" i="55" s="1"/>
  <c r="J30" i="55" s="1"/>
  <c r="I70" i="54"/>
  <c r="F30" i="54"/>
  <c r="I30" i="54" s="1"/>
  <c r="J30" i="54" s="1"/>
  <c r="P31" i="54"/>
  <c r="I70" i="53"/>
  <c r="P30" i="52"/>
  <c r="I69" i="52"/>
  <c r="F30" i="50"/>
  <c r="I30" i="50" s="1"/>
  <c r="J30" i="50" s="1"/>
  <c r="I70" i="50"/>
  <c r="F29" i="49"/>
  <c r="J29" i="49" s="1"/>
  <c r="K29" i="49" s="1"/>
  <c r="I72" i="49"/>
  <c r="D35" i="49" l="1"/>
  <c r="G35" i="49"/>
  <c r="L35" i="49"/>
  <c r="H35" i="49"/>
  <c r="E35" i="49"/>
  <c r="P32" i="53"/>
  <c r="F31" i="53"/>
  <c r="I31" i="53" s="1"/>
  <c r="J31" i="53" s="1"/>
  <c r="P31" i="52"/>
  <c r="F31" i="52"/>
  <c r="I31" i="55"/>
  <c r="J31" i="55" s="1"/>
  <c r="I70" i="61"/>
  <c r="F30" i="61"/>
  <c r="I30" i="61" s="1"/>
  <c r="J30" i="61" s="1"/>
  <c r="I71" i="60"/>
  <c r="F30" i="60"/>
  <c r="I30" i="60" s="1"/>
  <c r="J30" i="60" s="1"/>
  <c r="F31" i="59"/>
  <c r="I31" i="59" s="1"/>
  <c r="J31" i="59" s="1"/>
  <c r="I71" i="59"/>
  <c r="F32" i="58"/>
  <c r="I32" i="58" s="1"/>
  <c r="J32" i="58" s="1"/>
  <c r="I72" i="58"/>
  <c r="F32" i="57"/>
  <c r="I32" i="57" s="1"/>
  <c r="J32" i="57" s="1"/>
  <c r="I72" i="57"/>
  <c r="F32" i="56"/>
  <c r="I32" i="56" s="1"/>
  <c r="J32" i="56" s="1"/>
  <c r="I72" i="56"/>
  <c r="I71" i="55"/>
  <c r="F31" i="54"/>
  <c r="I31" i="54" s="1"/>
  <c r="J31" i="54" s="1"/>
  <c r="P32" i="54"/>
  <c r="I71" i="54"/>
  <c r="I71" i="53"/>
  <c r="I70" i="52"/>
  <c r="F30" i="52"/>
  <c r="I30" i="52" s="1"/>
  <c r="J30" i="52" s="1"/>
  <c r="I71" i="50"/>
  <c r="P32" i="50"/>
  <c r="F31" i="50"/>
  <c r="I31" i="50" s="1"/>
  <c r="J31" i="50" s="1"/>
  <c r="I73" i="49"/>
  <c r="D36" i="49" s="1"/>
  <c r="F30" i="49"/>
  <c r="J30" i="49" s="1"/>
  <c r="K30" i="49" s="1"/>
  <c r="H36" i="49" l="1"/>
  <c r="L36" i="49"/>
  <c r="G36" i="49"/>
  <c r="E36" i="49"/>
  <c r="F33" i="57"/>
  <c r="I33" i="57" s="1"/>
  <c r="J33" i="57" s="1"/>
  <c r="P33" i="53"/>
  <c r="I31" i="52"/>
  <c r="J31" i="52" s="1"/>
  <c r="F32" i="52"/>
  <c r="P32" i="52"/>
  <c r="P33" i="54"/>
  <c r="P33" i="50"/>
  <c r="P34" i="50" s="1"/>
  <c r="F31" i="61"/>
  <c r="I31" i="61" s="1"/>
  <c r="J31" i="61" s="1"/>
  <c r="I71" i="61"/>
  <c r="I72" i="60"/>
  <c r="F31" i="60"/>
  <c r="I31" i="60" s="1"/>
  <c r="J31" i="60" s="1"/>
  <c r="I72" i="59"/>
  <c r="F32" i="59"/>
  <c r="I32" i="59" s="1"/>
  <c r="J32" i="59" s="1"/>
  <c r="F33" i="58"/>
  <c r="I33" i="58" s="1"/>
  <c r="J33" i="58" s="1"/>
  <c r="I73" i="58"/>
  <c r="I73" i="57"/>
  <c r="F33" i="56"/>
  <c r="I33" i="56" s="1"/>
  <c r="J33" i="56" s="1"/>
  <c r="I73" i="56"/>
  <c r="I72" i="55"/>
  <c r="F32" i="55"/>
  <c r="I32" i="55" s="1"/>
  <c r="J32" i="55" s="1"/>
  <c r="F32" i="54"/>
  <c r="I32" i="54" s="1"/>
  <c r="J32" i="54" s="1"/>
  <c r="I72" i="54"/>
  <c r="I72" i="53"/>
  <c r="F32" i="53"/>
  <c r="I32" i="53" s="1"/>
  <c r="J32" i="53" s="1"/>
  <c r="I71" i="52"/>
  <c r="F32" i="50"/>
  <c r="I32" i="50" s="1"/>
  <c r="J32" i="50" s="1"/>
  <c r="I72" i="50"/>
  <c r="F31" i="49"/>
  <c r="J31" i="49" s="1"/>
  <c r="K31" i="49" s="1"/>
  <c r="I74" i="49"/>
  <c r="P34" i="53" l="1"/>
  <c r="F34" i="55"/>
  <c r="P34" i="54"/>
  <c r="F32" i="61"/>
  <c r="I32" i="61" s="1"/>
  <c r="J32" i="61" s="1"/>
  <c r="I72" i="61"/>
  <c r="F32" i="60"/>
  <c r="I32" i="60" s="1"/>
  <c r="J32" i="60" s="1"/>
  <c r="F33" i="60"/>
  <c r="I33" i="60" s="1"/>
  <c r="J33" i="60" s="1"/>
  <c r="I73" i="60"/>
  <c r="F33" i="59"/>
  <c r="I33" i="59" s="1"/>
  <c r="J33" i="59" s="1"/>
  <c r="I73" i="59"/>
  <c r="F34" i="58"/>
  <c r="I34" i="58" s="1"/>
  <c r="J34" i="58" s="1"/>
  <c r="I74" i="58"/>
  <c r="I74" i="57"/>
  <c r="F34" i="57"/>
  <c r="I34" i="57" s="1"/>
  <c r="J34" i="57" s="1"/>
  <c r="F34" i="56"/>
  <c r="I34" i="56" s="1"/>
  <c r="J34" i="56" s="1"/>
  <c r="I74" i="56"/>
  <c r="I73" i="55"/>
  <c r="F33" i="55"/>
  <c r="I33" i="55" s="1"/>
  <c r="J33" i="55" s="1"/>
  <c r="I73" i="54"/>
  <c r="F33" i="54"/>
  <c r="I33" i="54" s="1"/>
  <c r="J33" i="54" s="1"/>
  <c r="F33" i="53"/>
  <c r="I33" i="53" s="1"/>
  <c r="J33" i="53" s="1"/>
  <c r="I73" i="53"/>
  <c r="I32" i="52"/>
  <c r="J32" i="52" s="1"/>
  <c r="P33" i="52"/>
  <c r="I72" i="52"/>
  <c r="P35" i="50"/>
  <c r="I73" i="50"/>
  <c r="F33" i="50"/>
  <c r="I33" i="50" s="1"/>
  <c r="J33" i="50" s="1"/>
  <c r="F32" i="49"/>
  <c r="J32" i="49" s="1"/>
  <c r="K32" i="49" s="1"/>
  <c r="P35" i="53" l="1"/>
  <c r="P36" i="53" s="1"/>
  <c r="P35" i="54"/>
  <c r="I34" i="55"/>
  <c r="J34" i="55" s="1"/>
  <c r="I73" i="61"/>
  <c r="F33" i="61"/>
  <c r="I33" i="61" s="1"/>
  <c r="J33" i="61" s="1"/>
  <c r="F34" i="60"/>
  <c r="I34" i="60" s="1"/>
  <c r="J34" i="60" s="1"/>
  <c r="I74" i="60"/>
  <c r="I74" i="59"/>
  <c r="F34" i="59"/>
  <c r="I34" i="59" s="1"/>
  <c r="J34" i="59" s="1"/>
  <c r="F35" i="58"/>
  <c r="I35" i="58" s="1"/>
  <c r="J35" i="58" s="1"/>
  <c r="F35" i="57"/>
  <c r="I35" i="57" s="1"/>
  <c r="J35" i="57" s="1"/>
  <c r="F35" i="56"/>
  <c r="I35" i="56" s="1"/>
  <c r="J35" i="56" s="1"/>
  <c r="I74" i="55"/>
  <c r="F34" i="54"/>
  <c r="I34" i="54" s="1"/>
  <c r="J34" i="54" s="1"/>
  <c r="I74" i="54"/>
  <c r="I74" i="53"/>
  <c r="F34" i="53"/>
  <c r="I34" i="53" s="1"/>
  <c r="J34" i="53" s="1"/>
  <c r="F34" i="52"/>
  <c r="P34" i="52"/>
  <c r="F33" i="52"/>
  <c r="I33" i="52" s="1"/>
  <c r="J33" i="52" s="1"/>
  <c r="I73" i="52"/>
  <c r="F34" i="50"/>
  <c r="I34" i="50" s="1"/>
  <c r="J34" i="50" s="1"/>
  <c r="P36" i="50"/>
  <c r="I74" i="50"/>
  <c r="F33" i="49"/>
  <c r="J33" i="49" s="1"/>
  <c r="K33" i="49" s="1"/>
  <c r="F36" i="56" l="1"/>
  <c r="I36" i="56" s="1"/>
  <c r="J36" i="56" s="1"/>
  <c r="P36" i="54"/>
  <c r="F36" i="57"/>
  <c r="I36" i="57" s="1"/>
  <c r="J36" i="57" s="1"/>
  <c r="F34" i="61"/>
  <c r="I34" i="61" s="1"/>
  <c r="J34" i="61" s="1"/>
  <c r="I74" i="61"/>
  <c r="F35" i="60"/>
  <c r="I35" i="60" s="1"/>
  <c r="J35" i="60" s="1"/>
  <c r="F35" i="59"/>
  <c r="I35" i="59" s="1"/>
  <c r="J35" i="59" s="1"/>
  <c r="F36" i="58"/>
  <c r="I36" i="58" s="1"/>
  <c r="J36" i="58" s="1"/>
  <c r="F36" i="55"/>
  <c r="F35" i="55"/>
  <c r="I35" i="55" s="1"/>
  <c r="J35" i="55" s="1"/>
  <c r="F36" i="54"/>
  <c r="F35" i="54"/>
  <c r="I35" i="54" s="1"/>
  <c r="J35" i="54" s="1"/>
  <c r="F35" i="53"/>
  <c r="I35" i="53" s="1"/>
  <c r="J35" i="53" s="1"/>
  <c r="I34" i="52"/>
  <c r="J34" i="52" s="1"/>
  <c r="P35" i="52"/>
  <c r="I74" i="52"/>
  <c r="F35" i="50"/>
  <c r="I35" i="50" s="1"/>
  <c r="J35" i="50" s="1"/>
  <c r="F34" i="49"/>
  <c r="J34" i="49" s="1"/>
  <c r="K34" i="49" s="1"/>
  <c r="I36" i="54" l="1"/>
  <c r="J36" i="54" s="1"/>
  <c r="F36" i="53"/>
  <c r="I36" i="53" s="1"/>
  <c r="J36" i="53" s="1"/>
  <c r="F36" i="50"/>
  <c r="I36" i="50" s="1"/>
  <c r="J36" i="50" s="1"/>
  <c r="F36" i="61"/>
  <c r="F35" i="61"/>
  <c r="I35" i="61" s="1"/>
  <c r="J35" i="61" s="1"/>
  <c r="F36" i="60"/>
  <c r="I36" i="60" s="1"/>
  <c r="J36" i="60" s="1"/>
  <c r="F36" i="59"/>
  <c r="I36" i="59" s="1"/>
  <c r="J36" i="59" s="1"/>
  <c r="I36" i="55"/>
  <c r="J36" i="55" s="1"/>
  <c r="F36" i="52"/>
  <c r="P36" i="52"/>
  <c r="F35" i="52"/>
  <c r="I35" i="52" s="1"/>
  <c r="J35" i="52" s="1"/>
  <c r="F36" i="49"/>
  <c r="J36" i="49" s="1"/>
  <c r="K36" i="49" s="1"/>
  <c r="F35" i="49"/>
  <c r="J35" i="49" s="1"/>
  <c r="K35" i="49" s="1"/>
  <c r="I36" i="52" l="1"/>
  <c r="J36" i="52" s="1"/>
  <c r="I36" i="61"/>
  <c r="J36" i="61" s="1"/>
  <c r="E11" i="42" l="1"/>
  <c r="E12" i="42" s="1"/>
  <c r="E13" i="42" s="1"/>
  <c r="E14" i="42" s="1"/>
  <c r="E15" i="42" s="1"/>
  <c r="E16" i="42" s="1"/>
  <c r="E17" i="42" s="1"/>
  <c r="E18" i="42" s="1"/>
  <c r="E19" i="42" s="1"/>
  <c r="E20" i="42" s="1"/>
  <c r="E21" i="42" s="1"/>
  <c r="E22" i="42" s="1"/>
  <c r="E23" i="42" s="1"/>
  <c r="E24" i="42" s="1"/>
  <c r="E25" i="42" s="1"/>
  <c r="E26" i="42" s="1"/>
  <c r="E27" i="42" s="1"/>
  <c r="E28" i="42" s="1"/>
  <c r="E29" i="42" s="1"/>
  <c r="E30" i="42" s="1"/>
  <c r="E31" i="42" s="1"/>
  <c r="E32" i="42" s="1"/>
  <c r="E33" i="42" s="1"/>
  <c r="E34" i="42" s="1"/>
  <c r="E35" i="42" s="1"/>
  <c r="E36" i="42" s="1"/>
  <c r="C14" i="43"/>
  <c r="B11" i="43" l="1"/>
  <c r="B12" i="43"/>
  <c r="B13" i="43" s="1"/>
  <c r="H11" i="43" l="1"/>
  <c r="H12" i="43" s="1"/>
  <c r="H13" i="43" s="1"/>
  <c r="H14" i="43" s="1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D14" i="43"/>
  <c r="D15" i="43" s="1"/>
  <c r="D16" i="43" s="1"/>
  <c r="D17" i="43" s="1"/>
  <c r="D18" i="43" s="1"/>
  <c r="D19" i="43" s="1"/>
  <c r="D20" i="43" s="1"/>
  <c r="D21" i="43" s="1"/>
  <c r="D22" i="43" s="1"/>
  <c r="D23" i="43" s="1"/>
  <c r="D24" i="43" s="1"/>
  <c r="D25" i="43" s="1"/>
  <c r="D26" i="43" s="1"/>
  <c r="D27" i="43" s="1"/>
  <c r="D28" i="43" s="1"/>
  <c r="D29" i="43" s="1"/>
  <c r="G11" i="43" l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L11" i="43"/>
  <c r="L12" i="43" s="1"/>
  <c r="L13" i="43" s="1"/>
  <c r="L14" i="43" s="1"/>
  <c r="L15" i="43" s="1"/>
  <c r="L16" i="43" s="1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L28" i="43" s="1"/>
  <c r="L29" i="43" s="1"/>
  <c r="E11" i="43"/>
  <c r="E12" i="43" s="1"/>
  <c r="E13" i="43" s="1"/>
  <c r="E14" i="43" s="1"/>
  <c r="E15" i="43" s="1"/>
  <c r="E16" i="43" s="1"/>
  <c r="E17" i="43" s="1"/>
  <c r="E18" i="43" s="1"/>
  <c r="E19" i="43" s="1"/>
  <c r="E20" i="43" s="1"/>
  <c r="E21" i="43" s="1"/>
  <c r="E22" i="43" s="1"/>
  <c r="E23" i="43" s="1"/>
  <c r="E24" i="43" s="1"/>
  <c r="E25" i="43" s="1"/>
  <c r="E26" i="43" s="1"/>
  <c r="E27" i="43" s="1"/>
  <c r="E28" i="43" s="1"/>
  <c r="E29" i="43" s="1"/>
  <c r="C65" i="62" l="1"/>
  <c r="C65" i="49"/>
  <c r="C65" i="58"/>
  <c r="C65" i="61"/>
  <c r="C65" i="56"/>
  <c r="C65" i="55"/>
  <c r="C65" i="54"/>
  <c r="C65" i="52"/>
  <c r="C65" i="60"/>
  <c r="C65" i="59"/>
  <c r="C65" i="57"/>
  <c r="C65" i="53"/>
  <c r="C65" i="50"/>
  <c r="C11" i="47" l="1"/>
  <c r="C12" i="47" s="1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X5" i="25"/>
  <c r="B52" i="25" l="1"/>
  <c r="B42" i="25" l="1"/>
  <c r="C43" i="47" l="1"/>
  <c r="C42" i="47"/>
  <c r="B13" i="47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12" i="47"/>
  <c r="E11" i="47"/>
  <c r="B11" i="47"/>
  <c r="B9" i="47"/>
  <c r="C44" i="47" l="1"/>
  <c r="C10" i="47" l="1"/>
  <c r="E10" i="47" s="1"/>
  <c r="C45" i="47"/>
  <c r="C40" i="47"/>
  <c r="C46" i="47" l="1"/>
  <c r="C47" i="47" l="1"/>
  <c r="E12" i="47" l="1"/>
  <c r="C48" i="47"/>
  <c r="C10" i="25"/>
  <c r="E13" i="47" l="1"/>
  <c r="C49" i="47"/>
  <c r="E14" i="47" l="1"/>
  <c r="F41" i="47"/>
  <c r="E15" i="47" l="1"/>
  <c r="F42" i="47"/>
  <c r="E16" i="47" l="1"/>
  <c r="F43" i="47"/>
  <c r="C67" i="44"/>
  <c r="C68" i="44" s="1"/>
  <c r="D47" i="44"/>
  <c r="D46" i="44"/>
  <c r="C49" i="44"/>
  <c r="D48" i="44"/>
  <c r="C48" i="44"/>
  <c r="C47" i="44"/>
  <c r="C46" i="44"/>
  <c r="C45" i="44"/>
  <c r="B11" i="44"/>
  <c r="B12" i="44" s="1"/>
  <c r="B13" i="44" s="1"/>
  <c r="B14" i="44" s="1"/>
  <c r="P10" i="44"/>
  <c r="D46" i="43"/>
  <c r="C67" i="43"/>
  <c r="C68" i="43" s="1"/>
  <c r="C49" i="43"/>
  <c r="D48" i="43"/>
  <c r="C48" i="43"/>
  <c r="C47" i="43"/>
  <c r="C46" i="43"/>
  <c r="C45" i="43"/>
  <c r="E17" i="47" l="1"/>
  <c r="F44" i="47"/>
  <c r="B3" i="44"/>
  <c r="C52" i="44" s="1"/>
  <c r="B9" i="44" s="1"/>
  <c r="C69" i="44"/>
  <c r="C70" i="44" s="1"/>
  <c r="B15" i="44"/>
  <c r="P11" i="44"/>
  <c r="D47" i="43"/>
  <c r="B3" i="43"/>
  <c r="C52" i="43" s="1"/>
  <c r="B9" i="43" s="1"/>
  <c r="C69" i="43"/>
  <c r="E18" i="47" l="1"/>
  <c r="F45" i="47"/>
  <c r="F11" i="44"/>
  <c r="I11" i="44" s="1"/>
  <c r="J11" i="44" s="1"/>
  <c r="F11" i="43"/>
  <c r="J11" i="43" s="1"/>
  <c r="C71" i="44"/>
  <c r="P12" i="44"/>
  <c r="B16" i="44"/>
  <c r="C70" i="43"/>
  <c r="K11" i="43" l="1"/>
  <c r="E19" i="47"/>
  <c r="F46" i="47"/>
  <c r="F12" i="43"/>
  <c r="J12" i="43" s="1"/>
  <c r="C72" i="44"/>
  <c r="B17" i="44"/>
  <c r="P13" i="44"/>
  <c r="C71" i="43"/>
  <c r="B14" i="43"/>
  <c r="F13" i="43"/>
  <c r="J13" i="43" s="1"/>
  <c r="K12" i="43" l="1"/>
  <c r="E20" i="47"/>
  <c r="F47" i="47"/>
  <c r="F12" i="44"/>
  <c r="I12" i="44" s="1"/>
  <c r="J12" i="44" s="1"/>
  <c r="C73" i="44"/>
  <c r="F13" i="44"/>
  <c r="P14" i="44"/>
  <c r="B18" i="44"/>
  <c r="B15" i="43"/>
  <c r="F14" i="43"/>
  <c r="J14" i="43" s="1"/>
  <c r="C72" i="43"/>
  <c r="K13" i="43"/>
  <c r="K14" i="43" l="1"/>
  <c r="E21" i="47"/>
  <c r="F48" i="47"/>
  <c r="C74" i="44"/>
  <c r="B19" i="44"/>
  <c r="I13" i="44"/>
  <c r="J13" i="44" s="1"/>
  <c r="P15" i="44"/>
  <c r="F14" i="44"/>
  <c r="I14" i="44" s="1"/>
  <c r="J14" i="44" s="1"/>
  <c r="F15" i="43"/>
  <c r="J15" i="43" s="1"/>
  <c r="C73" i="43"/>
  <c r="B16" i="43"/>
  <c r="E22" i="47" l="1"/>
  <c r="F49" i="47"/>
  <c r="F66" i="44"/>
  <c r="F15" i="44"/>
  <c r="B20" i="44"/>
  <c r="P16" i="44"/>
  <c r="B17" i="43"/>
  <c r="C74" i="43"/>
  <c r="F16" i="43"/>
  <c r="J16" i="43" s="1"/>
  <c r="K15" i="43"/>
  <c r="E23" i="47" l="1"/>
  <c r="I41" i="47"/>
  <c r="F67" i="44"/>
  <c r="F16" i="44"/>
  <c r="B21" i="44"/>
  <c r="P17" i="44"/>
  <c r="I15" i="44"/>
  <c r="J15" i="44" s="1"/>
  <c r="F17" i="43"/>
  <c r="J17" i="43" s="1"/>
  <c r="F66" i="43"/>
  <c r="K16" i="43"/>
  <c r="B18" i="43"/>
  <c r="E24" i="47" l="1"/>
  <c r="I42" i="47"/>
  <c r="F68" i="44"/>
  <c r="F17" i="44"/>
  <c r="B22" i="44"/>
  <c r="I16" i="44"/>
  <c r="J16" i="44" s="1"/>
  <c r="P18" i="44"/>
  <c r="F67" i="43"/>
  <c r="F18" i="43"/>
  <c r="J18" i="43" s="1"/>
  <c r="B19" i="43"/>
  <c r="K17" i="43"/>
  <c r="E25" i="47" l="1"/>
  <c r="I43" i="47"/>
  <c r="F69" i="44"/>
  <c r="P19" i="44"/>
  <c r="I17" i="44"/>
  <c r="J17" i="44" s="1"/>
  <c r="F18" i="44"/>
  <c r="B23" i="44"/>
  <c r="F68" i="43"/>
  <c r="F19" i="43"/>
  <c r="J19" i="43" s="1"/>
  <c r="K18" i="43"/>
  <c r="B20" i="43"/>
  <c r="E26" i="47" l="1"/>
  <c r="I44" i="47"/>
  <c r="F70" i="44"/>
  <c r="F19" i="44"/>
  <c r="I19" i="44" s="1"/>
  <c r="J19" i="44" s="1"/>
  <c r="B24" i="44"/>
  <c r="P20" i="44"/>
  <c r="I18" i="44"/>
  <c r="J18" i="44" s="1"/>
  <c r="K19" i="43"/>
  <c r="B21" i="43"/>
  <c r="F20" i="43"/>
  <c r="J20" i="43" s="1"/>
  <c r="F69" i="43"/>
  <c r="E27" i="47" l="1"/>
  <c r="I45" i="47"/>
  <c r="F71" i="44"/>
  <c r="P21" i="44"/>
  <c r="F20" i="44"/>
  <c r="B25" i="44"/>
  <c r="K20" i="43"/>
  <c r="F70" i="43"/>
  <c r="B22" i="43"/>
  <c r="F21" i="43"/>
  <c r="J21" i="43" s="1"/>
  <c r="K21" i="43" l="1"/>
  <c r="E28" i="47"/>
  <c r="I46" i="47"/>
  <c r="F72" i="44"/>
  <c r="B26" i="44"/>
  <c r="F21" i="44"/>
  <c r="I21" i="44" s="1"/>
  <c r="J21" i="44" s="1"/>
  <c r="P22" i="44"/>
  <c r="I20" i="44"/>
  <c r="J20" i="44" s="1"/>
  <c r="B23" i="43"/>
  <c r="F71" i="43"/>
  <c r="F22" i="43"/>
  <c r="J22" i="43" s="1"/>
  <c r="E29" i="47" l="1"/>
  <c r="I47" i="47"/>
  <c r="F73" i="44"/>
  <c r="P23" i="44"/>
  <c r="B27" i="44"/>
  <c r="F22" i="44"/>
  <c r="I22" i="44" s="1"/>
  <c r="J22" i="44" s="1"/>
  <c r="K22" i="43"/>
  <c r="B24" i="43"/>
  <c r="F72" i="43"/>
  <c r="F23" i="43"/>
  <c r="J23" i="43" s="1"/>
  <c r="K23" i="43" l="1"/>
  <c r="E30" i="47"/>
  <c r="I48" i="47"/>
  <c r="F74" i="44"/>
  <c r="B28" i="44"/>
  <c r="P24" i="44"/>
  <c r="F23" i="44"/>
  <c r="I23" i="44" s="1"/>
  <c r="J23" i="44" s="1"/>
  <c r="B25" i="43"/>
  <c r="F73" i="43"/>
  <c r="F24" i="43"/>
  <c r="J24" i="43" s="1"/>
  <c r="K24" i="43" l="1"/>
  <c r="E31" i="47"/>
  <c r="E32" i="47"/>
  <c r="I49" i="47"/>
  <c r="I66" i="44"/>
  <c r="P25" i="44"/>
  <c r="B29" i="44"/>
  <c r="F24" i="44"/>
  <c r="I24" i="44" s="1"/>
  <c r="J24" i="44" s="1"/>
  <c r="F74" i="43"/>
  <c r="F25" i="43"/>
  <c r="J25" i="43" s="1"/>
  <c r="B26" i="43"/>
  <c r="I67" i="44" l="1"/>
  <c r="B30" i="44"/>
  <c r="P26" i="44"/>
  <c r="F25" i="44"/>
  <c r="K25" i="43"/>
  <c r="B27" i="43"/>
  <c r="F26" i="43"/>
  <c r="J26" i="43" s="1"/>
  <c r="I66" i="43"/>
  <c r="I68" i="44" l="1"/>
  <c r="P27" i="44"/>
  <c r="I25" i="44"/>
  <c r="J25" i="44" s="1"/>
  <c r="F26" i="44"/>
  <c r="B31" i="44"/>
  <c r="K26" i="43"/>
  <c r="B28" i="43"/>
  <c r="F27" i="43"/>
  <c r="J27" i="43" s="1"/>
  <c r="I67" i="43"/>
  <c r="K27" i="43" l="1"/>
  <c r="I69" i="44"/>
  <c r="B32" i="44"/>
  <c r="P28" i="44"/>
  <c r="I26" i="44"/>
  <c r="J26" i="44" s="1"/>
  <c r="F27" i="44"/>
  <c r="I27" i="44" s="1"/>
  <c r="J27" i="44" s="1"/>
  <c r="B29" i="43"/>
  <c r="F28" i="43"/>
  <c r="J28" i="43" s="1"/>
  <c r="I68" i="43"/>
  <c r="H30" i="43" l="1"/>
  <c r="E30" i="43"/>
  <c r="L30" i="43"/>
  <c r="G30" i="43"/>
  <c r="D30" i="43"/>
  <c r="I70" i="44"/>
  <c r="B33" i="44"/>
  <c r="F28" i="44"/>
  <c r="P29" i="44"/>
  <c r="K28" i="43"/>
  <c r="B30" i="43"/>
  <c r="F29" i="43"/>
  <c r="J29" i="43" s="1"/>
  <c r="I69" i="43"/>
  <c r="D31" i="43" l="1"/>
  <c r="D32" i="43" s="1"/>
  <c r="G31" i="43"/>
  <c r="L31" i="43"/>
  <c r="E31" i="43"/>
  <c r="H31" i="43"/>
  <c r="I71" i="44"/>
  <c r="B34" i="44"/>
  <c r="F29" i="44"/>
  <c r="P30" i="44"/>
  <c r="I28" i="44"/>
  <c r="J28" i="44" s="1"/>
  <c r="I70" i="43"/>
  <c r="B31" i="43"/>
  <c r="K29" i="43"/>
  <c r="F30" i="43"/>
  <c r="J30" i="43" s="1"/>
  <c r="H32" i="43" l="1"/>
  <c r="E32" i="43"/>
  <c r="L32" i="43"/>
  <c r="G32" i="43"/>
  <c r="D33" i="43"/>
  <c r="I72" i="44"/>
  <c r="B35" i="44"/>
  <c r="I29" i="44"/>
  <c r="J29" i="44" s="1"/>
  <c r="P31" i="44"/>
  <c r="F30" i="44"/>
  <c r="I30" i="44" s="1"/>
  <c r="J30" i="44" s="1"/>
  <c r="B32" i="43"/>
  <c r="K30" i="43"/>
  <c r="I71" i="43"/>
  <c r="F31" i="43"/>
  <c r="J31" i="43" s="1"/>
  <c r="H33" i="43" l="1"/>
  <c r="L33" i="43"/>
  <c r="E33" i="43"/>
  <c r="G33" i="43"/>
  <c r="D34" i="43"/>
  <c r="I73" i="44"/>
  <c r="F31" i="44"/>
  <c r="P32" i="44"/>
  <c r="B36" i="44"/>
  <c r="F32" i="43"/>
  <c r="J32" i="43" s="1"/>
  <c r="I72" i="43"/>
  <c r="K31" i="43"/>
  <c r="B33" i="43"/>
  <c r="E34" i="43" l="1"/>
  <c r="L34" i="43"/>
  <c r="H34" i="43"/>
  <c r="G34" i="43"/>
  <c r="D35" i="43"/>
  <c r="I74" i="44"/>
  <c r="P33" i="44"/>
  <c r="I31" i="44"/>
  <c r="J31" i="44" s="1"/>
  <c r="F32" i="44"/>
  <c r="K32" i="43"/>
  <c r="F33" i="43"/>
  <c r="J33" i="43" s="1"/>
  <c r="B34" i="43"/>
  <c r="I73" i="43"/>
  <c r="H35" i="43" l="1"/>
  <c r="L35" i="43"/>
  <c r="E35" i="43"/>
  <c r="G35" i="43"/>
  <c r="D36" i="43"/>
  <c r="F33" i="44"/>
  <c r="I33" i="44" s="1"/>
  <c r="J33" i="44" s="1"/>
  <c r="I32" i="44"/>
  <c r="J32" i="44" s="1"/>
  <c r="P34" i="44"/>
  <c r="B35" i="43"/>
  <c r="F34" i="43"/>
  <c r="J34" i="43" s="1"/>
  <c r="I74" i="43"/>
  <c r="K33" i="43"/>
  <c r="E36" i="43" l="1"/>
  <c r="L36" i="43"/>
  <c r="H36" i="43"/>
  <c r="G36" i="43"/>
  <c r="P35" i="44"/>
  <c r="F34" i="44"/>
  <c r="I34" i="44" s="1"/>
  <c r="J34" i="44" s="1"/>
  <c r="F35" i="43"/>
  <c r="J35" i="43" s="1"/>
  <c r="K34" i="43"/>
  <c r="B36" i="43"/>
  <c r="F35" i="44" l="1"/>
  <c r="F36" i="44"/>
  <c r="P36" i="44"/>
  <c r="F36" i="43"/>
  <c r="J36" i="43" s="1"/>
  <c r="K35" i="43"/>
  <c r="K36" i="43" l="1"/>
  <c r="I36" i="44"/>
  <c r="J36" i="44" s="1"/>
  <c r="I35" i="44"/>
  <c r="J35" i="44" s="1"/>
  <c r="C67" i="42" l="1"/>
  <c r="C68" i="42" s="1"/>
  <c r="H11" i="42"/>
  <c r="H12" i="42" s="1"/>
  <c r="H13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C49" i="42"/>
  <c r="D48" i="42"/>
  <c r="C48" i="42"/>
  <c r="C47" i="42"/>
  <c r="D46" i="42"/>
  <c r="C46" i="42"/>
  <c r="C45" i="42"/>
  <c r="B11" i="42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P10" i="42"/>
  <c r="P11" i="42" l="1"/>
  <c r="B26" i="42"/>
  <c r="C69" i="42"/>
  <c r="B3" i="42"/>
  <c r="C52" i="42" s="1"/>
  <c r="B9" i="42" s="1"/>
  <c r="D47" i="42"/>
  <c r="P12" i="42" l="1"/>
  <c r="F11" i="42"/>
  <c r="I11" i="42" s="1"/>
  <c r="C70" i="42"/>
  <c r="B27" i="42"/>
  <c r="J11" i="42" l="1"/>
  <c r="P13" i="42"/>
  <c r="P14" i="42" s="1"/>
  <c r="C71" i="42"/>
  <c r="F12" i="42"/>
  <c r="B28" i="42"/>
  <c r="I12" i="42" l="1"/>
  <c r="C72" i="42"/>
  <c r="F13" i="42"/>
  <c r="I13" i="42" s="1"/>
  <c r="B29" i="42"/>
  <c r="P15" i="42"/>
  <c r="J13" i="42" l="1"/>
  <c r="J12" i="42"/>
  <c r="P16" i="42"/>
  <c r="C73" i="42"/>
  <c r="B30" i="42"/>
  <c r="F14" i="42"/>
  <c r="I14" i="42" s="1"/>
  <c r="D46" i="41"/>
  <c r="C67" i="41"/>
  <c r="C49" i="41"/>
  <c r="D48" i="41"/>
  <c r="C48" i="41"/>
  <c r="C47" i="41"/>
  <c r="C46" i="41"/>
  <c r="C45" i="41"/>
  <c r="B11" i="4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J14" i="42" l="1"/>
  <c r="C68" i="41"/>
  <c r="P17" i="42"/>
  <c r="C74" i="42"/>
  <c r="B31" i="42"/>
  <c r="F15" i="42"/>
  <c r="I15" i="42" s="1"/>
  <c r="B26" i="41"/>
  <c r="B3" i="41"/>
  <c r="C52" i="41" s="1"/>
  <c r="B9" i="41" s="1"/>
  <c r="D47" i="41"/>
  <c r="C69" i="41"/>
  <c r="J15" i="42" l="1"/>
  <c r="F11" i="41"/>
  <c r="P18" i="42"/>
  <c r="F66" i="42"/>
  <c r="F16" i="42"/>
  <c r="I16" i="42" s="1"/>
  <c r="B32" i="42"/>
  <c r="C70" i="41"/>
  <c r="B27" i="41"/>
  <c r="J16" i="42" l="1"/>
  <c r="F12" i="41"/>
  <c r="F67" i="42"/>
  <c r="P19" i="42"/>
  <c r="F17" i="42"/>
  <c r="I17" i="42" s="1"/>
  <c r="B33" i="42"/>
  <c r="C71" i="41"/>
  <c r="B28" i="41"/>
  <c r="J17" i="42" l="1"/>
  <c r="I12" i="41"/>
  <c r="J12" i="41" s="1"/>
  <c r="I11" i="41"/>
  <c r="J11" i="41" s="1"/>
  <c r="F68" i="42"/>
  <c r="F18" i="42"/>
  <c r="I18" i="42" s="1"/>
  <c r="P20" i="42"/>
  <c r="B34" i="42"/>
  <c r="B29" i="41"/>
  <c r="C72" i="41"/>
  <c r="F13" i="41" l="1"/>
  <c r="I13" i="41" s="1"/>
  <c r="J13" i="41" s="1"/>
  <c r="J18" i="42"/>
  <c r="P21" i="42"/>
  <c r="B35" i="42"/>
  <c r="F19" i="42"/>
  <c r="I19" i="42" s="1"/>
  <c r="F69" i="42"/>
  <c r="C73" i="41"/>
  <c r="F14" i="41"/>
  <c r="I14" i="41" s="1"/>
  <c r="J14" i="41" s="1"/>
  <c r="B30" i="41"/>
  <c r="J19" i="42" l="1"/>
  <c r="B36" i="42"/>
  <c r="F70" i="42"/>
  <c r="F23" i="42"/>
  <c r="F20" i="42"/>
  <c r="I20" i="42" s="1"/>
  <c r="P22" i="42"/>
  <c r="C74" i="41"/>
  <c r="F15" i="41"/>
  <c r="I15" i="41" s="1"/>
  <c r="J15" i="41" s="1"/>
  <c r="B31" i="41"/>
  <c r="I23" i="42" l="1"/>
  <c r="J23" i="42" s="1"/>
  <c r="J20" i="42"/>
  <c r="P23" i="42"/>
  <c r="F21" i="42"/>
  <c r="I21" i="42" s="1"/>
  <c r="F71" i="42"/>
  <c r="F66" i="41"/>
  <c r="B32" i="41"/>
  <c r="F16" i="41"/>
  <c r="I16" i="41" s="1"/>
  <c r="J16" i="41" s="1"/>
  <c r="J21" i="42" l="1"/>
  <c r="P24" i="42"/>
  <c r="F72" i="42"/>
  <c r="F22" i="42"/>
  <c r="I22" i="42" s="1"/>
  <c r="F17" i="41"/>
  <c r="I17" i="41" s="1"/>
  <c r="J17" i="41" s="1"/>
  <c r="B33" i="41"/>
  <c r="F67" i="41"/>
  <c r="J22" i="42" l="1"/>
  <c r="F73" i="42"/>
  <c r="P25" i="42"/>
  <c r="B34" i="41"/>
  <c r="F68" i="41"/>
  <c r="F18" i="41"/>
  <c r="I18" i="41" s="1"/>
  <c r="J18" i="41" s="1"/>
  <c r="P26" i="42" l="1"/>
  <c r="F24" i="42"/>
  <c r="I24" i="42" s="1"/>
  <c r="F74" i="42"/>
  <c r="F69" i="41"/>
  <c r="B35" i="41"/>
  <c r="F19" i="41"/>
  <c r="I19" i="41" s="1"/>
  <c r="J19" i="41" s="1"/>
  <c r="J24" i="42" l="1"/>
  <c r="P27" i="42"/>
  <c r="I66" i="42"/>
  <c r="F25" i="42"/>
  <c r="I25" i="42" s="1"/>
  <c r="F70" i="41"/>
  <c r="B36" i="41"/>
  <c r="F20" i="41"/>
  <c r="I20" i="41" s="1"/>
  <c r="J20" i="41" s="1"/>
  <c r="J25" i="42" l="1"/>
  <c r="I67" i="42"/>
  <c r="F26" i="42"/>
  <c r="I26" i="42" s="1"/>
  <c r="P28" i="42"/>
  <c r="F71" i="41"/>
  <c r="F21" i="41"/>
  <c r="I21" i="41" s="1"/>
  <c r="J21" i="41" s="1"/>
  <c r="J26" i="42" l="1"/>
  <c r="P29" i="42"/>
  <c r="I68" i="42"/>
  <c r="F27" i="42"/>
  <c r="I27" i="42" s="1"/>
  <c r="F72" i="41"/>
  <c r="F22" i="41"/>
  <c r="I22" i="41" s="1"/>
  <c r="J22" i="41" s="1"/>
  <c r="J27" i="42" l="1"/>
  <c r="P30" i="42"/>
  <c r="F28" i="42"/>
  <c r="I28" i="42" s="1"/>
  <c r="I69" i="42"/>
  <c r="F73" i="41"/>
  <c r="F23" i="41"/>
  <c r="I23" i="41" s="1"/>
  <c r="J23" i="41" s="1"/>
  <c r="J28" i="42" l="1"/>
  <c r="P31" i="42"/>
  <c r="I70" i="42"/>
  <c r="F29" i="42"/>
  <c r="I29" i="42" s="1"/>
  <c r="F74" i="41"/>
  <c r="F24" i="41"/>
  <c r="I24" i="41" s="1"/>
  <c r="J24" i="41" s="1"/>
  <c r="J29" i="42" l="1"/>
  <c r="F30" i="42"/>
  <c r="I30" i="42" s="1"/>
  <c r="P32" i="42"/>
  <c r="I71" i="42"/>
  <c r="F25" i="41"/>
  <c r="I25" i="41" s="1"/>
  <c r="J25" i="41" s="1"/>
  <c r="I66" i="41"/>
  <c r="J30" i="42" l="1"/>
  <c r="I72" i="42"/>
  <c r="P33" i="42"/>
  <c r="F31" i="42"/>
  <c r="I31" i="42" s="1"/>
  <c r="I67" i="41"/>
  <c r="F26" i="41"/>
  <c r="I26" i="41" s="1"/>
  <c r="J26" i="41" s="1"/>
  <c r="J31" i="42" l="1"/>
  <c r="F32" i="42"/>
  <c r="I32" i="42" s="1"/>
  <c r="P34" i="42"/>
  <c r="I73" i="42"/>
  <c r="I68" i="41"/>
  <c r="F27" i="41"/>
  <c r="I27" i="41" s="1"/>
  <c r="J27" i="41" s="1"/>
  <c r="J32" i="42" l="1"/>
  <c r="F33" i="42"/>
  <c r="I33" i="42" s="1"/>
  <c r="I74" i="42"/>
  <c r="P35" i="42"/>
  <c r="I69" i="41"/>
  <c r="F28" i="41"/>
  <c r="I28" i="41" s="1"/>
  <c r="J28" i="41" s="1"/>
  <c r="J33" i="42" l="1"/>
  <c r="P36" i="42"/>
  <c r="F34" i="42"/>
  <c r="I34" i="42" s="1"/>
  <c r="I70" i="41"/>
  <c r="F29" i="41"/>
  <c r="I29" i="41" s="1"/>
  <c r="J29" i="41" s="1"/>
  <c r="J34" i="42" l="1"/>
  <c r="F35" i="42"/>
  <c r="I35" i="42" s="1"/>
  <c r="F36" i="42"/>
  <c r="I36" i="42" s="1"/>
  <c r="F30" i="41"/>
  <c r="I30" i="41" s="1"/>
  <c r="J30" i="41" s="1"/>
  <c r="I71" i="41"/>
  <c r="J36" i="42" l="1"/>
  <c r="J35" i="42"/>
  <c r="F31" i="41"/>
  <c r="I31" i="41" s="1"/>
  <c r="J31" i="41" s="1"/>
  <c r="I72" i="41"/>
  <c r="I73" i="41" l="1"/>
  <c r="F32" i="41"/>
  <c r="I32" i="41" s="1"/>
  <c r="J32" i="41" s="1"/>
  <c r="F33" i="41" l="1"/>
  <c r="I33" i="41" s="1"/>
  <c r="J33" i="41" s="1"/>
  <c r="I74" i="41"/>
  <c r="F34" i="41" l="1"/>
  <c r="I34" i="41" s="1"/>
  <c r="J34" i="41" s="1"/>
  <c r="F35" i="41" l="1"/>
  <c r="I35" i="41" s="1"/>
  <c r="J35" i="41" s="1"/>
  <c r="F36" i="41"/>
  <c r="I36" i="41" s="1"/>
  <c r="J36" i="41" s="1"/>
  <c r="C67" i="40" l="1"/>
  <c r="C68" i="40" s="1"/>
  <c r="C49" i="40"/>
  <c r="D48" i="40"/>
  <c r="C48" i="40"/>
  <c r="D47" i="40"/>
  <c r="C47" i="40"/>
  <c r="D46" i="40"/>
  <c r="C46" i="40"/>
  <c r="C45" i="40"/>
  <c r="B11" i="40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3" i="40"/>
  <c r="C52" i="40" s="1"/>
  <c r="B9" i="40" s="1"/>
  <c r="D11" i="40" l="1"/>
  <c r="B26" i="40"/>
  <c r="C69" i="40"/>
  <c r="B27" i="40" l="1"/>
  <c r="D12" i="40"/>
  <c r="D13" i="40" s="1"/>
  <c r="F11" i="40"/>
  <c r="C70" i="40"/>
  <c r="F12" i="40" l="1"/>
  <c r="D14" i="40"/>
  <c r="B28" i="40"/>
  <c r="C71" i="40"/>
  <c r="I11" i="40" l="1"/>
  <c r="J11" i="40" s="1"/>
  <c r="I12" i="40"/>
  <c r="J12" i="40" s="1"/>
  <c r="D15" i="40"/>
  <c r="B29" i="40"/>
  <c r="F13" i="40"/>
  <c r="I13" i="40" s="1"/>
  <c r="J13" i="40" s="1"/>
  <c r="C72" i="40"/>
  <c r="F14" i="40"/>
  <c r="I14" i="40" l="1"/>
  <c r="J14" i="40" s="1"/>
  <c r="D16" i="40"/>
  <c r="B30" i="40"/>
  <c r="C73" i="40"/>
  <c r="F15" i="40"/>
  <c r="I15" i="40" s="1"/>
  <c r="J15" i="40" s="1"/>
  <c r="D17" i="40" l="1"/>
  <c r="B31" i="40"/>
  <c r="C74" i="40"/>
  <c r="F16" i="40"/>
  <c r="I16" i="40" l="1"/>
  <c r="J16" i="40" s="1"/>
  <c r="B32" i="40"/>
  <c r="D18" i="40"/>
  <c r="F66" i="40"/>
  <c r="F17" i="40"/>
  <c r="I17" i="40" s="1"/>
  <c r="J17" i="40" s="1"/>
  <c r="B33" i="40" l="1"/>
  <c r="D19" i="40"/>
  <c r="F67" i="40"/>
  <c r="F18" i="40"/>
  <c r="I18" i="40" s="1"/>
  <c r="J18" i="40" s="1"/>
  <c r="D20" i="40" l="1"/>
  <c r="B34" i="40"/>
  <c r="F68" i="40"/>
  <c r="F19" i="40"/>
  <c r="I19" i="40" s="1"/>
  <c r="J19" i="40" s="1"/>
  <c r="D21" i="40" l="1"/>
  <c r="B35" i="40"/>
  <c r="F69" i="40"/>
  <c r="F20" i="40"/>
  <c r="I20" i="40" s="1"/>
  <c r="J20" i="40" s="1"/>
  <c r="B36" i="40" l="1"/>
  <c r="D22" i="40"/>
  <c r="F70" i="40"/>
  <c r="F21" i="40"/>
  <c r="I21" i="40" s="1"/>
  <c r="J21" i="40" s="1"/>
  <c r="D23" i="40" l="1"/>
  <c r="F71" i="40"/>
  <c r="D24" i="40" l="1"/>
  <c r="F72" i="40"/>
  <c r="D25" i="40" l="1"/>
  <c r="F73" i="40"/>
  <c r="D26" i="40" l="1"/>
  <c r="F22" i="40"/>
  <c r="I22" i="40" s="1"/>
  <c r="J22" i="40" s="1"/>
  <c r="F74" i="40"/>
  <c r="I66" i="40" l="1"/>
  <c r="F23" i="40"/>
  <c r="I23" i="40" s="1"/>
  <c r="J23" i="40" s="1"/>
  <c r="F24" i="40" l="1"/>
  <c r="I24" i="40" s="1"/>
  <c r="J24" i="40" s="1"/>
  <c r="I67" i="40"/>
  <c r="I68" i="40" l="1"/>
  <c r="F25" i="40"/>
  <c r="I25" i="40" s="1"/>
  <c r="J25" i="40" s="1"/>
  <c r="F26" i="40" l="1"/>
  <c r="I26" i="40" s="1"/>
  <c r="J26" i="40" s="1"/>
  <c r="I69" i="40"/>
  <c r="I70" i="40" l="1"/>
  <c r="F27" i="40"/>
  <c r="I27" i="40" s="1"/>
  <c r="J27" i="40" s="1"/>
  <c r="I71" i="40" l="1"/>
  <c r="F28" i="40"/>
  <c r="I28" i="40" s="1"/>
  <c r="J28" i="40" s="1"/>
  <c r="F29" i="40" l="1"/>
  <c r="I29" i="40" s="1"/>
  <c r="J29" i="40" s="1"/>
  <c r="I72" i="40"/>
  <c r="I73" i="40" l="1"/>
  <c r="F30" i="40"/>
  <c r="I30" i="40" s="1"/>
  <c r="J30" i="40" s="1"/>
  <c r="F34" i="40" l="1"/>
  <c r="F31" i="40"/>
  <c r="I31" i="40" s="1"/>
  <c r="J31" i="40" s="1"/>
  <c r="I74" i="40"/>
  <c r="I34" i="40" l="1"/>
  <c r="J34" i="40" s="1"/>
  <c r="F35" i="40"/>
  <c r="F33" i="40"/>
  <c r="I33" i="40" s="1"/>
  <c r="J33" i="40" s="1"/>
  <c r="F32" i="40"/>
  <c r="I32" i="40" s="1"/>
  <c r="J32" i="40" s="1"/>
  <c r="F36" i="40" l="1"/>
  <c r="I36" i="40" s="1"/>
  <c r="J36" i="40" s="1"/>
  <c r="I35" i="40"/>
  <c r="J35" i="40" s="1"/>
  <c r="D9" i="28"/>
  <c r="E9" i="28"/>
  <c r="K343" i="28" l="1"/>
  <c r="K341" i="28"/>
  <c r="D49" i="43"/>
  <c r="D49" i="44"/>
  <c r="D49" i="42"/>
  <c r="D49" i="41"/>
  <c r="D49" i="40"/>
  <c r="K342" i="28"/>
  <c r="C65" i="44" l="1"/>
  <c r="C65" i="43"/>
  <c r="C65" i="42"/>
  <c r="C65" i="41"/>
  <c r="C65" i="40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B56" i="25" l="1"/>
  <c r="B44" i="28" l="1"/>
  <c r="K302" i="28" l="1"/>
  <c r="K301" i="28"/>
  <c r="K300" i="28"/>
  <c r="K298" i="28"/>
  <c r="K297" i="28"/>
  <c r="K296" i="28"/>
  <c r="K294" i="28"/>
  <c r="K293" i="28"/>
  <c r="K292" i="28"/>
  <c r="K290" i="28"/>
  <c r="K289" i="28"/>
  <c r="K288" i="28"/>
  <c r="K286" i="28"/>
  <c r="K285" i="28"/>
  <c r="K284" i="28"/>
  <c r="K282" i="28"/>
  <c r="K281" i="28"/>
  <c r="K304" i="28"/>
  <c r="K283" i="28" l="1"/>
  <c r="K287" i="28"/>
  <c r="K291" i="28"/>
  <c r="K295" i="28"/>
  <c r="K299" i="28"/>
  <c r="K303" i="28"/>
  <c r="K328" i="28" l="1"/>
  <c r="K327" i="28"/>
  <c r="K326" i="28"/>
  <c r="K324" i="28"/>
  <c r="K323" i="28"/>
  <c r="K322" i="28"/>
  <c r="K320" i="28"/>
  <c r="K319" i="28"/>
  <c r="K318" i="28"/>
  <c r="K316" i="28"/>
  <c r="K315" i="28"/>
  <c r="K314" i="28"/>
  <c r="K312" i="28"/>
  <c r="K311" i="28"/>
  <c r="K310" i="28"/>
  <c r="K308" i="28"/>
  <c r="K307" i="28"/>
  <c r="K306" i="28"/>
  <c r="K280" i="28"/>
  <c r="K279" i="28"/>
  <c r="K278" i="28"/>
  <c r="K276" i="28"/>
  <c r="K275" i="28"/>
  <c r="K274" i="28"/>
  <c r="K272" i="28"/>
  <c r="K271" i="28"/>
  <c r="K270" i="28"/>
  <c r="K268" i="28"/>
  <c r="K267" i="28"/>
  <c r="K266" i="28"/>
  <c r="K264" i="28"/>
  <c r="K263" i="28"/>
  <c r="K262" i="28"/>
  <c r="K260" i="28"/>
  <c r="K259" i="28"/>
  <c r="K258" i="28"/>
  <c r="K256" i="28"/>
  <c r="K255" i="28"/>
  <c r="K254" i="28"/>
  <c r="K251" i="28"/>
  <c r="K250" i="28"/>
  <c r="K249" i="28"/>
  <c r="K247" i="28"/>
  <c r="K246" i="28"/>
  <c r="K245" i="28"/>
  <c r="K243" i="28"/>
  <c r="K242" i="28"/>
  <c r="K241" i="28"/>
  <c r="K239" i="28"/>
  <c r="K238" i="28"/>
  <c r="K237" i="28"/>
  <c r="K235" i="28"/>
  <c r="K234" i="28"/>
  <c r="K233" i="28"/>
  <c r="K231" i="28"/>
  <c r="K230" i="28"/>
  <c r="K229" i="28"/>
  <c r="K227" i="28"/>
  <c r="K226" i="28"/>
  <c r="K225" i="28"/>
  <c r="K223" i="28"/>
  <c r="K222" i="28"/>
  <c r="K221" i="28"/>
  <c r="K219" i="28"/>
  <c r="K218" i="28"/>
  <c r="K217" i="28"/>
  <c r="K215" i="28"/>
  <c r="K214" i="28"/>
  <c r="K213" i="28"/>
  <c r="K211" i="28"/>
  <c r="K210" i="28"/>
  <c r="K209" i="28"/>
  <c r="K207" i="28"/>
  <c r="K206" i="28"/>
  <c r="K205" i="28"/>
  <c r="K203" i="28"/>
  <c r="K202" i="28"/>
  <c r="K201" i="28"/>
  <c r="K199" i="28"/>
  <c r="K197" i="28"/>
  <c r="K195" i="28"/>
  <c r="K193" i="28"/>
  <c r="K191" i="28"/>
  <c r="K190" i="28"/>
  <c r="K189" i="28"/>
  <c r="K187" i="28"/>
  <c r="K185" i="28"/>
  <c r="K183" i="28"/>
  <c r="K181" i="28"/>
  <c r="K179" i="28"/>
  <c r="K178" i="28"/>
  <c r="K177" i="28"/>
  <c r="K175" i="28"/>
  <c r="K174" i="28"/>
  <c r="K173" i="28"/>
  <c r="K171" i="28"/>
  <c r="K169" i="28"/>
  <c r="K167" i="28"/>
  <c r="K166" i="28"/>
  <c r="K165" i="28"/>
  <c r="K163" i="28"/>
  <c r="K161" i="28"/>
  <c r="K186" i="28" l="1"/>
  <c r="K162" i="28"/>
  <c r="K194" i="28"/>
  <c r="K170" i="28"/>
  <c r="K224" i="28"/>
  <c r="K253" i="28"/>
  <c r="K265" i="28"/>
  <c r="K273" i="28"/>
  <c r="K305" i="28"/>
  <c r="K325" i="28"/>
  <c r="K172" i="28"/>
  <c r="K196" i="28"/>
  <c r="K244" i="28"/>
  <c r="K182" i="28"/>
  <c r="K198" i="28"/>
  <c r="K200" i="28"/>
  <c r="K248" i="28"/>
  <c r="K208" i="28"/>
  <c r="K240" i="28"/>
  <c r="K257" i="28"/>
  <c r="K261" i="28"/>
  <c r="K269" i="28"/>
  <c r="K277" i="28"/>
  <c r="K309" i="28"/>
  <c r="K313" i="28"/>
  <c r="K317" i="28"/>
  <c r="K321" i="28"/>
  <c r="K164" i="28"/>
  <c r="K180" i="28"/>
  <c r="K188" i="28"/>
  <c r="K212" i="28"/>
  <c r="K228" i="28"/>
  <c r="K216" i="28"/>
  <c r="K232" i="28"/>
  <c r="K168" i="28"/>
  <c r="K176" i="28"/>
  <c r="K184" i="28"/>
  <c r="K192" i="28"/>
  <c r="K204" i="28"/>
  <c r="K220" i="28"/>
  <c r="K236" i="28"/>
  <c r="K252" i="28"/>
  <c r="B15" i="28" l="1"/>
  <c r="B16" i="28" l="1"/>
  <c r="B17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l="1"/>
  <c r="B39" i="28" l="1"/>
  <c r="B40" i="28" l="1"/>
  <c r="K148" i="28" l="1"/>
  <c r="K147" i="28"/>
  <c r="K146" i="28"/>
  <c r="K145" i="28"/>
  <c r="K144" i="28"/>
  <c r="K143" i="28"/>
  <c r="K141" i="28"/>
  <c r="K140" i="28"/>
  <c r="K139" i="28"/>
  <c r="K138" i="28"/>
  <c r="K137" i="28"/>
  <c r="K142" i="28"/>
  <c r="K160" i="28" l="1"/>
  <c r="K159" i="28"/>
  <c r="K158" i="28"/>
  <c r="K157" i="28"/>
  <c r="K156" i="28"/>
  <c r="K155" i="28"/>
  <c r="K154" i="28"/>
  <c r="K153" i="28"/>
  <c r="K152" i="28"/>
  <c r="K151" i="28"/>
  <c r="K150" i="28"/>
  <c r="K149" i="28"/>
  <c r="K136" i="28"/>
  <c r="K135" i="28"/>
  <c r="K134" i="28"/>
  <c r="K132" i="28"/>
  <c r="K131" i="28"/>
  <c r="K130" i="28"/>
  <c r="K129" i="28"/>
  <c r="K128" i="28"/>
  <c r="K127" i="28"/>
  <c r="K126" i="28"/>
  <c r="K125" i="28"/>
  <c r="K124" i="28"/>
  <c r="K122" i="28"/>
  <c r="K121" i="28"/>
  <c r="K120" i="28"/>
  <c r="K118" i="28"/>
  <c r="K117" i="28"/>
  <c r="K116" i="28"/>
  <c r="K115" i="28"/>
  <c r="K114" i="28"/>
  <c r="K113" i="28" l="1"/>
  <c r="K119" i="28"/>
  <c r="K123" i="28"/>
  <c r="K133" i="28"/>
  <c r="K112" i="28" l="1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3" i="28"/>
  <c r="K41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8" i="28" l="1"/>
  <c r="K20" i="28"/>
  <c r="K22" i="28"/>
  <c r="K24" i="28"/>
  <c r="K26" i="28"/>
  <c r="K28" i="28"/>
  <c r="K30" i="28"/>
  <c r="K32" i="28"/>
  <c r="K34" i="28"/>
  <c r="K36" i="28"/>
  <c r="K38" i="28"/>
  <c r="K40" i="28"/>
  <c r="K42" i="28"/>
  <c r="K44" i="28"/>
  <c r="E14" i="28" l="1"/>
  <c r="E39" i="28"/>
  <c r="D37" i="28"/>
  <c r="E35" i="28"/>
  <c r="E33" i="28"/>
  <c r="E31" i="28"/>
  <c r="D29" i="28"/>
  <c r="E27" i="28"/>
  <c r="E25" i="28"/>
  <c r="E23" i="28"/>
  <c r="D21" i="28"/>
  <c r="E19" i="28"/>
  <c r="E17" i="28"/>
  <c r="E15" i="28"/>
  <c r="D39" i="28"/>
  <c r="E37" i="28"/>
  <c r="D35" i="28"/>
  <c r="D33" i="28"/>
  <c r="D31" i="28"/>
  <c r="E29" i="28"/>
  <c r="D27" i="28"/>
  <c r="D25" i="28"/>
  <c r="D23" i="28"/>
  <c r="E21" i="28"/>
  <c r="D19" i="28"/>
  <c r="D17" i="28"/>
  <c r="D15" i="28"/>
  <c r="E40" i="28"/>
  <c r="E38" i="28"/>
  <c r="E36" i="28"/>
  <c r="E34" i="28"/>
  <c r="E32" i="28"/>
  <c r="E30" i="28"/>
  <c r="E28" i="28"/>
  <c r="E26" i="28"/>
  <c r="E24" i="28"/>
  <c r="E22" i="28"/>
  <c r="D20" i="28"/>
  <c r="E18" i="28"/>
  <c r="E16" i="28"/>
  <c r="D14" i="28"/>
  <c r="D40" i="28"/>
  <c r="D38" i="28"/>
  <c r="D36" i="28"/>
  <c r="D34" i="28"/>
  <c r="D32" i="28"/>
  <c r="D30" i="28"/>
  <c r="D28" i="28"/>
  <c r="D26" i="28"/>
  <c r="D24" i="28"/>
  <c r="D22" i="28"/>
  <c r="E20" i="28"/>
  <c r="D18" i="28"/>
  <c r="D16" i="28"/>
  <c r="J9" i="31" l="1"/>
  <c r="B8" i="31" s="1"/>
  <c r="J8" i="31" l="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205" i="31" l="1"/>
  <c r="I194" i="31"/>
  <c r="I172" i="31"/>
  <c r="I64" i="31"/>
  <c r="I161" i="31"/>
  <c r="I53" i="31"/>
  <c r="I97" i="31"/>
  <c r="I217" i="31" s="1"/>
  <c r="I150" i="31"/>
  <c r="I270" i="31" s="1"/>
  <c r="I42" i="31"/>
  <c r="I183" i="31"/>
  <c r="I75" i="31"/>
  <c r="I86" i="31"/>
  <c r="I139" i="31"/>
  <c r="I259" i="31" s="1"/>
  <c r="I31" i="31"/>
  <c r="I20" i="31"/>
  <c r="I206" i="31" l="1"/>
  <c r="I195" i="31"/>
  <c r="I151" i="31"/>
  <c r="I271" i="31" s="1"/>
  <c r="I43" i="31"/>
  <c r="I87" i="31"/>
  <c r="I162" i="31"/>
  <c r="I54" i="31"/>
  <c r="I109" i="31"/>
  <c r="I229" i="31" s="1"/>
  <c r="I184" i="31"/>
  <c r="I76" i="31"/>
  <c r="I140" i="31"/>
  <c r="I260" i="31" s="1"/>
  <c r="I21" i="31"/>
  <c r="I32" i="31"/>
  <c r="I98" i="31"/>
  <c r="I218" i="31" s="1"/>
  <c r="I173" i="31"/>
  <c r="I65" i="31"/>
  <c r="I207" i="31" l="1"/>
  <c r="I196" i="31"/>
  <c r="I152" i="31"/>
  <c r="I272" i="31" s="1"/>
  <c r="I44" i="31"/>
  <c r="I174" i="31"/>
  <c r="I66" i="31"/>
  <c r="I185" i="31"/>
  <c r="I77" i="31"/>
  <c r="I110" i="31"/>
  <c r="I230" i="31" s="1"/>
  <c r="I141" i="31"/>
  <c r="I261" i="31" s="1"/>
  <c r="I33" i="31"/>
  <c r="I22" i="31"/>
  <c r="I88" i="31"/>
  <c r="I121" i="31"/>
  <c r="I241" i="31" s="1"/>
  <c r="I99" i="31"/>
  <c r="I219" i="31" s="1"/>
  <c r="I163" i="31"/>
  <c r="I55" i="31"/>
  <c r="I197" i="31" l="1"/>
  <c r="I208" i="31"/>
  <c r="I175" i="31"/>
  <c r="I67" i="31"/>
  <c r="I100" i="31"/>
  <c r="I220" i="31" s="1"/>
  <c r="I153" i="31"/>
  <c r="I273" i="31" s="1"/>
  <c r="I45" i="31"/>
  <c r="I122" i="31"/>
  <c r="I242" i="31" s="1"/>
  <c r="I164" i="31"/>
  <c r="I56" i="31"/>
  <c r="I111" i="31"/>
  <c r="I231" i="31" s="1"/>
  <c r="I142" i="31"/>
  <c r="I262" i="31" s="1"/>
  <c r="I23" i="31"/>
  <c r="I34" i="31"/>
  <c r="I89" i="31"/>
  <c r="I186" i="31"/>
  <c r="I78" i="31"/>
  <c r="I209" i="31" l="1"/>
  <c r="I198" i="31"/>
  <c r="I90" i="31"/>
  <c r="I143" i="31"/>
  <c r="I263" i="31" s="1"/>
  <c r="I35" i="31"/>
  <c r="I24" i="31"/>
  <c r="I123" i="31"/>
  <c r="I243" i="31" s="1"/>
  <c r="I187" i="31"/>
  <c r="I79" i="31"/>
  <c r="I101" i="31"/>
  <c r="I221" i="31" s="1"/>
  <c r="I154" i="31"/>
  <c r="I274" i="31" s="1"/>
  <c r="I46" i="31"/>
  <c r="I176" i="31"/>
  <c r="I68" i="31"/>
  <c r="I165" i="31"/>
  <c r="I57" i="31"/>
  <c r="I112" i="31"/>
  <c r="I232" i="31" s="1"/>
  <c r="I199" i="31" l="1"/>
  <c r="I210" i="31"/>
  <c r="I177" i="31"/>
  <c r="I69" i="31"/>
  <c r="I188" i="31"/>
  <c r="I80" i="31"/>
  <c r="I113" i="31"/>
  <c r="I233" i="31" s="1"/>
  <c r="I91" i="31"/>
  <c r="I155" i="31"/>
  <c r="I275" i="31" s="1"/>
  <c r="I47" i="31"/>
  <c r="I124" i="31"/>
  <c r="I244" i="31" s="1"/>
  <c r="I166" i="31"/>
  <c r="I58" i="31"/>
  <c r="I144" i="31"/>
  <c r="I264" i="31" s="1"/>
  <c r="I36" i="31"/>
  <c r="I102" i="31"/>
  <c r="I222" i="31" s="1"/>
  <c r="I211" i="31" l="1"/>
  <c r="I200" i="31"/>
  <c r="I114" i="31"/>
  <c r="I234" i="31" s="1"/>
  <c r="I103" i="31"/>
  <c r="I223" i="31" s="1"/>
  <c r="I189" i="31"/>
  <c r="I81" i="31"/>
  <c r="I156" i="31"/>
  <c r="I276" i="31" s="1"/>
  <c r="I48" i="31"/>
  <c r="I178" i="31"/>
  <c r="I70" i="31"/>
  <c r="I167" i="31"/>
  <c r="I59" i="31"/>
  <c r="I125" i="31"/>
  <c r="I245" i="31" s="1"/>
  <c r="I92" i="31"/>
  <c r="I212" i="31" l="1"/>
  <c r="I201" i="31"/>
  <c r="I104" i="31"/>
  <c r="I224" i="31" s="1"/>
  <c r="I190" i="31"/>
  <c r="I82" i="31"/>
  <c r="I93" i="31"/>
  <c r="I179" i="31"/>
  <c r="I71" i="31"/>
  <c r="I168" i="31"/>
  <c r="I60" i="31"/>
  <c r="I115" i="31"/>
  <c r="I235" i="31" s="1"/>
  <c r="I126" i="31"/>
  <c r="I246" i="31" s="1"/>
  <c r="I202" i="31" l="1"/>
  <c r="I213" i="31"/>
  <c r="I127" i="31"/>
  <c r="I247" i="31" s="1"/>
  <c r="I191" i="31"/>
  <c r="I83" i="31"/>
  <c r="I105" i="31"/>
  <c r="I225" i="31" s="1"/>
  <c r="I94" i="31"/>
  <c r="I180" i="31"/>
  <c r="I72" i="31"/>
  <c r="I116" i="31"/>
  <c r="I236" i="31" s="1"/>
  <c r="I203" i="31" l="1"/>
  <c r="I214" i="31"/>
  <c r="I117" i="31"/>
  <c r="I237" i="31" s="1"/>
  <c r="I95" i="31"/>
  <c r="I128" i="31"/>
  <c r="I248" i="31" s="1"/>
  <c r="I192" i="31"/>
  <c r="I84" i="31"/>
  <c r="I106" i="31"/>
  <c r="I226" i="31" s="1"/>
  <c r="I215" i="31" l="1"/>
  <c r="I204" i="31"/>
  <c r="I118" i="31"/>
  <c r="I238" i="31" s="1"/>
  <c r="I107" i="31"/>
  <c r="I227" i="31" s="1"/>
  <c r="I96" i="31"/>
  <c r="I129" i="31"/>
  <c r="I249" i="31" s="1"/>
  <c r="I216" i="31" l="1"/>
  <c r="I119" i="31"/>
  <c r="I239" i="31" s="1"/>
  <c r="I108" i="31"/>
  <c r="I228" i="31" s="1"/>
  <c r="I130" i="31"/>
  <c r="I250" i="31" s="1"/>
  <c r="I131" i="31" l="1"/>
  <c r="I251" i="31" s="1"/>
  <c r="I120" i="31"/>
  <c r="I240" i="31" s="1"/>
  <c r="I132" i="31" l="1"/>
  <c r="I252" i="31" s="1"/>
  <c r="B59" i="25" l="1"/>
  <c r="B60" i="25" l="1"/>
  <c r="M16" i="28"/>
  <c r="C9" i="28" l="1"/>
  <c r="C14" i="28" l="1"/>
  <c r="C39" i="28"/>
  <c r="C34" i="28"/>
  <c r="C27" i="28"/>
  <c r="C17" i="28"/>
  <c r="C33" i="28"/>
  <c r="C23" i="28"/>
  <c r="C40" i="28"/>
  <c r="C25" i="28"/>
  <c r="C29" i="28"/>
  <c r="C19" i="28"/>
  <c r="C18" i="28"/>
  <c r="C15" i="28"/>
  <c r="C35" i="28"/>
  <c r="C24" i="28"/>
  <c r="C28" i="28"/>
  <c r="C20" i="28"/>
  <c r="C30" i="28"/>
  <c r="C26" i="28"/>
  <c r="C21" i="28"/>
  <c r="C31" i="28"/>
  <c r="C37" i="28"/>
  <c r="C16" i="28"/>
  <c r="C32" i="28"/>
  <c r="C38" i="28"/>
  <c r="C36" i="28"/>
  <c r="C22" i="28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AP13" i="25" l="1"/>
  <c r="AL13" i="25"/>
  <c r="BD13" i="25"/>
  <c r="AY13" i="25"/>
  <c r="AS13" i="25"/>
  <c r="BA13" i="25"/>
  <c r="BC13" i="25"/>
  <c r="AR13" i="25"/>
  <c r="AV13" i="25"/>
  <c r="AM13" i="25"/>
  <c r="BB13" i="25"/>
  <c r="AT13" i="25"/>
  <c r="AX13" i="25"/>
  <c r="AZ13" i="25"/>
  <c r="AU13" i="25"/>
  <c r="AQ13" i="25"/>
  <c r="AW13" i="25"/>
  <c r="AO13" i="25"/>
  <c r="B15" i="25"/>
  <c r="O14" i="25"/>
  <c r="BO13" i="25"/>
  <c r="BR13" i="25"/>
  <c r="BK13" i="25"/>
  <c r="BF13" i="25"/>
  <c r="BW13" i="25"/>
  <c r="BY13" i="25"/>
  <c r="BN13" i="25"/>
  <c r="BQ13" i="25"/>
  <c r="BS13" i="25"/>
  <c r="BJ13" i="25"/>
  <c r="BV13" i="25"/>
  <c r="BU13" i="25"/>
  <c r="BM13" i="25"/>
  <c r="CW13" i="25"/>
  <c r="CX13" i="25" s="1"/>
  <c r="CY13" i="25" s="1"/>
  <c r="BI13" i="25"/>
  <c r="BG13" i="25"/>
  <c r="BX13" i="25"/>
  <c r="BT13" i="25"/>
  <c r="BH13" i="25"/>
  <c r="BP13" i="25"/>
  <c r="BL13" i="25"/>
  <c r="J15" i="31"/>
  <c r="B16" i="31"/>
  <c r="L28" i="31"/>
  <c r="AS14" i="25" l="1"/>
  <c r="AO14" i="25"/>
  <c r="AL14" i="25"/>
  <c r="BC14" i="25"/>
  <c r="AR14" i="25"/>
  <c r="AN14" i="25"/>
  <c r="AU14" i="25"/>
  <c r="BA14" i="25"/>
  <c r="AV14" i="25"/>
  <c r="AQ14" i="25"/>
  <c r="AM14" i="25"/>
  <c r="AT14" i="25"/>
  <c r="BB14" i="25"/>
  <c r="AX14" i="25"/>
  <c r="AY14" i="25"/>
  <c r="AP14" i="25"/>
  <c r="AW14" i="25"/>
  <c r="AK14" i="25"/>
  <c r="BD14" i="25"/>
  <c r="AZ14" i="25"/>
  <c r="AN13" i="25"/>
  <c r="CD13" i="25" s="1"/>
  <c r="CJ13" i="25"/>
  <c r="CE13" i="25"/>
  <c r="CS13" i="25"/>
  <c r="CG13" i="25"/>
  <c r="B17" i="31"/>
  <c r="J16" i="31"/>
  <c r="CC13" i="25"/>
  <c r="CF13" i="25"/>
  <c r="CL13" i="25"/>
  <c r="CK13" i="25"/>
  <c r="CQ13" i="25"/>
  <c r="BJ14" i="25"/>
  <c r="BX14" i="25"/>
  <c r="BQ14" i="25"/>
  <c r="BT14" i="25"/>
  <c r="BG14" i="25"/>
  <c r="BU14" i="25"/>
  <c r="BK14" i="25"/>
  <c r="BI14" i="25"/>
  <c r="CW14" i="25"/>
  <c r="CX14" i="25" s="1"/>
  <c r="CY14" i="25" s="1"/>
  <c r="BV14" i="25"/>
  <c r="BO14" i="25"/>
  <c r="BY14" i="25"/>
  <c r="BM14" i="25"/>
  <c r="BL14" i="25"/>
  <c r="BS14" i="25"/>
  <c r="BH14" i="25"/>
  <c r="BN14" i="25"/>
  <c r="BP14" i="25"/>
  <c r="BF14" i="25"/>
  <c r="BW14" i="25"/>
  <c r="BR14" i="25"/>
  <c r="L29" i="31"/>
  <c r="CH13" i="25"/>
  <c r="CM13" i="25"/>
  <c r="CB13" i="25"/>
  <c r="CT13" i="25"/>
  <c r="O15" i="25"/>
  <c r="B16" i="25"/>
  <c r="CR13" i="25"/>
  <c r="CI13" i="25"/>
  <c r="AK13" i="25"/>
  <c r="CN13" i="25"/>
  <c r="CO13" i="25"/>
  <c r="CP13" i="25"/>
  <c r="AR15" i="25" l="1"/>
  <c r="AN15" i="25"/>
  <c r="AV15" i="25"/>
  <c r="AQ15" i="25"/>
  <c r="AM15" i="25"/>
  <c r="AY15" i="25"/>
  <c r="AO15" i="25"/>
  <c r="AZ15" i="25"/>
  <c r="AP15" i="25"/>
  <c r="AL15" i="25"/>
  <c r="AS15" i="25"/>
  <c r="AT15" i="25"/>
  <c r="AX15" i="25"/>
  <c r="BB15" i="25"/>
  <c r="BC15" i="25"/>
  <c r="AU15" i="25"/>
  <c r="BA15" i="25"/>
  <c r="AW15" i="25"/>
  <c r="BD15" i="25"/>
  <c r="CJ14" i="25"/>
  <c r="CE14" i="25"/>
  <c r="CB14" i="25"/>
  <c r="CM14" i="25"/>
  <c r="CF14" i="25"/>
  <c r="CH14" i="25"/>
  <c r="CQ14" i="25"/>
  <c r="CR14" i="25"/>
  <c r="CI14" i="25"/>
  <c r="CO14" i="25"/>
  <c r="CN14" i="25"/>
  <c r="CP14" i="25"/>
  <c r="CK14" i="25"/>
  <c r="CT14" i="25"/>
  <c r="CC14" i="25"/>
  <c r="CL14" i="25"/>
  <c r="CD14" i="25"/>
  <c r="CS14" i="25"/>
  <c r="CG14" i="25"/>
  <c r="L30" i="31"/>
  <c r="J17" i="31"/>
  <c r="B18" i="31"/>
  <c r="BO15" i="25"/>
  <c r="BS15" i="25"/>
  <c r="BX15" i="25"/>
  <c r="BU15" i="25"/>
  <c r="BY15" i="25"/>
  <c r="BM15" i="25"/>
  <c r="BV15" i="25"/>
  <c r="BP15" i="25"/>
  <c r="BJ15" i="25"/>
  <c r="BW15" i="25"/>
  <c r="BL15" i="25"/>
  <c r="CW15" i="25"/>
  <c r="CX15" i="25" s="1"/>
  <c r="CY15" i="25" s="1"/>
  <c r="BN15" i="25"/>
  <c r="BF15" i="25"/>
  <c r="BI15" i="25"/>
  <c r="BR15" i="25"/>
  <c r="BH15" i="25"/>
  <c r="BQ15" i="25"/>
  <c r="BT15" i="25"/>
  <c r="BG15" i="25"/>
  <c r="BK15" i="25"/>
  <c r="CA13" i="25"/>
  <c r="CU13" i="25" s="1"/>
  <c r="C13" i="25" s="1"/>
  <c r="CA14" i="25"/>
  <c r="O16" i="25"/>
  <c r="B17" i="25"/>
  <c r="AS16" i="25" l="1"/>
  <c r="AO16" i="25"/>
  <c r="AK16" i="25"/>
  <c r="BC16" i="25"/>
  <c r="AW16" i="25"/>
  <c r="AR16" i="25"/>
  <c r="AN16" i="25"/>
  <c r="BA16" i="25"/>
  <c r="AV16" i="25"/>
  <c r="AQ16" i="25"/>
  <c r="AM16" i="25"/>
  <c r="AL16" i="25"/>
  <c r="AP16" i="25"/>
  <c r="AZ16" i="25"/>
  <c r="AU16" i="25"/>
  <c r="AX16" i="25"/>
  <c r="AT16" i="25"/>
  <c r="BD16" i="25"/>
  <c r="AY16" i="25"/>
  <c r="BB16" i="25"/>
  <c r="CJ15" i="25"/>
  <c r="CE15" i="25"/>
  <c r="CQ15" i="25"/>
  <c r="CO15" i="25"/>
  <c r="CC15" i="25"/>
  <c r="CM15" i="25"/>
  <c r="CB15" i="25"/>
  <c r="CI15" i="25"/>
  <c r="CF15" i="25"/>
  <c r="CS15" i="25"/>
  <c r="CU14" i="25"/>
  <c r="C14" i="25" s="1"/>
  <c r="CN15" i="25"/>
  <c r="AK15" i="25"/>
  <c r="CL15" i="25"/>
  <c r="CH15" i="25"/>
  <c r="CG15" i="25"/>
  <c r="CT15" i="25"/>
  <c r="CD15" i="25"/>
  <c r="CR15" i="25"/>
  <c r="CK15" i="25"/>
  <c r="CP15" i="25"/>
  <c r="B18" i="25"/>
  <c r="O17" i="25"/>
  <c r="BJ16" i="25"/>
  <c r="BL16" i="25"/>
  <c r="BK16" i="25"/>
  <c r="BQ16" i="25"/>
  <c r="BS16" i="25"/>
  <c r="BW16" i="25"/>
  <c r="BH16" i="25"/>
  <c r="BP16" i="25"/>
  <c r="BR16" i="25"/>
  <c r="BV16" i="25"/>
  <c r="BT16" i="25"/>
  <c r="BN16" i="25"/>
  <c r="CW16" i="25"/>
  <c r="CX16" i="25" s="1"/>
  <c r="CY16" i="25" s="1"/>
  <c r="BG16" i="25"/>
  <c r="BF16" i="25"/>
  <c r="BM16" i="25"/>
  <c r="BI16" i="25"/>
  <c r="BY16" i="25"/>
  <c r="BU16" i="25"/>
  <c r="BX16" i="25"/>
  <c r="BO16" i="25"/>
  <c r="J18" i="31"/>
  <c r="B19" i="31"/>
  <c r="L31" i="31"/>
  <c r="AR17" i="25" l="1"/>
  <c r="AN17" i="25"/>
  <c r="AQ17" i="25"/>
  <c r="AM17" i="25"/>
  <c r="AU17" i="25"/>
  <c r="AP17" i="25"/>
  <c r="AL17" i="25"/>
  <c r="AK17" i="25"/>
  <c r="AY17" i="25"/>
  <c r="AS17" i="25"/>
  <c r="AO17" i="25"/>
  <c r="BB17" i="25"/>
  <c r="AT17" i="25"/>
  <c r="AX17" i="25"/>
  <c r="BA17" i="25"/>
  <c r="AZ17" i="25"/>
  <c r="AV17" i="25"/>
  <c r="BC17" i="25"/>
  <c r="BD17" i="25"/>
  <c r="AW17" i="25"/>
  <c r="CA15" i="25"/>
  <c r="CU15" i="25" s="1"/>
  <c r="C15" i="25" s="1"/>
  <c r="CJ16" i="25"/>
  <c r="CE16" i="25"/>
  <c r="CT16" i="25"/>
  <c r="CS16" i="25"/>
  <c r="CI16" i="25"/>
  <c r="CA16" i="25"/>
  <c r="CP16" i="25"/>
  <c r="CD16" i="25"/>
  <c r="CB16" i="25"/>
  <c r="CO16" i="25"/>
  <c r="CR16" i="25"/>
  <c r="CN16" i="25"/>
  <c r="CQ16" i="25"/>
  <c r="CL16" i="25"/>
  <c r="CH16" i="25"/>
  <c r="CM16" i="25"/>
  <c r="CF16" i="25"/>
  <c r="CK16" i="25"/>
  <c r="CC16" i="25"/>
  <c r="CG16" i="25"/>
  <c r="B20" i="31"/>
  <c r="J19" i="31"/>
  <c r="BN17" i="25"/>
  <c r="BY17" i="25"/>
  <c r="BW17" i="25"/>
  <c r="BU17" i="25"/>
  <c r="CW17" i="25"/>
  <c r="CX17" i="25" s="1"/>
  <c r="CY17" i="25" s="1"/>
  <c r="BV17" i="25"/>
  <c r="BQ17" i="25"/>
  <c r="BX17" i="25"/>
  <c r="BM17" i="25"/>
  <c r="BR17" i="25"/>
  <c r="BT17" i="25"/>
  <c r="BJ17" i="25"/>
  <c r="BF17" i="25"/>
  <c r="BL17" i="25"/>
  <c r="BO17" i="25"/>
  <c r="BS17" i="25"/>
  <c r="BH17" i="25"/>
  <c r="BI17" i="25"/>
  <c r="BP17" i="25"/>
  <c r="BG17" i="25"/>
  <c r="BK17" i="25"/>
  <c r="L32" i="31"/>
  <c r="B19" i="25"/>
  <c r="O18" i="25"/>
  <c r="AV18" i="25" l="1"/>
  <c r="AQ18" i="25"/>
  <c r="AM18" i="25"/>
  <c r="AZ18" i="25"/>
  <c r="AU18" i="25"/>
  <c r="AP18" i="25"/>
  <c r="AL18" i="25"/>
  <c r="AY18" i="25"/>
  <c r="AS18" i="25"/>
  <c r="AO18" i="25"/>
  <c r="AK18" i="25"/>
  <c r="BC18" i="25"/>
  <c r="AW18" i="25"/>
  <c r="AR18" i="25"/>
  <c r="AT18" i="25"/>
  <c r="BB18" i="25"/>
  <c r="AX18" i="25"/>
  <c r="BA18" i="25"/>
  <c r="AN18" i="25"/>
  <c r="BD18" i="25"/>
  <c r="CJ17" i="25"/>
  <c r="CC17" i="25"/>
  <c r="CE17" i="25"/>
  <c r="CF17" i="25"/>
  <c r="CD17" i="25"/>
  <c r="CN17" i="25"/>
  <c r="CK17" i="25"/>
  <c r="CT17" i="25"/>
  <c r="CR17" i="25"/>
  <c r="CM17" i="25"/>
  <c r="CA17" i="25"/>
  <c r="CU16" i="25"/>
  <c r="C16" i="25" s="1"/>
  <c r="CI17" i="25"/>
  <c r="CH17" i="25"/>
  <c r="CS17" i="25"/>
  <c r="CP17" i="25"/>
  <c r="CB17" i="25"/>
  <c r="CG17" i="25"/>
  <c r="CL17" i="25"/>
  <c r="CO17" i="25"/>
  <c r="CQ17" i="25"/>
  <c r="O19" i="25"/>
  <c r="B20" i="25"/>
  <c r="BJ18" i="25"/>
  <c r="BP18" i="25"/>
  <c r="BV18" i="25"/>
  <c r="BY18" i="25"/>
  <c r="BG18" i="25"/>
  <c r="BT18" i="25"/>
  <c r="BO18" i="25"/>
  <c r="BQ18" i="25"/>
  <c r="BL18" i="25"/>
  <c r="BI18" i="25"/>
  <c r="BF18" i="25"/>
  <c r="BN18" i="25"/>
  <c r="BK18" i="25"/>
  <c r="BM18" i="25"/>
  <c r="BX18" i="25"/>
  <c r="BU18" i="25"/>
  <c r="CW18" i="25"/>
  <c r="CX18" i="25" s="1"/>
  <c r="CY18" i="25" s="1"/>
  <c r="BS18" i="25"/>
  <c r="BW18" i="25"/>
  <c r="BH18" i="25"/>
  <c r="BR18" i="25"/>
  <c r="L33" i="31"/>
  <c r="J20" i="31"/>
  <c r="B21" i="31"/>
  <c r="AP19" i="25" l="1"/>
  <c r="AL19" i="25"/>
  <c r="BD19" i="25"/>
  <c r="AY19" i="25"/>
  <c r="AS19" i="25"/>
  <c r="AO19" i="25"/>
  <c r="AK19" i="25"/>
  <c r="AR19" i="25"/>
  <c r="AN19" i="25"/>
  <c r="BA19" i="25"/>
  <c r="AM19" i="25"/>
  <c r="AV19" i="25"/>
  <c r="AQ19" i="25"/>
  <c r="AT19" i="25"/>
  <c r="AX19" i="25"/>
  <c r="BB19" i="25"/>
  <c r="AZ19" i="25"/>
  <c r="BC19" i="25"/>
  <c r="AW19" i="25"/>
  <c r="AU19" i="25"/>
  <c r="CJ18" i="25"/>
  <c r="CE18" i="25"/>
  <c r="CM18" i="25"/>
  <c r="CT18" i="25"/>
  <c r="CA18" i="25"/>
  <c r="CQ18" i="25"/>
  <c r="CP18" i="25"/>
  <c r="CS18" i="25"/>
  <c r="CF18" i="25"/>
  <c r="CL18" i="25"/>
  <c r="CC18" i="25"/>
  <c r="CN18" i="25"/>
  <c r="CO18" i="25"/>
  <c r="CI18" i="25"/>
  <c r="CU17" i="25"/>
  <c r="C17" i="25" s="1"/>
  <c r="CH18" i="25"/>
  <c r="CG18" i="25"/>
  <c r="CR18" i="25"/>
  <c r="CD18" i="25"/>
  <c r="CK18" i="25"/>
  <c r="CB18" i="25"/>
  <c r="B22" i="31"/>
  <c r="J21" i="31"/>
  <c r="B21" i="25"/>
  <c r="O20" i="25"/>
  <c r="L34" i="31"/>
  <c r="BN19" i="25"/>
  <c r="BF19" i="25"/>
  <c r="BU19" i="25"/>
  <c r="BH19" i="25"/>
  <c r="BR19" i="25"/>
  <c r="BX19" i="25"/>
  <c r="BV19" i="25"/>
  <c r="BG19" i="25"/>
  <c r="BO19" i="25"/>
  <c r="BQ19" i="25"/>
  <c r="BL19" i="25"/>
  <c r="BW19" i="25"/>
  <c r="BI19" i="25"/>
  <c r="BT19" i="25"/>
  <c r="BY19" i="25"/>
  <c r="CW19" i="25"/>
  <c r="CX19" i="25" s="1"/>
  <c r="CY19" i="25" s="1"/>
  <c r="BP19" i="25"/>
  <c r="BS19" i="25"/>
  <c r="BJ19" i="25"/>
  <c r="BK19" i="25"/>
  <c r="BM19" i="25"/>
  <c r="AS20" i="25" l="1"/>
  <c r="AO20" i="25"/>
  <c r="AK20" i="25"/>
  <c r="AW20" i="25"/>
  <c r="AR20" i="25"/>
  <c r="AV20" i="25"/>
  <c r="AQ20" i="25"/>
  <c r="AM20" i="25"/>
  <c r="AP20" i="25"/>
  <c r="BB20" i="25"/>
  <c r="AT20" i="25"/>
  <c r="AZ20" i="25"/>
  <c r="BC20" i="25"/>
  <c r="AU20" i="25"/>
  <c r="AL20" i="25"/>
  <c r="BA20" i="25"/>
  <c r="AX20" i="25"/>
  <c r="AN20" i="25"/>
  <c r="AY20" i="25"/>
  <c r="BD20" i="25"/>
  <c r="CE19" i="25"/>
  <c r="CJ19" i="25"/>
  <c r="CF19" i="25"/>
  <c r="CT19" i="25"/>
  <c r="CN19" i="25"/>
  <c r="CK19" i="25"/>
  <c r="CR19" i="25"/>
  <c r="CI19" i="25"/>
  <c r="CD19" i="25"/>
  <c r="CH19" i="25"/>
  <c r="CL19" i="25"/>
  <c r="CU18" i="25"/>
  <c r="C18" i="25" s="1"/>
  <c r="CO19" i="25"/>
  <c r="CG19" i="25"/>
  <c r="CB19" i="25"/>
  <c r="CC19" i="25"/>
  <c r="CQ19" i="25"/>
  <c r="CP19" i="25"/>
  <c r="CS19" i="25"/>
  <c r="CA19" i="25"/>
  <c r="CM19" i="25"/>
  <c r="BJ20" i="25"/>
  <c r="BV20" i="25"/>
  <c r="BX20" i="25"/>
  <c r="BT20" i="25"/>
  <c r="BR20" i="25"/>
  <c r="BK20" i="25"/>
  <c r="BG20" i="25"/>
  <c r="BM20" i="25"/>
  <c r="BL20" i="25"/>
  <c r="BO20" i="25"/>
  <c r="BU20" i="25"/>
  <c r="BY20" i="25"/>
  <c r="BF20" i="25"/>
  <c r="BI20" i="25"/>
  <c r="BP20" i="25"/>
  <c r="BS20" i="25"/>
  <c r="BN20" i="25"/>
  <c r="BW20" i="25"/>
  <c r="BQ20" i="25"/>
  <c r="CW20" i="25"/>
  <c r="CX20" i="25" s="1"/>
  <c r="CY20" i="25" s="1"/>
  <c r="BH20" i="25"/>
  <c r="J22" i="31"/>
  <c r="B23" i="31"/>
  <c r="B22" i="25"/>
  <c r="O21" i="25"/>
  <c r="L35" i="31"/>
  <c r="AW21" i="25" l="1"/>
  <c r="AR21" i="25"/>
  <c r="AN21" i="25"/>
  <c r="AV21" i="25"/>
  <c r="AQ21" i="25"/>
  <c r="AM21" i="25"/>
  <c r="AU21" i="25"/>
  <c r="AP21" i="25"/>
  <c r="AL21" i="25"/>
  <c r="AY21" i="25"/>
  <c r="BD21" i="25"/>
  <c r="AS21" i="25"/>
  <c r="AK21" i="25"/>
  <c r="BB21" i="25"/>
  <c r="AX21" i="25"/>
  <c r="AT21" i="25"/>
  <c r="BA21" i="25"/>
  <c r="AO21" i="25"/>
  <c r="AZ21" i="25"/>
  <c r="BC21" i="25"/>
  <c r="CJ20" i="25"/>
  <c r="CE20" i="25"/>
  <c r="CP20" i="25"/>
  <c r="CI20" i="25"/>
  <c r="CM20" i="25"/>
  <c r="CN20" i="25"/>
  <c r="CQ20" i="25"/>
  <c r="CC20" i="25"/>
  <c r="CR20" i="25"/>
  <c r="CD20" i="25"/>
  <c r="CK20" i="25"/>
  <c r="CL20" i="25"/>
  <c r="CT20" i="25"/>
  <c r="CG20" i="25"/>
  <c r="CO20" i="25"/>
  <c r="CU19" i="25"/>
  <c r="C19" i="25" s="1"/>
  <c r="CH20" i="25"/>
  <c r="CB20" i="25"/>
  <c r="CS20" i="25"/>
  <c r="CA20" i="25"/>
  <c r="CF20" i="25"/>
  <c r="L36" i="31"/>
  <c r="L37" i="31" s="1"/>
  <c r="O22" i="25"/>
  <c r="B23" i="25"/>
  <c r="J23" i="31"/>
  <c r="B24" i="31"/>
  <c r="BO21" i="25"/>
  <c r="BW21" i="25"/>
  <c r="BH21" i="25"/>
  <c r="BK21" i="25"/>
  <c r="BQ21" i="25"/>
  <c r="CW21" i="25"/>
  <c r="CX21" i="25" s="1"/>
  <c r="CY21" i="25" s="1"/>
  <c r="BY21" i="25"/>
  <c r="BU21" i="25"/>
  <c r="BS21" i="25"/>
  <c r="BR21" i="25"/>
  <c r="BN21" i="25"/>
  <c r="BG21" i="25"/>
  <c r="BJ21" i="25"/>
  <c r="BT21" i="25"/>
  <c r="BV21" i="25"/>
  <c r="BI21" i="25"/>
  <c r="BM21" i="25"/>
  <c r="BX21" i="25"/>
  <c r="BL21" i="25"/>
  <c r="BF21" i="25"/>
  <c r="BP21" i="25"/>
  <c r="AM22" i="25" l="1"/>
  <c r="AL22" i="25"/>
  <c r="AY22" i="25"/>
  <c r="AS22" i="25"/>
  <c r="AO22" i="25"/>
  <c r="AK22" i="25"/>
  <c r="AR22" i="25"/>
  <c r="AN22" i="25"/>
  <c r="BC22" i="25"/>
  <c r="AX22" i="25"/>
  <c r="AT22" i="25"/>
  <c r="BB22" i="25"/>
  <c r="AU22" i="25"/>
  <c r="AW22" i="25"/>
  <c r="BA22" i="25"/>
  <c r="AP22" i="25"/>
  <c r="AV22" i="25"/>
  <c r="AQ22" i="25"/>
  <c r="BD22" i="25"/>
  <c r="AZ22" i="25"/>
  <c r="CJ21" i="25"/>
  <c r="CE21" i="25"/>
  <c r="CH21" i="25"/>
  <c r="CK21" i="25"/>
  <c r="CS21" i="25"/>
  <c r="CT21" i="25"/>
  <c r="CQ21" i="25"/>
  <c r="CP21" i="25"/>
  <c r="CG21" i="25"/>
  <c r="CA21" i="25"/>
  <c r="CU20" i="25"/>
  <c r="C20" i="25" s="1"/>
  <c r="CD21" i="25"/>
  <c r="CO21" i="25"/>
  <c r="CN21" i="25"/>
  <c r="CI21" i="25"/>
  <c r="CF21" i="25"/>
  <c r="CC21" i="25"/>
  <c r="CR21" i="25"/>
  <c r="CB21" i="25"/>
  <c r="CM21" i="25"/>
  <c r="CL21" i="25"/>
  <c r="B24" i="25"/>
  <c r="O23" i="25"/>
  <c r="BJ22" i="25"/>
  <c r="BL22" i="25"/>
  <c r="BK22" i="25"/>
  <c r="BV22" i="25"/>
  <c r="BM22" i="25"/>
  <c r="BU22" i="25"/>
  <c r="BF22" i="25"/>
  <c r="BS22" i="25"/>
  <c r="BG22" i="25"/>
  <c r="BI22" i="25"/>
  <c r="BP22" i="25"/>
  <c r="BQ22" i="25"/>
  <c r="CW22" i="25"/>
  <c r="CX22" i="25" s="1"/>
  <c r="CY22" i="25" s="1"/>
  <c r="BO22" i="25"/>
  <c r="BY22" i="25"/>
  <c r="BW22" i="25"/>
  <c r="BH22" i="25"/>
  <c r="BX22" i="25"/>
  <c r="BN22" i="25"/>
  <c r="BT22" i="25"/>
  <c r="BR22" i="25"/>
  <c r="B25" i="31"/>
  <c r="J24" i="31"/>
  <c r="AU23" i="25" l="1"/>
  <c r="AP23" i="25"/>
  <c r="AL23" i="25"/>
  <c r="AS23" i="25"/>
  <c r="AO23" i="25"/>
  <c r="AW23" i="25"/>
  <c r="AR23" i="25"/>
  <c r="AQ23" i="25"/>
  <c r="AM23" i="25"/>
  <c r="BA23" i="25"/>
  <c r="AT23" i="25"/>
  <c r="AX23" i="25"/>
  <c r="BB23" i="25"/>
  <c r="AK23" i="25"/>
  <c r="BD23" i="25"/>
  <c r="AV23" i="25"/>
  <c r="AN23" i="25"/>
  <c r="AY23" i="25"/>
  <c r="AZ23" i="25"/>
  <c r="BC23" i="25"/>
  <c r="CJ22" i="25"/>
  <c r="CE22" i="25"/>
  <c r="CM22" i="25"/>
  <c r="CI22" i="25"/>
  <c r="CT22" i="25"/>
  <c r="CQ22" i="25"/>
  <c r="CO22" i="25"/>
  <c r="CS22" i="25"/>
  <c r="CR22" i="25"/>
  <c r="CU21" i="25"/>
  <c r="C21" i="25" s="1"/>
  <c r="CC22" i="25"/>
  <c r="CP22" i="25"/>
  <c r="CL22" i="25"/>
  <c r="CK22" i="25"/>
  <c r="CB22" i="25"/>
  <c r="CH22" i="25"/>
  <c r="CD22" i="25"/>
  <c r="CN22" i="25"/>
  <c r="CA22" i="25"/>
  <c r="CF22" i="25"/>
  <c r="CG22" i="25"/>
  <c r="BJ23" i="25"/>
  <c r="BP23" i="25"/>
  <c r="BX23" i="25"/>
  <c r="BY23" i="25"/>
  <c r="BW23" i="25"/>
  <c r="CW23" i="25"/>
  <c r="CX23" i="25" s="1"/>
  <c r="CY23" i="25" s="1"/>
  <c r="BQ23" i="25"/>
  <c r="BT23" i="25"/>
  <c r="BR23" i="25"/>
  <c r="BU23" i="25"/>
  <c r="BS23" i="25"/>
  <c r="BI23" i="25"/>
  <c r="BV23" i="25"/>
  <c r="BF23" i="25"/>
  <c r="BO23" i="25"/>
  <c r="BN23" i="25"/>
  <c r="BH23" i="25"/>
  <c r="BK23" i="25"/>
  <c r="BG23" i="25"/>
  <c r="BL23" i="25"/>
  <c r="BM23" i="25"/>
  <c r="O24" i="25"/>
  <c r="B25" i="25"/>
  <c r="J25" i="31"/>
  <c r="B26" i="31"/>
  <c r="BD24" i="25" l="1"/>
  <c r="AS24" i="25"/>
  <c r="AO24" i="25"/>
  <c r="AK24" i="25"/>
  <c r="BC24" i="25"/>
  <c r="AR24" i="25"/>
  <c r="AN24" i="25"/>
  <c r="AV24" i="25"/>
  <c r="AQ24" i="25"/>
  <c r="AM24" i="25"/>
  <c r="AU24" i="25"/>
  <c r="AP24" i="25"/>
  <c r="AZ24" i="25"/>
  <c r="AL24" i="25"/>
  <c r="AX24" i="25"/>
  <c r="BB24" i="25"/>
  <c r="AT24" i="25"/>
  <c r="BA24" i="25"/>
  <c r="AW24" i="25"/>
  <c r="AY24" i="25"/>
  <c r="CJ23" i="25"/>
  <c r="CE23" i="25"/>
  <c r="CF23" i="25"/>
  <c r="CA23" i="25"/>
  <c r="CB23" i="25"/>
  <c r="CN23" i="25"/>
  <c r="CH23" i="25"/>
  <c r="CQ23" i="25"/>
  <c r="CG23" i="25"/>
  <c r="CM23" i="25"/>
  <c r="CI23" i="25"/>
  <c r="CU22" i="25"/>
  <c r="C22" i="25" s="1"/>
  <c r="CK23" i="25"/>
  <c r="CC23" i="25"/>
  <c r="CD23" i="25"/>
  <c r="CP23" i="25"/>
  <c r="CR23" i="25"/>
  <c r="CO23" i="25"/>
  <c r="CT23" i="25"/>
  <c r="CL23" i="25"/>
  <c r="CS23" i="25"/>
  <c r="O25" i="25"/>
  <c r="B26" i="25"/>
  <c r="B27" i="31"/>
  <c r="J26" i="31"/>
  <c r="BJ24" i="25"/>
  <c r="BT24" i="25"/>
  <c r="BX24" i="25"/>
  <c r="BV24" i="25"/>
  <c r="BY24" i="25"/>
  <c r="BR24" i="25"/>
  <c r="BO24" i="25"/>
  <c r="BL24" i="25"/>
  <c r="BI24" i="25"/>
  <c r="BQ24" i="25"/>
  <c r="BG24" i="25"/>
  <c r="BN24" i="25"/>
  <c r="BS24" i="25"/>
  <c r="BP24" i="25"/>
  <c r="BF24" i="25"/>
  <c r="BM24" i="25"/>
  <c r="BK24" i="25"/>
  <c r="CW24" i="25"/>
  <c r="CX24" i="25" s="1"/>
  <c r="CY24" i="25" s="1"/>
  <c r="BW24" i="25"/>
  <c r="BU24" i="25"/>
  <c r="BH24" i="25"/>
  <c r="AW25" i="25" l="1"/>
  <c r="AR25" i="25"/>
  <c r="AN25" i="25"/>
  <c r="AV25" i="25"/>
  <c r="AQ25" i="25"/>
  <c r="AM25" i="25"/>
  <c r="AU25" i="25"/>
  <c r="AP25" i="25"/>
  <c r="AL25" i="25"/>
  <c r="AS25" i="25"/>
  <c r="AY25" i="25"/>
  <c r="BD25" i="25"/>
  <c r="AK25" i="25"/>
  <c r="BB25" i="25"/>
  <c r="AT25" i="25"/>
  <c r="AX25" i="25"/>
  <c r="BA25" i="25"/>
  <c r="AO25" i="25"/>
  <c r="BC25" i="25"/>
  <c r="AZ25" i="25"/>
  <c r="CJ24" i="25"/>
  <c r="CE24" i="25"/>
  <c r="CR24" i="25"/>
  <c r="CP24" i="25"/>
  <c r="CI24" i="25"/>
  <c r="CC24" i="25"/>
  <c r="CG24" i="25"/>
  <c r="CH24" i="25"/>
  <c r="CQ24" i="25"/>
  <c r="CF24" i="25"/>
  <c r="CK24" i="25"/>
  <c r="CB24" i="25"/>
  <c r="CT24" i="25"/>
  <c r="CU23" i="25"/>
  <c r="C23" i="25" s="1"/>
  <c r="CD24" i="25"/>
  <c r="CA24" i="25"/>
  <c r="CS24" i="25"/>
  <c r="CN24" i="25"/>
  <c r="CL24" i="25"/>
  <c r="CM24" i="25"/>
  <c r="CO24" i="25"/>
  <c r="B28" i="31"/>
  <c r="J27" i="31"/>
  <c r="B27" i="25"/>
  <c r="O26" i="25"/>
  <c r="BI25" i="25"/>
  <c r="BV25" i="25"/>
  <c r="BH25" i="25"/>
  <c r="BQ25" i="25"/>
  <c r="BG25" i="25"/>
  <c r="CW25" i="25"/>
  <c r="CX25" i="25" s="1"/>
  <c r="CY25" i="25" s="1"/>
  <c r="BN25" i="25"/>
  <c r="BP25" i="25"/>
  <c r="BM25" i="25"/>
  <c r="BR25" i="25"/>
  <c r="BO25" i="25"/>
  <c r="BF25" i="25"/>
  <c r="BJ25" i="25"/>
  <c r="BT25" i="25"/>
  <c r="BX25" i="25"/>
  <c r="BL25" i="25"/>
  <c r="BU25" i="25"/>
  <c r="BY25" i="25"/>
  <c r="BK25" i="25"/>
  <c r="BW25" i="25"/>
  <c r="BS25" i="25"/>
  <c r="AV26" i="25" l="1"/>
  <c r="AM26" i="25"/>
  <c r="AP26" i="25"/>
  <c r="AL26" i="25"/>
  <c r="AY26" i="25"/>
  <c r="AO26" i="25"/>
  <c r="AK26" i="25"/>
  <c r="AR26" i="25"/>
  <c r="AN26" i="25"/>
  <c r="BC26" i="25"/>
  <c r="AW26" i="25"/>
  <c r="AT26" i="25"/>
  <c r="AX26" i="25"/>
  <c r="BB26" i="25"/>
  <c r="AU26" i="25"/>
  <c r="BA26" i="25"/>
  <c r="AS26" i="25"/>
  <c r="AQ26" i="25"/>
  <c r="AZ26" i="25"/>
  <c r="BD26" i="25"/>
  <c r="CJ25" i="25"/>
  <c r="CE25" i="25"/>
  <c r="CN25" i="25"/>
  <c r="CT25" i="25"/>
  <c r="CF25" i="25"/>
  <c r="CR25" i="25"/>
  <c r="CO25" i="25"/>
  <c r="CP25" i="25"/>
  <c r="CH25" i="25"/>
  <c r="CC25" i="25"/>
  <c r="CK25" i="25"/>
  <c r="CQ25" i="25"/>
  <c r="CG25" i="25"/>
  <c r="CI25" i="25"/>
  <c r="CB25" i="25"/>
  <c r="CD25" i="25"/>
  <c r="CU24" i="25"/>
  <c r="C24" i="25" s="1"/>
  <c r="CS25" i="25"/>
  <c r="CA25" i="25"/>
  <c r="CM25" i="25"/>
  <c r="CL25" i="25"/>
  <c r="BJ26" i="25"/>
  <c r="BH26" i="25"/>
  <c r="BR26" i="25"/>
  <c r="BT26" i="25"/>
  <c r="BM26" i="25"/>
  <c r="BO26" i="25"/>
  <c r="BY26" i="25"/>
  <c r="BS26" i="25"/>
  <c r="BL26" i="25"/>
  <c r="BG26" i="25"/>
  <c r="BN26" i="25"/>
  <c r="BQ26" i="25"/>
  <c r="BU26" i="25"/>
  <c r="CW26" i="25"/>
  <c r="CX26" i="25" s="1"/>
  <c r="CY26" i="25" s="1"/>
  <c r="BK26" i="25"/>
  <c r="BV26" i="25"/>
  <c r="BP26" i="25"/>
  <c r="BF26" i="25"/>
  <c r="BI26" i="25"/>
  <c r="BW26" i="25"/>
  <c r="BX26" i="25"/>
  <c r="J28" i="31"/>
  <c r="B29" i="31"/>
  <c r="O27" i="25"/>
  <c r="B28" i="25"/>
  <c r="AP27" i="25" l="1"/>
  <c r="AL27" i="25"/>
  <c r="AY27" i="25"/>
  <c r="AS27" i="25"/>
  <c r="AO27" i="25"/>
  <c r="AW27" i="25"/>
  <c r="AR27" i="25"/>
  <c r="AQ27" i="25"/>
  <c r="AV27" i="25"/>
  <c r="AM27" i="25"/>
  <c r="AT27" i="25"/>
  <c r="AX27" i="25"/>
  <c r="BB27" i="25"/>
  <c r="BD27" i="25"/>
  <c r="AZ27" i="25"/>
  <c r="AU27" i="25"/>
  <c r="AK27" i="25"/>
  <c r="AN27" i="25"/>
  <c r="BC27" i="25"/>
  <c r="BA27" i="25"/>
  <c r="CJ26" i="25"/>
  <c r="CE26" i="25"/>
  <c r="CA26" i="25"/>
  <c r="CL26" i="25"/>
  <c r="CM26" i="25"/>
  <c r="CR26" i="25"/>
  <c r="CK26" i="25"/>
  <c r="CI26" i="25"/>
  <c r="CD26" i="25"/>
  <c r="CS26" i="25"/>
  <c r="CP26" i="25"/>
  <c r="CQ26" i="25"/>
  <c r="CB26" i="25"/>
  <c r="CC26" i="25"/>
  <c r="CF26" i="25"/>
  <c r="CG26" i="25"/>
  <c r="CH26" i="25"/>
  <c r="CU25" i="25"/>
  <c r="C25" i="25" s="1"/>
  <c r="CN26" i="25"/>
  <c r="CO26" i="25"/>
  <c r="CT26" i="25"/>
  <c r="BO27" i="25"/>
  <c r="BY27" i="25"/>
  <c r="BR27" i="25"/>
  <c r="BS27" i="25"/>
  <c r="BU27" i="25"/>
  <c r="CW27" i="25"/>
  <c r="CX27" i="25" s="1"/>
  <c r="CY27" i="25" s="1"/>
  <c r="BJ27" i="25"/>
  <c r="BL27" i="25"/>
  <c r="BK27" i="25"/>
  <c r="BV27" i="25"/>
  <c r="BF27" i="25"/>
  <c r="BW27" i="25"/>
  <c r="BH27" i="25"/>
  <c r="BT27" i="25"/>
  <c r="BN27" i="25"/>
  <c r="BP27" i="25"/>
  <c r="BG27" i="25"/>
  <c r="BQ27" i="25"/>
  <c r="BI27" i="25"/>
  <c r="BX27" i="25"/>
  <c r="BM27" i="25"/>
  <c r="B29" i="25"/>
  <c r="O28" i="25"/>
  <c r="B30" i="31"/>
  <c r="J29" i="31"/>
  <c r="AY28" i="25" l="1"/>
  <c r="AO28" i="25"/>
  <c r="AR28" i="25"/>
  <c r="BA28" i="25"/>
  <c r="AV28" i="25"/>
  <c r="AQ28" i="25"/>
  <c r="AM28" i="25"/>
  <c r="AP28" i="25"/>
  <c r="AL28" i="25"/>
  <c r="AU28" i="25"/>
  <c r="AZ28" i="25"/>
  <c r="AX28" i="25"/>
  <c r="BB28" i="25"/>
  <c r="AT28" i="25"/>
  <c r="AW28" i="25"/>
  <c r="AS28" i="25"/>
  <c r="BC28" i="25"/>
  <c r="AN28" i="25"/>
  <c r="CE27" i="25"/>
  <c r="CJ27" i="25"/>
  <c r="CL27" i="25"/>
  <c r="CI27" i="25"/>
  <c r="CN27" i="25"/>
  <c r="CK27" i="25"/>
  <c r="CD27" i="25"/>
  <c r="CP27" i="25"/>
  <c r="CS27" i="25"/>
  <c r="CB27" i="25"/>
  <c r="CQ27" i="25"/>
  <c r="CM27" i="25"/>
  <c r="CO27" i="25"/>
  <c r="CH27" i="25"/>
  <c r="CU26" i="25"/>
  <c r="C26" i="25" s="1"/>
  <c r="CG27" i="25"/>
  <c r="CC27" i="25"/>
  <c r="CR27" i="25"/>
  <c r="CA27" i="25"/>
  <c r="CT27" i="25"/>
  <c r="CF27" i="25"/>
  <c r="B30" i="25"/>
  <c r="O29" i="25"/>
  <c r="BN28" i="25"/>
  <c r="BX28" i="25"/>
  <c r="BH28" i="25"/>
  <c r="BL28" i="25"/>
  <c r="BU28" i="25"/>
  <c r="BS28" i="25"/>
  <c r="BV28" i="25"/>
  <c r="BW28" i="25"/>
  <c r="BJ28" i="25"/>
  <c r="BI28" i="25"/>
  <c r="BG28" i="25"/>
  <c r="BF28" i="25"/>
  <c r="BO28" i="25"/>
  <c r="BR28" i="25"/>
  <c r="BP28" i="25"/>
  <c r="BK28" i="25"/>
  <c r="BM28" i="25"/>
  <c r="BQ28" i="25"/>
  <c r="CW28" i="25"/>
  <c r="CX28" i="25" s="1"/>
  <c r="CY28" i="25" s="1"/>
  <c r="BT28" i="25"/>
  <c r="BY28" i="25"/>
  <c r="B31" i="31"/>
  <c r="J30" i="31"/>
  <c r="AR29" i="25" l="1"/>
  <c r="AN29" i="25"/>
  <c r="AQ29" i="25"/>
  <c r="AM29" i="25"/>
  <c r="AU29" i="25"/>
  <c r="AP29" i="25"/>
  <c r="AL29" i="25"/>
  <c r="AK29" i="25"/>
  <c r="AY29" i="25"/>
  <c r="AS29" i="25"/>
  <c r="BB29" i="25"/>
  <c r="AT29" i="25"/>
  <c r="AX29" i="25"/>
  <c r="BA29" i="25"/>
  <c r="AW29" i="25"/>
  <c r="AO29" i="25"/>
  <c r="AZ29" i="25"/>
  <c r="BC29" i="25"/>
  <c r="BD29" i="25"/>
  <c r="AV29" i="25"/>
  <c r="CJ28" i="25"/>
  <c r="CE28" i="25"/>
  <c r="CF28" i="25"/>
  <c r="CB28" i="25"/>
  <c r="CK28" i="25"/>
  <c r="CM28" i="25"/>
  <c r="CO28" i="25"/>
  <c r="CH28" i="25"/>
  <c r="CQ28" i="25"/>
  <c r="CU27" i="25"/>
  <c r="C27" i="25" s="1"/>
  <c r="CC28" i="25"/>
  <c r="CL28" i="25"/>
  <c r="CD28" i="25"/>
  <c r="CN28" i="25"/>
  <c r="CS28" i="25"/>
  <c r="BD28" i="25"/>
  <c r="CT28" i="25" s="1"/>
  <c r="A62" i="25"/>
  <c r="CP28" i="25"/>
  <c r="CI28" i="25"/>
  <c r="AK28" i="25"/>
  <c r="CA28" i="25" s="1"/>
  <c r="A63" i="25"/>
  <c r="CR28" i="25"/>
  <c r="CG28" i="25"/>
  <c r="B32" i="31"/>
  <c r="J31" i="31"/>
  <c r="BN29" i="25"/>
  <c r="BS29" i="25"/>
  <c r="BG29" i="25"/>
  <c r="BF29" i="25"/>
  <c r="BP29" i="25"/>
  <c r="BO29" i="25"/>
  <c r="BW29" i="25"/>
  <c r="BQ29" i="25"/>
  <c r="CW29" i="25"/>
  <c r="CX29" i="25" s="1"/>
  <c r="CY29" i="25" s="1"/>
  <c r="BR29" i="25"/>
  <c r="BX29" i="25"/>
  <c r="BJ29" i="25"/>
  <c r="BL29" i="25"/>
  <c r="BY29" i="25"/>
  <c r="BH29" i="25"/>
  <c r="BK29" i="25"/>
  <c r="BV29" i="25"/>
  <c r="BU29" i="25"/>
  <c r="BI29" i="25"/>
  <c r="BT29" i="25"/>
  <c r="BM29" i="25"/>
  <c r="O30" i="25"/>
  <c r="B31" i="25"/>
  <c r="AM30" i="25" l="1"/>
  <c r="AU30" i="25"/>
  <c r="AL30" i="25"/>
  <c r="AS30" i="25"/>
  <c r="AO30" i="25"/>
  <c r="AR30" i="25"/>
  <c r="BC30" i="25"/>
  <c r="AX30" i="25"/>
  <c r="BB30" i="25"/>
  <c r="BA30" i="25"/>
  <c r="AK30" i="25"/>
  <c r="AP30" i="25"/>
  <c r="AW30" i="25"/>
  <c r="AV30" i="25"/>
  <c r="AQ30" i="25"/>
  <c r="AZ30" i="25"/>
  <c r="AT30" i="25"/>
  <c r="BD30" i="25"/>
  <c r="AY30" i="25"/>
  <c r="AN30" i="25"/>
  <c r="CJ29" i="25"/>
  <c r="CE29" i="25"/>
  <c r="CB29" i="25"/>
  <c r="CL29" i="25"/>
  <c r="CO29" i="25"/>
  <c r="CQ29" i="25"/>
  <c r="CT29" i="25"/>
  <c r="CS29" i="25"/>
  <c r="CP29" i="25"/>
  <c r="CH29" i="25"/>
  <c r="CD29" i="25"/>
  <c r="CC29" i="25"/>
  <c r="CF29" i="25"/>
  <c r="CU28" i="25"/>
  <c r="C28" i="25" s="1"/>
  <c r="CR29" i="25"/>
  <c r="CN29" i="25"/>
  <c r="CK29" i="25"/>
  <c r="CI29" i="25"/>
  <c r="CG29" i="25"/>
  <c r="CM29" i="25"/>
  <c r="CA29" i="25"/>
  <c r="O31" i="25"/>
  <c r="B32" i="25"/>
  <c r="BN30" i="25"/>
  <c r="BQ30" i="25"/>
  <c r="BK30" i="25"/>
  <c r="CW30" i="25"/>
  <c r="CX30" i="25" s="1"/>
  <c r="CY30" i="25" s="1"/>
  <c r="BR30" i="25"/>
  <c r="BL30" i="25"/>
  <c r="BV30" i="25"/>
  <c r="BM30" i="25"/>
  <c r="BF30" i="25"/>
  <c r="BG30" i="25"/>
  <c r="BP30" i="25"/>
  <c r="BO30" i="25"/>
  <c r="BH30" i="25"/>
  <c r="BI30" i="25"/>
  <c r="BU30" i="25"/>
  <c r="BY30" i="25"/>
  <c r="BS30" i="25"/>
  <c r="BJ30" i="25"/>
  <c r="BW30" i="25"/>
  <c r="BT30" i="25"/>
  <c r="BX30" i="25"/>
  <c r="J32" i="31"/>
  <c r="B33" i="31"/>
  <c r="AL31" i="25" l="1"/>
  <c r="AS31" i="25"/>
  <c r="AO31" i="25"/>
  <c r="AW31" i="25"/>
  <c r="AR31" i="25"/>
  <c r="AQ31" i="25"/>
  <c r="AT31" i="25"/>
  <c r="AX31" i="25"/>
  <c r="BB31" i="25"/>
  <c r="AV31" i="25"/>
  <c r="AY31" i="25"/>
  <c r="AU31" i="25"/>
  <c r="AK31" i="25"/>
  <c r="AP31" i="25"/>
  <c r="AN31" i="25"/>
  <c r="AZ31" i="25"/>
  <c r="BC31" i="25"/>
  <c r="AM31" i="25"/>
  <c r="BA31" i="25"/>
  <c r="BD31" i="25"/>
  <c r="CJ30" i="25"/>
  <c r="CE30" i="25"/>
  <c r="CP30" i="25"/>
  <c r="CO30" i="25"/>
  <c r="CR30" i="25"/>
  <c r="CM30" i="25"/>
  <c r="CC30" i="25"/>
  <c r="CS30" i="25"/>
  <c r="CQ30" i="25"/>
  <c r="CT30" i="25"/>
  <c r="CK30" i="25"/>
  <c r="CN30" i="25"/>
  <c r="CA30" i="25"/>
  <c r="CH30" i="25"/>
  <c r="CD30" i="25"/>
  <c r="CF30" i="25"/>
  <c r="CG30" i="25"/>
  <c r="CL30" i="25"/>
  <c r="CB30" i="25"/>
  <c r="CI30" i="25"/>
  <c r="CU29" i="25"/>
  <c r="C29" i="25" s="1"/>
  <c r="B33" i="25"/>
  <c r="O32" i="25"/>
  <c r="B34" i="31"/>
  <c r="J33" i="31"/>
  <c r="BO31" i="25"/>
  <c r="BP31" i="25"/>
  <c r="BS31" i="25"/>
  <c r="BQ31" i="25"/>
  <c r="BR31" i="25"/>
  <c r="BH31" i="25"/>
  <c r="BL31" i="25"/>
  <c r="BU31" i="25"/>
  <c r="CW31" i="25"/>
  <c r="CX31" i="25" s="1"/>
  <c r="CY31" i="25" s="1"/>
  <c r="BF31" i="25"/>
  <c r="BN31" i="25"/>
  <c r="BV31" i="25"/>
  <c r="BT31" i="25"/>
  <c r="BX31" i="25"/>
  <c r="BI31" i="25"/>
  <c r="BM31" i="25"/>
  <c r="BK31" i="25"/>
  <c r="BJ31" i="25"/>
  <c r="BY31" i="25"/>
  <c r="BG31" i="25"/>
  <c r="BW31" i="25"/>
  <c r="AS32" i="25" l="1"/>
  <c r="AO32" i="25"/>
  <c r="AV32" i="25"/>
  <c r="AN32" i="25"/>
  <c r="BC32" i="25"/>
  <c r="AY32" i="25"/>
  <c r="AU32" i="25"/>
  <c r="AQ32" i="25"/>
  <c r="AM32" i="25"/>
  <c r="BB32" i="25"/>
  <c r="AT32" i="25"/>
  <c r="AP32" i="25"/>
  <c r="AR32" i="25"/>
  <c r="AW32" i="25"/>
  <c r="AL32" i="25"/>
  <c r="BA32" i="25"/>
  <c r="AK32" i="25"/>
  <c r="AX32" i="25"/>
  <c r="AZ32" i="25"/>
  <c r="BD32" i="25"/>
  <c r="B34" i="25"/>
  <c r="O34" i="25" s="1"/>
  <c r="O33" i="25"/>
  <c r="CJ31" i="25"/>
  <c r="CS31" i="25"/>
  <c r="CE31" i="25"/>
  <c r="CB31" i="25"/>
  <c r="CD31" i="25"/>
  <c r="CT31" i="25"/>
  <c r="CN31" i="25"/>
  <c r="CH31" i="25"/>
  <c r="CQ31" i="25"/>
  <c r="CP31" i="25"/>
  <c r="CR31" i="25"/>
  <c r="CO31" i="25"/>
  <c r="CC31" i="25"/>
  <c r="CK31" i="25"/>
  <c r="CA31" i="25"/>
  <c r="CM31" i="25"/>
  <c r="CI31" i="25"/>
  <c r="CL31" i="25"/>
  <c r="CF31" i="25"/>
  <c r="CG31" i="25"/>
  <c r="CU30" i="25"/>
  <c r="C30" i="25" s="1"/>
  <c r="B35" i="31"/>
  <c r="J34" i="31"/>
  <c r="BI32" i="25"/>
  <c r="BX32" i="25"/>
  <c r="CW32" i="25"/>
  <c r="CX32" i="25" s="1"/>
  <c r="CY32" i="25" s="1"/>
  <c r="BM32" i="25"/>
  <c r="BV32" i="25"/>
  <c r="BH32" i="25"/>
  <c r="BJ32" i="25"/>
  <c r="BP32" i="25"/>
  <c r="BY32" i="25"/>
  <c r="BU32" i="25"/>
  <c r="BO32" i="25"/>
  <c r="BR32" i="25"/>
  <c r="BW32" i="25"/>
  <c r="BQ32" i="25"/>
  <c r="BL32" i="25"/>
  <c r="BK32" i="25"/>
  <c r="BF32" i="25"/>
  <c r="BN32" i="25"/>
  <c r="BG32" i="25"/>
  <c r="BT32" i="25"/>
  <c r="BS32" i="25"/>
  <c r="AO33" i="25" l="1"/>
  <c r="AZ33" i="25"/>
  <c r="AV33" i="25"/>
  <c r="BC33" i="25"/>
  <c r="AY33" i="25"/>
  <c r="AL33" i="25"/>
  <c r="AK34" i="25"/>
  <c r="AN34" i="25"/>
  <c r="AY34" i="25"/>
  <c r="AM34" i="25"/>
  <c r="AV34" i="25"/>
  <c r="AP34" i="25"/>
  <c r="BD34" i="25"/>
  <c r="BB34" i="25"/>
  <c r="AW34" i="25"/>
  <c r="AX34" i="25"/>
  <c r="BA34" i="25"/>
  <c r="AS34" i="25"/>
  <c r="AT34" i="25"/>
  <c r="AU33" i="25"/>
  <c r="BA33" i="25"/>
  <c r="AW33" i="25"/>
  <c r="AT33" i="25"/>
  <c r="BC34" i="25"/>
  <c r="AL34" i="25"/>
  <c r="AQ34" i="25"/>
  <c r="AO34" i="25"/>
  <c r="AX33" i="25"/>
  <c r="AZ34" i="25"/>
  <c r="BD33" i="25"/>
  <c r="AN33" i="25"/>
  <c r="AQ33" i="25"/>
  <c r="BB33" i="25"/>
  <c r="AR34" i="25"/>
  <c r="AU34" i="25"/>
  <c r="AM33" i="25"/>
  <c r="AP33" i="25"/>
  <c r="BF34" i="25"/>
  <c r="BN34" i="25"/>
  <c r="BT33" i="25"/>
  <c r="AK33" i="25"/>
  <c r="AR33" i="25"/>
  <c r="BR34" i="25"/>
  <c r="BU34" i="25"/>
  <c r="BO34" i="25"/>
  <c r="BQ34" i="25"/>
  <c r="CW34" i="25"/>
  <c r="CX34" i="25" s="1"/>
  <c r="CY34" i="25" s="1"/>
  <c r="BW34" i="25"/>
  <c r="BT34" i="25"/>
  <c r="BL34" i="25"/>
  <c r="BY34" i="25"/>
  <c r="BM34" i="25"/>
  <c r="BH34" i="25"/>
  <c r="BV34" i="25"/>
  <c r="BP34" i="25"/>
  <c r="BS34" i="25"/>
  <c r="BM33" i="25"/>
  <c r="BX34" i="25"/>
  <c r="BK34" i="25"/>
  <c r="BJ34" i="25"/>
  <c r="BI34" i="25"/>
  <c r="BG34" i="25"/>
  <c r="BO33" i="25"/>
  <c r="AS33" i="25"/>
  <c r="BV33" i="25"/>
  <c r="BK33" i="25"/>
  <c r="BJ33" i="25"/>
  <c r="BL33" i="25"/>
  <c r="BX33" i="25"/>
  <c r="BS33" i="25"/>
  <c r="BH33" i="25"/>
  <c r="CW33" i="25"/>
  <c r="CX33" i="25" s="1"/>
  <c r="CY33" i="25" s="1"/>
  <c r="BQ33" i="25"/>
  <c r="BU33" i="25"/>
  <c r="BP33" i="25"/>
  <c r="BW33" i="25"/>
  <c r="BI33" i="25"/>
  <c r="BF33" i="25"/>
  <c r="BG33" i="25"/>
  <c r="BY33" i="25"/>
  <c r="BN33" i="25"/>
  <c r="BR33" i="25"/>
  <c r="CE32" i="25"/>
  <c r="CJ32" i="25"/>
  <c r="CN32" i="25"/>
  <c r="CF32" i="25"/>
  <c r="CA32" i="25"/>
  <c r="CL32" i="25"/>
  <c r="CO32" i="25"/>
  <c r="CT32" i="25"/>
  <c r="CQ32" i="25"/>
  <c r="CM32" i="25"/>
  <c r="CI32" i="25"/>
  <c r="CB32" i="25"/>
  <c r="CU31" i="25"/>
  <c r="C31" i="25" s="1"/>
  <c r="CR32" i="25"/>
  <c r="CP32" i="25"/>
  <c r="CK32" i="25"/>
  <c r="CC32" i="25"/>
  <c r="CS32" i="25"/>
  <c r="CD32" i="25"/>
  <c r="CG32" i="25"/>
  <c r="CH32" i="25"/>
  <c r="J35" i="31"/>
  <c r="B36" i="31"/>
  <c r="CJ34" i="25" l="1"/>
  <c r="CI34" i="25"/>
  <c r="CG34" i="25"/>
  <c r="CO33" i="25"/>
  <c r="CP34" i="25"/>
  <c r="CK34" i="25"/>
  <c r="CQ33" i="25"/>
  <c r="CD34" i="25"/>
  <c r="CN34" i="25"/>
  <c r="CA34" i="25"/>
  <c r="CR34" i="25"/>
  <c r="CS34" i="25"/>
  <c r="CB34" i="25"/>
  <c r="CQ34" i="25"/>
  <c r="CO34" i="25"/>
  <c r="CF34" i="25"/>
  <c r="CC34" i="25"/>
  <c r="A64" i="25"/>
  <c r="CN33" i="25"/>
  <c r="CM34" i="25"/>
  <c r="CM33" i="25"/>
  <c r="CD33" i="25"/>
  <c r="CS33" i="25"/>
  <c r="CB33" i="25"/>
  <c r="CK33" i="25"/>
  <c r="CC33" i="25"/>
  <c r="CG33" i="25"/>
  <c r="CP33" i="25"/>
  <c r="CR33" i="25"/>
  <c r="CT33" i="25"/>
  <c r="CH33" i="25"/>
  <c r="CH34" i="25"/>
  <c r="CL34" i="25"/>
  <c r="CL33" i="25"/>
  <c r="CJ33" i="25"/>
  <c r="CA33" i="25"/>
  <c r="CF33" i="25"/>
  <c r="CI33" i="25"/>
  <c r="CT34" i="25"/>
  <c r="CU32" i="25"/>
  <c r="C32" i="25" s="1"/>
  <c r="B37" i="31"/>
  <c r="J36" i="31"/>
  <c r="CU34" i="25" l="1"/>
  <c r="C34" i="25" s="1"/>
  <c r="CU33" i="25"/>
  <c r="C33" i="25" s="1"/>
  <c r="B38" i="3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J133" i="31" l="1"/>
  <c r="J134" i="31" l="1"/>
  <c r="J135" i="31" l="1"/>
  <c r="J136" i="31" l="1"/>
  <c r="J137" i="31" l="1"/>
  <c r="J138" i="31" l="1"/>
  <c r="J139" i="31" l="1"/>
  <c r="J140" i="31" l="1"/>
  <c r="J141" i="31" l="1"/>
  <c r="J142" i="31" l="1"/>
  <c r="J143" i="31" l="1"/>
  <c r="J144" i="31" l="1"/>
  <c r="J145" i="31" l="1"/>
  <c r="J146" i="31" l="1"/>
  <c r="J147" i="31" l="1"/>
  <c r="J148" i="31" l="1"/>
  <c r="J149" i="31" l="1"/>
  <c r="J150" i="31" l="1"/>
  <c r="J151" i="31" l="1"/>
  <c r="J152" i="31" l="1"/>
  <c r="J153" i="31" l="1"/>
  <c r="J154" i="31" l="1"/>
  <c r="J155" i="31" l="1"/>
  <c r="J156" i="31" l="1"/>
  <c r="J157" i="31" l="1"/>
  <c r="J158" i="31" l="1"/>
  <c r="J159" i="31" l="1"/>
  <c r="J160" i="31" l="1"/>
  <c r="J161" i="31" l="1"/>
  <c r="J162" i="31" l="1"/>
  <c r="J163" i="31" l="1"/>
  <c r="J164" i="31" l="1"/>
  <c r="J165" i="31" l="1"/>
  <c r="J166" i="31" l="1"/>
  <c r="J167" i="31" l="1"/>
  <c r="J168" i="31" l="1"/>
  <c r="J169" i="31" l="1"/>
  <c r="J170" i="31" l="1"/>
  <c r="J171" i="31" l="1"/>
  <c r="J172" i="31" l="1"/>
  <c r="J173" i="31" l="1"/>
  <c r="J174" i="31" l="1"/>
  <c r="J175" i="31" l="1"/>
  <c r="J176" i="31" l="1"/>
  <c r="J177" i="31" l="1"/>
  <c r="J178" i="31" l="1"/>
  <c r="J179" i="31" l="1"/>
  <c r="J180" i="31" l="1"/>
  <c r="J181" i="31" l="1"/>
  <c r="J182" i="31" l="1"/>
  <c r="J183" i="31" l="1"/>
  <c r="J184" i="31" l="1"/>
  <c r="J185" i="31" l="1"/>
  <c r="J186" i="31" l="1"/>
  <c r="J187" i="31" l="1"/>
  <c r="J188" i="31" l="1"/>
  <c r="J189" i="31" l="1"/>
  <c r="J190" i="31" l="1"/>
  <c r="J191" i="31" l="1"/>
  <c r="J192" i="31" l="1"/>
  <c r="J193" i="31" l="1"/>
  <c r="J194" i="31" l="1"/>
  <c r="J195" i="31" l="1"/>
  <c r="J196" i="31" l="1"/>
  <c r="J197" i="31" l="1"/>
  <c r="J198" i="31" l="1"/>
  <c r="J199" i="31" l="1"/>
  <c r="J200" i="31" l="1"/>
  <c r="J201" i="31" l="1"/>
  <c r="J202" i="31" l="1"/>
  <c r="J203" i="31" l="1"/>
  <c r="J204" i="31" l="1"/>
  <c r="J205" i="31" l="1"/>
  <c r="J206" i="31" l="1"/>
  <c r="J207" i="31" l="1"/>
  <c r="J208" i="31" l="1"/>
  <c r="J209" i="31" l="1"/>
  <c r="J210" i="31" l="1"/>
  <c r="J211" i="31" l="1"/>
  <c r="J212" i="31" l="1"/>
  <c r="J213" i="31" l="1"/>
  <c r="J214" i="31" l="1"/>
  <c r="J215" i="31" l="1"/>
  <c r="J217" i="31" l="1"/>
  <c r="J216" i="31"/>
  <c r="J218" i="31" l="1"/>
  <c r="J219" i="31" l="1"/>
  <c r="J265" i="31"/>
  <c r="J220" i="31" l="1"/>
  <c r="J266" i="31"/>
  <c r="J221" i="31" l="1"/>
  <c r="J267" i="31"/>
  <c r="J222" i="31" l="1"/>
  <c r="J268" i="31"/>
  <c r="J223" i="31" l="1"/>
  <c r="J269" i="31"/>
  <c r="J224" i="31" l="1"/>
  <c r="J270" i="31"/>
  <c r="J225" i="31" l="1"/>
  <c r="J271" i="31"/>
  <c r="J226" i="31" l="1"/>
  <c r="J272" i="31"/>
  <c r="J227" i="31" l="1"/>
  <c r="J273" i="31"/>
  <c r="J228" i="31" l="1"/>
  <c r="J274" i="31"/>
  <c r="J229" i="31" l="1"/>
  <c r="J275" i="31"/>
  <c r="J276" i="3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 l="1"/>
  <c r="J241" i="31" l="1"/>
  <c r="J242" i="31" l="1"/>
  <c r="K264" i="31"/>
  <c r="J243" i="31" l="1"/>
  <c r="K268" i="31"/>
  <c r="K270" i="31"/>
  <c r="K267" i="31"/>
  <c r="K273" i="31"/>
  <c r="K266" i="31"/>
  <c r="K271" i="31"/>
  <c r="K276" i="31"/>
  <c r="K269" i="31"/>
  <c r="K272" i="31"/>
  <c r="K265" i="31"/>
  <c r="K275" i="31"/>
  <c r="K274" i="31"/>
  <c r="J244" i="31" l="1"/>
  <c r="J245" i="31" l="1"/>
  <c r="J246" i="31" l="1"/>
  <c r="J247" i="31" l="1"/>
  <c r="J248" i="31" l="1"/>
  <c r="J249" i="31" l="1"/>
  <c r="J250" i="31" l="1"/>
  <c r="J251" i="31" l="1"/>
  <c r="J252" i="31" l="1"/>
  <c r="J253" i="31" l="1"/>
  <c r="J254" i="31" l="1"/>
  <c r="J255" i="31" l="1"/>
  <c r="J256" i="31" l="1"/>
  <c r="J257" i="31" l="1"/>
  <c r="J258" i="31" l="1"/>
  <c r="J259" i="31" l="1"/>
  <c r="J260" i="31" l="1"/>
  <c r="J261" i="31" l="1"/>
  <c r="J262" i="31" l="1"/>
  <c r="J263" i="31"/>
  <c r="N37" i="31" l="1"/>
  <c r="O37" i="31"/>
  <c r="M37" i="31"/>
  <c r="R37" i="31" l="1"/>
  <c r="Q37" i="31"/>
  <c r="P37" i="31"/>
  <c r="O36" i="31" l="1"/>
  <c r="K253" i="31"/>
  <c r="K259" i="31"/>
  <c r="K262" i="31"/>
  <c r="K261" i="31"/>
  <c r="K260" i="31"/>
  <c r="K254" i="31"/>
  <c r="K258" i="31"/>
  <c r="K255" i="31"/>
  <c r="K257" i="31"/>
  <c r="K263" i="31"/>
  <c r="K256" i="31"/>
  <c r="M36" i="31" l="1"/>
  <c r="N36" i="31"/>
  <c r="R36" i="31" l="1"/>
  <c r="Q36" i="31"/>
  <c r="P36" i="31"/>
  <c r="A37" i="25" l="1"/>
  <c r="A51" i="25" l="1"/>
  <c r="Q6" i="31" l="1"/>
  <c r="K192" i="31" l="1"/>
  <c r="K137" i="31"/>
  <c r="K170" i="31"/>
  <c r="K213" i="31"/>
  <c r="K142" i="31"/>
  <c r="K174" i="31"/>
  <c r="K189" i="31"/>
  <c r="K201" i="31"/>
  <c r="K219" i="31"/>
  <c r="K138" i="31"/>
  <c r="K152" i="31"/>
  <c r="K171" i="31"/>
  <c r="K181" i="31"/>
  <c r="O30" i="31"/>
  <c r="K196" i="31"/>
  <c r="K215" i="31"/>
  <c r="K226" i="31"/>
  <c r="K136" i="31"/>
  <c r="K154" i="31"/>
  <c r="K166" i="31"/>
  <c r="K177" i="31"/>
  <c r="K194" i="31"/>
  <c r="K206" i="31"/>
  <c r="K217" i="31"/>
  <c r="O33" i="31"/>
  <c r="K139" i="31"/>
  <c r="K151" i="31"/>
  <c r="K165" i="31"/>
  <c r="K187" i="31"/>
  <c r="K202" i="31"/>
  <c r="K218" i="31"/>
  <c r="K179" i="31"/>
  <c r="K222" i="31"/>
  <c r="K141" i="31"/>
  <c r="K158" i="31"/>
  <c r="K175" i="31"/>
  <c r="K184" i="31"/>
  <c r="K200" i="31"/>
  <c r="K140" i="31"/>
  <c r="O28" i="31"/>
  <c r="K157" i="31"/>
  <c r="K168" i="31"/>
  <c r="K199" i="31"/>
  <c r="K210" i="31"/>
  <c r="K221" i="31"/>
  <c r="K143" i="31"/>
  <c r="K155" i="31"/>
  <c r="K172" i="31"/>
  <c r="K190" i="31"/>
  <c r="K204" i="31"/>
  <c r="K225" i="31"/>
  <c r="K160" i="31"/>
  <c r="K134" i="31"/>
  <c r="K148" i="31"/>
  <c r="K164" i="31"/>
  <c r="K182" i="31"/>
  <c r="K193" i="31"/>
  <c r="O31" i="31"/>
  <c r="K208" i="31"/>
  <c r="K228" i="31"/>
  <c r="K163" i="31"/>
  <c r="K178" i="31"/>
  <c r="K191" i="31"/>
  <c r="K207" i="31"/>
  <c r="K220" i="31"/>
  <c r="K147" i="31"/>
  <c r="K159" i="31"/>
  <c r="O29" i="31"/>
  <c r="K169" i="31"/>
  <c r="K185" i="31"/>
  <c r="K203" i="31"/>
  <c r="K214" i="31"/>
  <c r="K224" i="31"/>
  <c r="O27" i="31"/>
  <c r="K145" i="31"/>
  <c r="K156" i="31"/>
  <c r="K176" i="31"/>
  <c r="K195" i="31"/>
  <c r="K209" i="31"/>
  <c r="K227" i="31"/>
  <c r="K144" i="31"/>
  <c r="K153" i="31"/>
  <c r="K186" i="31"/>
  <c r="K197" i="31"/>
  <c r="K133" i="31"/>
  <c r="O26" i="31"/>
  <c r="K149" i="31"/>
  <c r="K167" i="31"/>
  <c r="K180" i="31"/>
  <c r="K211" i="31"/>
  <c r="K223" i="31"/>
  <c r="K150" i="31"/>
  <c r="K162" i="31"/>
  <c r="K173" i="31"/>
  <c r="K188" i="31"/>
  <c r="K205" i="31"/>
  <c r="O32" i="31"/>
  <c r="K216" i="31"/>
  <c r="K135" i="31"/>
  <c r="K146" i="31"/>
  <c r="K161" i="31"/>
  <c r="K183" i="31"/>
  <c r="K198" i="31"/>
  <c r="K212" i="31"/>
  <c r="N32" i="31" l="1"/>
  <c r="N27" i="31"/>
  <c r="N29" i="31"/>
  <c r="K237" i="31"/>
  <c r="K230" i="31"/>
  <c r="O34" i="31"/>
  <c r="K229" i="31"/>
  <c r="K235" i="31"/>
  <c r="N31" i="31"/>
  <c r="N30" i="31"/>
  <c r="N26" i="31"/>
  <c r="K239" i="31"/>
  <c r="K232" i="31"/>
  <c r="K233" i="31"/>
  <c r="N28" i="31"/>
  <c r="K236" i="31"/>
  <c r="K240" i="31"/>
  <c r="K234" i="31"/>
  <c r="N33" i="31"/>
  <c r="K238" i="31"/>
  <c r="K231" i="31"/>
  <c r="R33" i="31" l="1"/>
  <c r="R27" i="31"/>
  <c r="R26" i="31"/>
  <c r="R32" i="31"/>
  <c r="R28" i="31"/>
  <c r="R30" i="31"/>
  <c r="R29" i="31"/>
  <c r="R31" i="31"/>
  <c r="K247" i="31"/>
  <c r="O35" i="31"/>
  <c r="K241" i="31"/>
  <c r="K248" i="31"/>
  <c r="K252" i="31"/>
  <c r="N34" i="31"/>
  <c r="K249" i="31"/>
  <c r="K244" i="31"/>
  <c r="K245" i="31"/>
  <c r="K243" i="31"/>
  <c r="K250" i="31"/>
  <c r="K246" i="31"/>
  <c r="K251" i="31"/>
  <c r="K242" i="31"/>
  <c r="R34" i="31" l="1"/>
  <c r="N35" i="31"/>
  <c r="R35" i="31" l="1"/>
  <c r="M29" i="31" l="1"/>
  <c r="M26" i="31"/>
  <c r="M27" i="31"/>
  <c r="M28" i="31"/>
  <c r="M33" i="31"/>
  <c r="M31" i="31"/>
  <c r="M30" i="31"/>
  <c r="M32" i="31"/>
  <c r="P31" i="31" l="1"/>
  <c r="Q31" i="31"/>
  <c r="P29" i="31"/>
  <c r="Q29" i="31"/>
  <c r="P32" i="31"/>
  <c r="Q32" i="31"/>
  <c r="M34" i="31"/>
  <c r="Q28" i="31"/>
  <c r="P28" i="31"/>
  <c r="P26" i="31"/>
  <c r="Q26" i="31"/>
  <c r="P27" i="31"/>
  <c r="Q27" i="31"/>
  <c r="P33" i="31"/>
  <c r="Q33" i="31"/>
  <c r="P30" i="31"/>
  <c r="Q30" i="31"/>
  <c r="P34" i="31" l="1"/>
  <c r="Q34" i="31"/>
  <c r="M35" i="31"/>
  <c r="Q35" i="31" l="1"/>
  <c r="P35" i="31"/>
  <c r="E54" i="25" l="1"/>
  <c r="G54" i="25" l="1"/>
  <c r="E44" i="25" l="1"/>
  <c r="G44" i="25" l="1"/>
  <c r="B23" i="66" l="1"/>
  <c r="B24" i="66" l="1"/>
  <c r="B25" i="66" l="1"/>
  <c r="B26" i="66" l="1"/>
  <c r="B27" i="66" l="1"/>
  <c r="B28" i="66" l="1"/>
  <c r="B29" i="66" l="1"/>
  <c r="B30" i="66" l="1"/>
  <c r="F131" i="31" l="1"/>
  <c r="F127" i="31"/>
  <c r="F122" i="31"/>
  <c r="F119" i="31"/>
  <c r="F116" i="31"/>
  <c r="F112" i="31"/>
  <c r="F107" i="31"/>
  <c r="F105" i="31"/>
  <c r="F132" i="31"/>
  <c r="F130" i="31"/>
  <c r="F126" i="31"/>
  <c r="F118" i="31"/>
  <c r="F114" i="31"/>
  <c r="F111" i="31"/>
  <c r="F124" i="31"/>
  <c r="F121" i="31"/>
  <c r="F117" i="31"/>
  <c r="F109" i="31"/>
  <c r="F98" i="31"/>
  <c r="F92" i="31"/>
  <c r="F89" i="31"/>
  <c r="F84" i="31"/>
  <c r="F82" i="31"/>
  <c r="F78" i="31"/>
  <c r="F75" i="31"/>
  <c r="F70" i="31"/>
  <c r="F67" i="31"/>
  <c r="F63" i="31"/>
  <c r="F56" i="31"/>
  <c r="F52" i="31"/>
  <c r="F45" i="31"/>
  <c r="F41" i="31"/>
  <c r="F36" i="31"/>
  <c r="F35" i="31"/>
  <c r="F31" i="31"/>
  <c r="F26" i="31"/>
  <c r="F25" i="31"/>
  <c r="F23" i="31"/>
  <c r="F19" i="31"/>
  <c r="F15" i="31"/>
  <c r="F125" i="31"/>
  <c r="F120" i="31"/>
  <c r="F110" i="31"/>
  <c r="F104" i="31"/>
  <c r="F101" i="31"/>
  <c r="F97" i="31"/>
  <c r="F96" i="31"/>
  <c r="F94" i="31"/>
  <c r="F90" i="31"/>
  <c r="F86" i="31"/>
  <c r="F85" i="31"/>
  <c r="F83" i="31"/>
  <c r="F79" i="31"/>
  <c r="F74" i="31"/>
  <c r="F68" i="31"/>
  <c r="F65" i="31"/>
  <c r="F57" i="31"/>
  <c r="F53" i="31"/>
  <c r="F49" i="31"/>
  <c r="F48" i="31"/>
  <c r="F46" i="31"/>
  <c r="F42" i="31"/>
  <c r="F39" i="31"/>
  <c r="F37" i="31"/>
  <c r="F34" i="31"/>
  <c r="F30" i="31"/>
  <c r="F27" i="31"/>
  <c r="F20" i="31"/>
  <c r="F16" i="31"/>
  <c r="F128" i="31"/>
  <c r="F113" i="31"/>
  <c r="F106" i="31"/>
  <c r="F103" i="31"/>
  <c r="F100" i="31"/>
  <c r="F95" i="31"/>
  <c r="F91" i="31"/>
  <c r="F87" i="31"/>
  <c r="F80" i="31"/>
  <c r="F76" i="31"/>
  <c r="F71" i="31"/>
  <c r="F64" i="31"/>
  <c r="F61" i="31"/>
  <c r="F60" i="31"/>
  <c r="F58" i="31"/>
  <c r="F55" i="31"/>
  <c r="F51" i="31"/>
  <c r="F47" i="31"/>
  <c r="F43" i="31"/>
  <c r="F38" i="31"/>
  <c r="F32" i="31"/>
  <c r="F29" i="31"/>
  <c r="F21" i="31"/>
  <c r="F18" i="31"/>
  <c r="F13" i="31"/>
  <c r="F129" i="31"/>
  <c r="F123" i="31"/>
  <c r="F115" i="31"/>
  <c r="F108" i="31"/>
  <c r="F102" i="31"/>
  <c r="F99" i="31"/>
  <c r="F93" i="31"/>
  <c r="F88" i="31"/>
  <c r="F81" i="31"/>
  <c r="F77" i="31"/>
  <c r="F73" i="31"/>
  <c r="F72" i="31"/>
  <c r="F69" i="31"/>
  <c r="F66" i="31"/>
  <c r="F62" i="31"/>
  <c r="F59" i="31"/>
  <c r="F54" i="31"/>
  <c r="F50" i="31"/>
  <c r="F44" i="31"/>
  <c r="F40" i="31"/>
  <c r="F33" i="31"/>
  <c r="F28" i="31"/>
  <c r="F24" i="31"/>
  <c r="F22" i="31"/>
  <c r="F17" i="31"/>
  <c r="F14" i="31"/>
  <c r="D17" i="31" l="1"/>
  <c r="K17" i="31"/>
  <c r="D22" i="31"/>
  <c r="K22" i="31"/>
  <c r="D54" i="31"/>
  <c r="K54" i="31"/>
  <c r="C54" i="31"/>
  <c r="K69" i="31"/>
  <c r="C69" i="31"/>
  <c r="D69" i="31"/>
  <c r="C81" i="31"/>
  <c r="D81" i="31"/>
  <c r="K81" i="31"/>
  <c r="K99" i="31"/>
  <c r="D99" i="31"/>
  <c r="C99" i="31"/>
  <c r="K123" i="31"/>
  <c r="C123" i="31"/>
  <c r="D123" i="31"/>
  <c r="K18" i="31"/>
  <c r="D18" i="31"/>
  <c r="K32" i="31"/>
  <c r="C32" i="31"/>
  <c r="D32" i="31"/>
  <c r="K51" i="31"/>
  <c r="D51" i="31"/>
  <c r="C51" i="31"/>
  <c r="O20" i="31"/>
  <c r="K61" i="31"/>
  <c r="D61" i="31"/>
  <c r="C61" i="31"/>
  <c r="K76" i="31"/>
  <c r="D76" i="31"/>
  <c r="C76" i="31"/>
  <c r="K95" i="31"/>
  <c r="C95" i="31"/>
  <c r="D95" i="31"/>
  <c r="D106" i="31"/>
  <c r="C106" i="31"/>
  <c r="K106" i="31"/>
  <c r="D16" i="31"/>
  <c r="K16" i="31"/>
  <c r="C34" i="31"/>
  <c r="K34" i="31"/>
  <c r="D34" i="31"/>
  <c r="K46" i="31"/>
  <c r="D46" i="31"/>
  <c r="C46" i="31"/>
  <c r="C57" i="31"/>
  <c r="K57" i="31"/>
  <c r="D57" i="31"/>
  <c r="D74" i="31"/>
  <c r="C74" i="31"/>
  <c r="K74" i="31"/>
  <c r="K86" i="31"/>
  <c r="D86" i="31"/>
  <c r="C86" i="31"/>
  <c r="D97" i="31"/>
  <c r="K97" i="31"/>
  <c r="C97" i="31"/>
  <c r="O23" i="31"/>
  <c r="C120" i="31"/>
  <c r="K120" i="31"/>
  <c r="D120" i="31"/>
  <c r="D19" i="31"/>
  <c r="K19" i="31"/>
  <c r="K31" i="31"/>
  <c r="D31" i="31"/>
  <c r="C31" i="31"/>
  <c r="C45" i="31"/>
  <c r="K45" i="31"/>
  <c r="D45" i="31"/>
  <c r="K67" i="31"/>
  <c r="C67" i="31"/>
  <c r="D67" i="31"/>
  <c r="K82" i="31"/>
  <c r="C82" i="31"/>
  <c r="E82" i="31" s="1"/>
  <c r="D82" i="31"/>
  <c r="D98" i="31"/>
  <c r="C98" i="31"/>
  <c r="K98" i="31"/>
  <c r="K124" i="31"/>
  <c r="C124" i="31"/>
  <c r="D124" i="31"/>
  <c r="D126" i="31"/>
  <c r="C126" i="31"/>
  <c r="K126" i="31"/>
  <c r="D116" i="31"/>
  <c r="C116" i="31"/>
  <c r="K116" i="31"/>
  <c r="D131" i="31"/>
  <c r="C131" i="31"/>
  <c r="K131" i="31"/>
  <c r="C40" i="31"/>
  <c r="D40" i="31"/>
  <c r="K40" i="31"/>
  <c r="K72" i="31"/>
  <c r="C72" i="31"/>
  <c r="D72" i="31"/>
  <c r="K129" i="31"/>
  <c r="C129" i="31"/>
  <c r="E129" i="31" s="1"/>
  <c r="D129" i="31"/>
  <c r="K21" i="31"/>
  <c r="D21" i="31"/>
  <c r="K55" i="31"/>
  <c r="C55" i="31"/>
  <c r="D55" i="31"/>
  <c r="D64" i="31"/>
  <c r="K64" i="31"/>
  <c r="C64" i="31"/>
  <c r="K80" i="31"/>
  <c r="D80" i="31"/>
  <c r="C80" i="31"/>
  <c r="C113" i="31"/>
  <c r="D113" i="31"/>
  <c r="K113" i="31"/>
  <c r="K20" i="31"/>
  <c r="D20" i="31"/>
  <c r="O18" i="31"/>
  <c r="K37" i="31"/>
  <c r="D37" i="31"/>
  <c r="C37" i="31"/>
  <c r="D48" i="31"/>
  <c r="K48" i="31"/>
  <c r="C48" i="31"/>
  <c r="C79" i="31"/>
  <c r="K79" i="31"/>
  <c r="D79" i="31"/>
  <c r="K90" i="31"/>
  <c r="C90" i="31"/>
  <c r="D90" i="31"/>
  <c r="K101" i="31"/>
  <c r="D101" i="31"/>
  <c r="C101" i="31"/>
  <c r="D125" i="31"/>
  <c r="K125" i="31"/>
  <c r="C125" i="31"/>
  <c r="D23" i="31"/>
  <c r="K23" i="31"/>
  <c r="D35" i="31"/>
  <c r="K35" i="31"/>
  <c r="C35" i="31"/>
  <c r="D52" i="31"/>
  <c r="K52" i="31"/>
  <c r="C52" i="31"/>
  <c r="C70" i="31"/>
  <c r="K70" i="31"/>
  <c r="D70" i="31"/>
  <c r="D84" i="31"/>
  <c r="C84" i="31"/>
  <c r="K84" i="31"/>
  <c r="D109" i="31"/>
  <c r="C109" i="31"/>
  <c r="O24" i="31"/>
  <c r="K109" i="31"/>
  <c r="K111" i="31"/>
  <c r="C111" i="31"/>
  <c r="D111" i="31"/>
  <c r="D130" i="31"/>
  <c r="C130" i="31"/>
  <c r="K130" i="31"/>
  <c r="K105" i="31"/>
  <c r="C105" i="31"/>
  <c r="D105" i="31"/>
  <c r="D119" i="31"/>
  <c r="C119" i="31"/>
  <c r="K119" i="31"/>
  <c r="D24" i="31"/>
  <c r="K24" i="31"/>
  <c r="D59" i="31"/>
  <c r="C59" i="31"/>
  <c r="K59" i="31"/>
  <c r="K102" i="31"/>
  <c r="D102" i="31"/>
  <c r="C102" i="31"/>
  <c r="C38" i="31"/>
  <c r="K38" i="31"/>
  <c r="D38" i="31"/>
  <c r="K14" i="31"/>
  <c r="D14" i="31"/>
  <c r="D28" i="31"/>
  <c r="C28" i="31"/>
  <c r="K28" i="31"/>
  <c r="D44" i="31"/>
  <c r="C44" i="31"/>
  <c r="K44" i="31"/>
  <c r="K62" i="31"/>
  <c r="C62" i="31"/>
  <c r="D62" i="31"/>
  <c r="D73" i="31"/>
  <c r="K73" i="31"/>
  <c r="C73" i="31"/>
  <c r="O21" i="31"/>
  <c r="D88" i="31"/>
  <c r="C88" i="31"/>
  <c r="K88" i="31"/>
  <c r="D108" i="31"/>
  <c r="C108" i="31"/>
  <c r="K108" i="31"/>
  <c r="K43" i="31"/>
  <c r="C43" i="31"/>
  <c r="D43" i="31"/>
  <c r="K58" i="31"/>
  <c r="C58" i="31"/>
  <c r="D58" i="31"/>
  <c r="K71" i="31"/>
  <c r="C71" i="31"/>
  <c r="D71" i="31"/>
  <c r="K87" i="31"/>
  <c r="C87" i="31"/>
  <c r="D87" i="31"/>
  <c r="K100" i="31"/>
  <c r="C100" i="31"/>
  <c r="D100" i="31"/>
  <c r="K27" i="31"/>
  <c r="C27" i="31"/>
  <c r="D27" i="31"/>
  <c r="K39" i="31"/>
  <c r="C39" i="31"/>
  <c r="D39" i="31"/>
  <c r="C49" i="31"/>
  <c r="K49" i="31"/>
  <c r="O19" i="31"/>
  <c r="D49" i="31"/>
  <c r="D65" i="31"/>
  <c r="C65" i="31"/>
  <c r="K65" i="31"/>
  <c r="D83" i="31"/>
  <c r="C83" i="31"/>
  <c r="K83" i="31"/>
  <c r="K94" i="31"/>
  <c r="D94" i="31"/>
  <c r="C94" i="31"/>
  <c r="D104" i="31"/>
  <c r="C104" i="31"/>
  <c r="E104" i="31" s="1"/>
  <c r="K104" i="31"/>
  <c r="D12" i="31"/>
  <c r="G12" i="31" s="1"/>
  <c r="D25" i="31"/>
  <c r="K25" i="31"/>
  <c r="C25" i="31"/>
  <c r="O17" i="31"/>
  <c r="D36" i="31"/>
  <c r="C36" i="31"/>
  <c r="K36" i="31"/>
  <c r="D56" i="31"/>
  <c r="C56" i="31"/>
  <c r="K56" i="31"/>
  <c r="D75" i="31"/>
  <c r="K75" i="31"/>
  <c r="C75" i="31"/>
  <c r="K89" i="31"/>
  <c r="C89" i="31"/>
  <c r="D89" i="31"/>
  <c r="K117" i="31"/>
  <c r="C117" i="31"/>
  <c r="D117" i="31"/>
  <c r="D114" i="31"/>
  <c r="C114" i="31"/>
  <c r="K114" i="31"/>
  <c r="D132" i="31"/>
  <c r="C132" i="31"/>
  <c r="K132" i="31"/>
  <c r="K107" i="31"/>
  <c r="D107" i="31"/>
  <c r="C107" i="31"/>
  <c r="K122" i="31"/>
  <c r="C122" i="31"/>
  <c r="D122" i="31"/>
  <c r="C33" i="31"/>
  <c r="D33" i="31"/>
  <c r="K33" i="31"/>
  <c r="C50" i="31"/>
  <c r="D50" i="31"/>
  <c r="K50" i="31"/>
  <c r="C66" i="31"/>
  <c r="K66" i="31"/>
  <c r="D66" i="31"/>
  <c r="K77" i="31"/>
  <c r="C77" i="31"/>
  <c r="D77" i="31"/>
  <c r="C93" i="31"/>
  <c r="D93" i="31"/>
  <c r="K93" i="31"/>
  <c r="K115" i="31"/>
  <c r="C115" i="31"/>
  <c r="D115" i="31"/>
  <c r="K13" i="31"/>
  <c r="D13" i="31"/>
  <c r="O16" i="31"/>
  <c r="D29" i="31"/>
  <c r="K29" i="31"/>
  <c r="C29" i="31"/>
  <c r="C47" i="31"/>
  <c r="D47" i="31"/>
  <c r="K47" i="31"/>
  <c r="C60" i="31"/>
  <c r="K60" i="31"/>
  <c r="D60" i="31"/>
  <c r="C91" i="31"/>
  <c r="D91" i="31"/>
  <c r="K91" i="31"/>
  <c r="D103" i="31"/>
  <c r="C103" i="31"/>
  <c r="K103" i="31"/>
  <c r="C128" i="31"/>
  <c r="D128" i="31"/>
  <c r="K128" i="31"/>
  <c r="K30" i="31"/>
  <c r="C30" i="31"/>
  <c r="D30" i="31"/>
  <c r="C42" i="31"/>
  <c r="K42" i="31"/>
  <c r="D42" i="31"/>
  <c r="D53" i="31"/>
  <c r="K53" i="31"/>
  <c r="C53" i="31"/>
  <c r="C68" i="31"/>
  <c r="D68" i="31"/>
  <c r="K68" i="31"/>
  <c r="K85" i="31"/>
  <c r="O22" i="31"/>
  <c r="C85" i="31"/>
  <c r="D85" i="31"/>
  <c r="D96" i="31"/>
  <c r="C96" i="31"/>
  <c r="K96" i="31"/>
  <c r="D110" i="31"/>
  <c r="K110" i="31"/>
  <c r="C110" i="31"/>
  <c r="D15" i="31"/>
  <c r="K15" i="31"/>
  <c r="C26" i="31"/>
  <c r="K26" i="31"/>
  <c r="D26" i="31"/>
  <c r="C41" i="31"/>
  <c r="D41" i="31"/>
  <c r="K41" i="31"/>
  <c r="C63" i="31"/>
  <c r="D63" i="31"/>
  <c r="K63" i="31"/>
  <c r="K78" i="31"/>
  <c r="D78" i="31"/>
  <c r="C78" i="31"/>
  <c r="C92" i="31"/>
  <c r="K92" i="31"/>
  <c r="D92" i="31"/>
  <c r="K121" i="31"/>
  <c r="C121" i="31"/>
  <c r="D121" i="31"/>
  <c r="O25" i="31"/>
  <c r="D118" i="31"/>
  <c r="C118" i="31"/>
  <c r="K118" i="31"/>
  <c r="C112" i="31"/>
  <c r="D112" i="31"/>
  <c r="K112" i="31"/>
  <c r="C127" i="31"/>
  <c r="K127" i="31"/>
  <c r="D127" i="31"/>
  <c r="E127" i="31" l="1"/>
  <c r="E83" i="31"/>
  <c r="E92" i="31"/>
  <c r="E26" i="31"/>
  <c r="E53" i="31"/>
  <c r="E29" i="31"/>
  <c r="E106" i="31"/>
  <c r="E112" i="31"/>
  <c r="E50" i="31"/>
  <c r="G127" i="31"/>
  <c r="E93" i="31"/>
  <c r="E33" i="31"/>
  <c r="E75" i="31"/>
  <c r="E70" i="31"/>
  <c r="G129" i="31"/>
  <c r="G82" i="31"/>
  <c r="G83" i="31"/>
  <c r="E98" i="31"/>
  <c r="E46" i="31"/>
  <c r="G104" i="31"/>
  <c r="E54" i="31"/>
  <c r="E96" i="31"/>
  <c r="E107" i="31"/>
  <c r="E65" i="31"/>
  <c r="E108" i="31"/>
  <c r="E102" i="31"/>
  <c r="E131" i="31"/>
  <c r="E81" i="31"/>
  <c r="E124" i="31"/>
  <c r="E103" i="31"/>
  <c r="E90" i="31"/>
  <c r="E79" i="31"/>
  <c r="E64" i="31"/>
  <c r="E55" i="31"/>
  <c r="E72" i="31"/>
  <c r="E126" i="31"/>
  <c r="E67" i="31"/>
  <c r="E76" i="31"/>
  <c r="E51" i="31"/>
  <c r="E99" i="31"/>
  <c r="E88" i="31"/>
  <c r="E116" i="31"/>
  <c r="E86" i="31"/>
  <c r="E74" i="31"/>
  <c r="N17" i="31"/>
  <c r="M25" i="31"/>
  <c r="E121" i="31"/>
  <c r="M22" i="31"/>
  <c r="E85" i="31"/>
  <c r="N24" i="31"/>
  <c r="E97" i="31"/>
  <c r="M23" i="31"/>
  <c r="E61" i="31"/>
  <c r="M20" i="31"/>
  <c r="E39" i="31"/>
  <c r="E27" i="31"/>
  <c r="E100" i="31"/>
  <c r="E87" i="31"/>
  <c r="E71" i="31"/>
  <c r="E58" i="31"/>
  <c r="E43" i="31"/>
  <c r="E73" i="31"/>
  <c r="M21" i="31"/>
  <c r="E113" i="31"/>
  <c r="E40" i="31"/>
  <c r="E45" i="31"/>
  <c r="E120" i="31"/>
  <c r="E95" i="31"/>
  <c r="N20" i="31"/>
  <c r="E63" i="31"/>
  <c r="E41" i="31"/>
  <c r="E30" i="31"/>
  <c r="E68" i="31"/>
  <c r="E42" i="31"/>
  <c r="E128" i="31"/>
  <c r="E91" i="31"/>
  <c r="E60" i="31"/>
  <c r="E47" i="31"/>
  <c r="N16" i="31"/>
  <c r="E115" i="31"/>
  <c r="E77" i="31"/>
  <c r="E122" i="31"/>
  <c r="E132" i="31"/>
  <c r="E114" i="31"/>
  <c r="E117" i="31"/>
  <c r="E89" i="31"/>
  <c r="E56" i="31"/>
  <c r="E36" i="31"/>
  <c r="M17" i="31"/>
  <c r="E25" i="31"/>
  <c r="M19" i="31"/>
  <c r="E49" i="31"/>
  <c r="E62" i="31"/>
  <c r="E44" i="31"/>
  <c r="E28" i="31"/>
  <c r="E59" i="31"/>
  <c r="E119" i="31"/>
  <c r="E105" i="31"/>
  <c r="E130" i="31"/>
  <c r="E111" i="31"/>
  <c r="E52" i="31"/>
  <c r="E35" i="31"/>
  <c r="E125" i="31"/>
  <c r="E101" i="31"/>
  <c r="E48" i="31"/>
  <c r="E37" i="31"/>
  <c r="M18" i="31"/>
  <c r="N23" i="31"/>
  <c r="E57" i="31"/>
  <c r="E34" i="31"/>
  <c r="E32" i="31"/>
  <c r="E123" i="31"/>
  <c r="E69" i="31"/>
  <c r="E118" i="31"/>
  <c r="N25" i="31"/>
  <c r="E78" i="31"/>
  <c r="E110" i="31"/>
  <c r="N22" i="31"/>
  <c r="K5" i="31"/>
  <c r="K4" i="31"/>
  <c r="E66" i="31"/>
  <c r="E94" i="31"/>
  <c r="N19" i="31"/>
  <c r="N21" i="31"/>
  <c r="E38" i="31"/>
  <c r="E109" i="31"/>
  <c r="M24" i="31"/>
  <c r="E84" i="31"/>
  <c r="N18" i="31"/>
  <c r="E80" i="31"/>
  <c r="E31" i="31"/>
  <c r="G92" i="31" l="1"/>
  <c r="G29" i="31"/>
  <c r="G50" i="31"/>
  <c r="G53" i="31"/>
  <c r="G26" i="31"/>
  <c r="G106" i="31"/>
  <c r="G112" i="31"/>
  <c r="G84" i="31"/>
  <c r="R21" i="31"/>
  <c r="G78" i="31"/>
  <c r="G123" i="31"/>
  <c r="R23" i="31"/>
  <c r="G101" i="31"/>
  <c r="G111" i="31"/>
  <c r="G59" i="31"/>
  <c r="G49" i="31"/>
  <c r="G36" i="31"/>
  <c r="G114" i="31"/>
  <c r="G115" i="31"/>
  <c r="G91" i="31"/>
  <c r="G30" i="31"/>
  <c r="G95" i="31"/>
  <c r="G113" i="31"/>
  <c r="G58" i="31"/>
  <c r="G27" i="31"/>
  <c r="G74" i="31"/>
  <c r="G99" i="31"/>
  <c r="G126" i="31"/>
  <c r="G79" i="31"/>
  <c r="G81" i="31"/>
  <c r="G65" i="31"/>
  <c r="G46" i="31"/>
  <c r="G70" i="31"/>
  <c r="G31" i="31"/>
  <c r="G125" i="31"/>
  <c r="G130" i="31"/>
  <c r="G28" i="31"/>
  <c r="G56" i="31"/>
  <c r="G132" i="31"/>
  <c r="R16" i="31"/>
  <c r="G128" i="31"/>
  <c r="G41" i="31"/>
  <c r="G120" i="31"/>
  <c r="G71" i="31"/>
  <c r="G39" i="31"/>
  <c r="G97" i="31"/>
  <c r="G121" i="31"/>
  <c r="G86" i="31"/>
  <c r="G51" i="31"/>
  <c r="G72" i="31"/>
  <c r="G90" i="31"/>
  <c r="G131" i="31"/>
  <c r="G107" i="31"/>
  <c r="G98" i="31"/>
  <c r="G75" i="31"/>
  <c r="R19" i="31"/>
  <c r="R22" i="31"/>
  <c r="G118" i="31"/>
  <c r="G34" i="31"/>
  <c r="G37" i="31"/>
  <c r="G35" i="31"/>
  <c r="G105" i="31"/>
  <c r="G44" i="31"/>
  <c r="G25" i="31"/>
  <c r="G89" i="31"/>
  <c r="G122" i="31"/>
  <c r="G47" i="31"/>
  <c r="G42" i="31"/>
  <c r="G63" i="31"/>
  <c r="G45" i="31"/>
  <c r="G73" i="31"/>
  <c r="G87" i="31"/>
  <c r="R24" i="31"/>
  <c r="G116" i="31"/>
  <c r="G76" i="31"/>
  <c r="G55" i="31"/>
  <c r="G103" i="31"/>
  <c r="G102" i="31"/>
  <c r="G96" i="31"/>
  <c r="G33" i="31"/>
  <c r="R25" i="31"/>
  <c r="G32" i="31"/>
  <c r="G80" i="31"/>
  <c r="G109" i="31"/>
  <c r="G94" i="31"/>
  <c r="R18" i="31"/>
  <c r="G38" i="31"/>
  <c r="G66" i="31"/>
  <c r="G110" i="31"/>
  <c r="G69" i="31"/>
  <c r="G57" i="31"/>
  <c r="G48" i="31"/>
  <c r="G52" i="31"/>
  <c r="G119" i="31"/>
  <c r="G62" i="31"/>
  <c r="G117" i="31"/>
  <c r="G77" i="31"/>
  <c r="G60" i="31"/>
  <c r="G68" i="31"/>
  <c r="R20" i="31"/>
  <c r="G40" i="31"/>
  <c r="G43" i="31"/>
  <c r="G100" i="31"/>
  <c r="G61" i="31"/>
  <c r="G85" i="31"/>
  <c r="R17" i="31"/>
  <c r="G88" i="31"/>
  <c r="G67" i="31"/>
  <c r="G64" i="31"/>
  <c r="G124" i="31"/>
  <c r="G108" i="31"/>
  <c r="G54" i="31"/>
  <c r="G93" i="31"/>
  <c r="P23" i="31"/>
  <c r="Q23" i="31"/>
  <c r="P22" i="31"/>
  <c r="Q22" i="31"/>
  <c r="Q24" i="31"/>
  <c r="P24" i="31"/>
  <c r="Q18" i="31"/>
  <c r="P18" i="31"/>
  <c r="Q19" i="31"/>
  <c r="P19" i="31"/>
  <c r="P21" i="31"/>
  <c r="Q21" i="31"/>
  <c r="K3" i="25"/>
  <c r="P5" i="31"/>
  <c r="M7" i="31"/>
  <c r="K6" i="31"/>
  <c r="B5" i="31" s="1"/>
  <c r="P20" i="31"/>
  <c r="Q20" i="31"/>
  <c r="Q25" i="31"/>
  <c r="P25" i="31"/>
  <c r="P17" i="31"/>
  <c r="Q17" i="31"/>
  <c r="C53" i="25" l="1"/>
  <c r="C43" i="25"/>
  <c r="G9" i="25"/>
  <c r="B5" i="25"/>
  <c r="P6" i="31"/>
  <c r="G26" i="25"/>
  <c r="E23" i="25"/>
  <c r="G25" i="25"/>
  <c r="G32" i="25"/>
  <c r="G23" i="25"/>
  <c r="G28" i="25"/>
  <c r="G24" i="25"/>
  <c r="E14" i="25"/>
  <c r="E34" i="25"/>
  <c r="G27" i="25"/>
  <c r="E33" i="25"/>
  <c r="G22" i="25"/>
  <c r="E28" i="25"/>
  <c r="E20" i="25"/>
  <c r="G19" i="25"/>
  <c r="E21" i="25"/>
  <c r="E24" i="25"/>
  <c r="G17" i="25"/>
  <c r="G18" i="25"/>
  <c r="E17" i="25"/>
  <c r="E25" i="25"/>
  <c r="G21" i="25"/>
  <c r="E29" i="25"/>
  <c r="E19" i="25"/>
  <c r="E15" i="25"/>
  <c r="G16" i="25"/>
  <c r="E22" i="25"/>
  <c r="E32" i="25"/>
  <c r="E31" i="25"/>
  <c r="G29" i="25"/>
  <c r="E18" i="25"/>
  <c r="G30" i="25"/>
  <c r="G33" i="25"/>
  <c r="E27" i="25"/>
  <c r="F9" i="31"/>
  <c r="E16" i="25"/>
  <c r="G34" i="25"/>
  <c r="G20" i="25"/>
  <c r="G15" i="25"/>
  <c r="E26" i="25"/>
  <c r="G14" i="25"/>
  <c r="E30" i="25"/>
  <c r="D9" i="31"/>
  <c r="G31" i="25"/>
  <c r="C39" i="25" l="1"/>
  <c r="B4" i="31"/>
  <c r="B5" i="28"/>
  <c r="B5" i="66"/>
  <c r="C23" i="31" l="1"/>
  <c r="E23" i="31" s="1"/>
  <c r="C17" i="31"/>
  <c r="E17" i="31" s="1"/>
  <c r="C14" i="31"/>
  <c r="E14" i="31" s="1"/>
  <c r="C22" i="31"/>
  <c r="E22" i="31" s="1"/>
  <c r="C19" i="31"/>
  <c r="E19" i="31" s="1"/>
  <c r="C21" i="31"/>
  <c r="E21" i="31" s="1"/>
  <c r="C24" i="31"/>
  <c r="E24" i="31" s="1"/>
  <c r="C20" i="31"/>
  <c r="E20" i="31" s="1"/>
  <c r="C15" i="31"/>
  <c r="E15" i="31" s="1"/>
  <c r="C18" i="31"/>
  <c r="E18" i="31" s="1"/>
  <c r="C16" i="31"/>
  <c r="E16" i="31" s="1"/>
  <c r="G18" i="31" l="1"/>
  <c r="G20" i="31"/>
  <c r="G24" i="31"/>
  <c r="G19" i="31"/>
  <c r="G22" i="31"/>
  <c r="G14" i="31"/>
  <c r="G16" i="31"/>
  <c r="G15" i="31"/>
  <c r="G21" i="31"/>
  <c r="G17" i="31"/>
  <c r="G23" i="31"/>
  <c r="C13" i="31"/>
  <c r="C9" i="31"/>
  <c r="E13" i="25"/>
  <c r="G9" i="31" l="1"/>
  <c r="G40" i="25" s="1"/>
  <c r="E40" i="25"/>
  <c r="E13" i="31"/>
  <c r="M16" i="31"/>
  <c r="M19" i="66"/>
  <c r="O20" i="66"/>
  <c r="K19" i="66"/>
  <c r="J16" i="66"/>
  <c r="F16" i="66"/>
  <c r="K22" i="66"/>
  <c r="J14" i="66"/>
  <c r="E13" i="66"/>
  <c r="L21" i="66"/>
  <c r="E14" i="66"/>
  <c r="I14" i="66"/>
  <c r="O22" i="66"/>
  <c r="G21" i="66"/>
  <c r="G14" i="66"/>
  <c r="J20" i="66"/>
  <c r="L13" i="66"/>
  <c r="M20" i="66"/>
  <c r="I20" i="66"/>
  <c r="E16" i="66"/>
  <c r="E15" i="66"/>
  <c r="F13" i="66"/>
  <c r="J17" i="66"/>
  <c r="E20" i="66"/>
  <c r="N21" i="66"/>
  <c r="L18" i="66"/>
  <c r="G13" i="66"/>
  <c r="O16" i="66"/>
  <c r="E17" i="66"/>
  <c r="K17" i="66"/>
  <c r="N17" i="66"/>
  <c r="H19" i="66"/>
  <c r="H13" i="66"/>
  <c r="H16" i="66"/>
  <c r="J18" i="66"/>
  <c r="G22" i="66"/>
  <c r="G18" i="66"/>
  <c r="L19" i="66"/>
  <c r="F19" i="66"/>
  <c r="G20" i="66"/>
  <c r="M13" i="66"/>
  <c r="L14" i="66"/>
  <c r="I16" i="66"/>
  <c r="J13" i="66"/>
  <c r="E21" i="66"/>
  <c r="O13" i="66"/>
  <c r="L15" i="66"/>
  <c r="I17" i="66"/>
  <c r="K13" i="66"/>
  <c r="N22" i="66"/>
  <c r="N19" i="66"/>
  <c r="N14" i="66"/>
  <c r="M22" i="66"/>
  <c r="I13" i="66"/>
  <c r="I19" i="66"/>
  <c r="O15" i="66"/>
  <c r="K18" i="66"/>
  <c r="K14" i="66"/>
  <c r="E22" i="66"/>
  <c r="K16" i="66"/>
  <c r="F20" i="66"/>
  <c r="L20" i="66"/>
  <c r="J19" i="66"/>
  <c r="G16" i="66"/>
  <c r="M17" i="66"/>
  <c r="E19" i="66"/>
  <c r="K15" i="66"/>
  <c r="O21" i="66"/>
  <c r="I18" i="66"/>
  <c r="N20" i="66"/>
  <c r="G17" i="66"/>
  <c r="M16" i="66"/>
  <c r="I15" i="66"/>
  <c r="O18" i="66"/>
  <c r="H21" i="66"/>
  <c r="K21" i="66"/>
  <c r="O19" i="66"/>
  <c r="E18" i="66"/>
  <c r="H17" i="66"/>
  <c r="J15" i="66"/>
  <c r="F17" i="66"/>
  <c r="N18" i="66"/>
  <c r="L22" i="66"/>
  <c r="M21" i="66"/>
  <c r="H20" i="66"/>
  <c r="N13" i="66"/>
  <c r="J21" i="66"/>
  <c r="H18" i="66"/>
  <c r="N16" i="66"/>
  <c r="O14" i="66"/>
  <c r="F22" i="66"/>
  <c r="O17" i="66"/>
  <c r="J22" i="66"/>
  <c r="F15" i="66"/>
  <c r="H14" i="66"/>
  <c r="M18" i="66"/>
  <c r="H22" i="66"/>
  <c r="M15" i="66"/>
  <c r="G19" i="66"/>
  <c r="N15" i="66"/>
  <c r="F21" i="66"/>
  <c r="K20" i="66"/>
  <c r="F18" i="66"/>
  <c r="L16" i="66"/>
  <c r="H15" i="66"/>
  <c r="I21" i="66"/>
  <c r="F14" i="66"/>
  <c r="M14" i="66"/>
  <c r="L17" i="66"/>
  <c r="I22" i="66"/>
  <c r="G15" i="66"/>
  <c r="G13" i="25"/>
  <c r="E9" i="31"/>
  <c r="P16" i="31" l="1"/>
  <c r="Q16" i="31"/>
  <c r="G13" i="31"/>
  <c r="D17" i="66"/>
  <c r="D16" i="66"/>
  <c r="D19" i="66"/>
  <c r="D22" i="66"/>
  <c r="D20" i="66"/>
  <c r="D18" i="66"/>
  <c r="D14" i="66"/>
  <c r="C14" i="66"/>
  <c r="D21" i="66"/>
  <c r="D15" i="66"/>
  <c r="D13" i="66"/>
  <c r="C22" i="66" l="1"/>
  <c r="C19" i="66"/>
  <c r="C13" i="66"/>
  <c r="C18" i="66"/>
  <c r="C21" i="66"/>
  <c r="C17" i="66"/>
  <c r="C16" i="66"/>
  <c r="C20" i="66"/>
  <c r="C15" i="66"/>
  <c r="G25" i="66" l="1"/>
  <c r="O25" i="66"/>
  <c r="I29" i="66"/>
  <c r="L27" i="66"/>
  <c r="I23" i="66"/>
  <c r="M24" i="66"/>
  <c r="F24" i="66"/>
  <c r="N24" i="66"/>
  <c r="N29" i="66"/>
  <c r="H25" i="66"/>
  <c r="L26" i="66"/>
  <c r="K23" i="66"/>
  <c r="F28" i="66"/>
  <c r="I27" i="66"/>
  <c r="K30" i="66"/>
  <c r="L25" i="66"/>
  <c r="O23" i="66"/>
  <c r="N25" i="66"/>
  <c r="G29" i="66"/>
  <c r="J23" i="66"/>
  <c r="M25" i="66"/>
  <c r="I26" i="66"/>
  <c r="L24" i="66"/>
  <c r="M28" i="66"/>
  <c r="M23" i="66"/>
  <c r="H24" i="66"/>
  <c r="G30" i="66"/>
  <c r="F25" i="66"/>
  <c r="F29" i="66"/>
  <c r="L29" i="66"/>
  <c r="O27" i="66"/>
  <c r="G28" i="66"/>
  <c r="O24" i="66"/>
  <c r="J28" i="66"/>
  <c r="N26" i="66"/>
  <c r="H26" i="66"/>
  <c r="H28" i="66"/>
  <c r="H23" i="66"/>
  <c r="H29" i="66"/>
  <c r="N23" i="66"/>
  <c r="N27" i="66"/>
  <c r="H30" i="66"/>
  <c r="K27" i="66"/>
  <c r="E27" i="66"/>
  <c r="O26" i="66"/>
  <c r="N28" i="66"/>
  <c r="G23" i="66"/>
  <c r="F27" i="66"/>
  <c r="L28" i="66"/>
  <c r="J25" i="66"/>
  <c r="H27" i="66"/>
  <c r="E30" i="66"/>
  <c r="E28" i="66"/>
  <c r="J27" i="66"/>
  <c r="O29" i="66"/>
  <c r="F23" i="66"/>
  <c r="E25" i="66"/>
  <c r="E26" i="66"/>
  <c r="O28" i="66"/>
  <c r="I30" i="66"/>
  <c r="I25" i="66"/>
  <c r="M30" i="66"/>
  <c r="M26" i="66"/>
  <c r="L23" i="66"/>
  <c r="G27" i="66"/>
  <c r="J30" i="66"/>
  <c r="N30" i="66"/>
  <c r="G24" i="66"/>
  <c r="I28" i="66"/>
  <c r="K25" i="66"/>
  <c r="I24" i="66"/>
  <c r="E29" i="66"/>
  <c r="E24" i="66"/>
  <c r="M27" i="66"/>
  <c r="G26" i="66"/>
  <c r="E23" i="66"/>
  <c r="J29" i="66"/>
  <c r="J24" i="66"/>
  <c r="L30" i="66"/>
  <c r="F30" i="66"/>
  <c r="F26" i="66"/>
  <c r="K26" i="66"/>
  <c r="J26" i="66"/>
  <c r="K29" i="66"/>
  <c r="K24" i="66"/>
  <c r="O30" i="66"/>
  <c r="K28" i="66"/>
  <c r="M29" i="66"/>
  <c r="D23" i="66" l="1"/>
  <c r="D24" i="66"/>
  <c r="D26" i="66"/>
  <c r="D25" i="66"/>
  <c r="D28" i="66"/>
  <c r="D29" i="66"/>
  <c r="D27" i="66"/>
  <c r="D30" i="66"/>
  <c r="C24" i="66"/>
  <c r="C26" i="66" l="1"/>
  <c r="C29" i="66"/>
  <c r="C25" i="66"/>
  <c r="C27" i="66"/>
  <c r="C28" i="66"/>
  <c r="C30" i="66"/>
  <c r="C23" i="66"/>
</calcChain>
</file>

<file path=xl/comments1.xml><?xml version="1.0" encoding="utf-8"?>
<comments xmlns="http://schemas.openxmlformats.org/spreadsheetml/2006/main">
  <authors>
    <author>PacifiCorp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<sst xmlns="http://schemas.openxmlformats.org/spreadsheetml/2006/main" count="1337" uniqueCount="179">
  <si>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</si>
  <si>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</si>
  <si>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</si>
  <si>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</si>
  <si>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</si>
  <si>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</si>
  <si>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</si>
  <si>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</si>
  <si>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</si>
  <si>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</si>
  <si>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</si>
  <si>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</si>
  <si>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</si>
  <si>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</si>
  <si>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</si>
  <si>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</si>
  <si>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</si>
  <si>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</si>
  <si>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</si>
  <si>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</si>
  <si>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</si>
  <si>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</si>
  <si>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(2)   'Energy Only' is the GRID calculated costs and includes some capacity costs.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</si>
  <si>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</si>
  <si>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</si>
  <si>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</si>
  <si>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</si>
  <si>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</si>
  <si>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</si>
  <si>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</si>
  <si>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</si>
  <si>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</si>
  <si>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</si>
  <si>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</si>
  <si>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</si>
  <si>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</si>
  <si>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</si>
  <si>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</si>
  <si>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</si>
  <si>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</si>
  <si>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</si>
  <si>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</si>
  <si>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</si>
  <si>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</si>
  <si>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</si>
  <si>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</si>
  <si>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</si>
  <si>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</si>
  <si>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</si>
  <si>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</si>
  <si>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</si>
  <si>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</si>
  <si>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</si>
  <si>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</si>
  <si>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</si>
  <si>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</si>
  <si>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</si>
  <si>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</si>
  <si>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</si>
  <si>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</si>
  <si>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</si>
  <si>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</si>
  <si>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</si>
  <si>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</si>
  <si>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</si>
  <si>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</si>
  <si>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>IRP - Utah Greenfield</t>
  </si>
  <si>
    <t>IRP West Side</t>
  </si>
  <si>
    <t>IRP - Wyo NE</t>
  </si>
  <si>
    <t>Fixed Costs</t>
  </si>
  <si>
    <t>Tax Credit</t>
  </si>
  <si>
    <t>Wind Integration Cost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</si>
  <si>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</si>
  <si>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</si>
  <si>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</si>
  <si>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</si>
  <si>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</si>
  <si>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</si>
  <si>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</si>
  <si>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>$/MWH</t>
  </si>
  <si>
    <t xml:space="preserve">  Tax Credit $/MWh</t>
  </si>
  <si>
    <t>Solar</t>
  </si>
  <si>
    <t>Integration Cost</t>
  </si>
  <si>
    <t>Avoided Cost (before Integration Cost)</t>
  </si>
  <si>
    <t>energy</t>
  </si>
  <si>
    <t>capacity</t>
  </si>
  <si>
    <t>IRP17 Dave Johnston Wind</t>
  </si>
  <si>
    <t>IRP17 Goshen Wind 2</t>
  </si>
  <si>
    <t>Total Resource Cost</t>
  </si>
  <si>
    <t>IRP17 Yakima Solar</t>
  </si>
  <si>
    <t>IRP17 Aeolus Wind</t>
  </si>
  <si>
    <t>Deferral (Capacity Contribution MW)</t>
  </si>
  <si>
    <t>Deferral (Nameplate MW)</t>
  </si>
  <si>
    <t>Resource Cost ($/kw-year)</t>
  </si>
  <si>
    <t>Deferred Cost (Millions $/year)</t>
  </si>
  <si>
    <t>West</t>
  </si>
  <si>
    <t>Total Capacity Deferral</t>
  </si>
  <si>
    <t>$/kw-year</t>
  </si>
  <si>
    <t>Millions $/year</t>
  </si>
  <si>
    <t xml:space="preserve">start </t>
  </si>
  <si>
    <t>end</t>
  </si>
  <si>
    <t>2017 IRP Aeolus-Bridger/Anticline Transmission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</si>
  <si>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</si>
  <si>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</si>
  <si>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</si>
  <si>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</si>
  <si>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</si>
  <si>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</si>
  <si>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Retail Revenue Requirement
($/kW-year, 2021$)</t>
  </si>
  <si>
    <t>Transmission Deferral %</t>
  </si>
  <si>
    <t>Transmission Upgrade Capacity</t>
  </si>
  <si>
    <t>2017 $</t>
  </si>
  <si>
    <t>2020 $</t>
  </si>
  <si>
    <t>West Side</t>
  </si>
  <si>
    <t>Network Upgrade ($/MWh)</t>
  </si>
  <si>
    <t>First Year real levelized</t>
  </si>
  <si>
    <t>2017 IRP Update Wyoming Wind Resource</t>
  </si>
  <si>
    <t>Plant Costs  - 2017 IRP Update - Table 5.4 &amp; 5.5</t>
  </si>
  <si>
    <t>2021 $</t>
  </si>
  <si>
    <t>2030 $</t>
  </si>
  <si>
    <t>Network Upgrade</t>
  </si>
  <si>
    <t>2017 IRP Update Wyoming DJ Wind Resource</t>
  </si>
  <si>
    <t>2017 IRP Update Utah Wind Resource</t>
  </si>
  <si>
    <t>2036 $</t>
  </si>
  <si>
    <t>2033 $</t>
  </si>
  <si>
    <t>2017 IRP Update ID Wind Resource</t>
  </si>
  <si>
    <t>2035 $</t>
  </si>
  <si>
    <t>2017 IRP Update Walla Walla Wind Resource</t>
  </si>
  <si>
    <t>2017 IRP Update Yakima Wind Resource</t>
  </si>
  <si>
    <t>2017 IRP Update Oregon Wind Resource</t>
  </si>
  <si>
    <t>2032 $</t>
  </si>
  <si>
    <t>2017 IRP Update Utah Solar Resource-2035</t>
  </si>
  <si>
    <t>2017 IRP Update Utah Solar Resource-2033</t>
  </si>
  <si>
    <t>2031 $</t>
  </si>
  <si>
    <t>IRP17 WYAE WindCDR2021</t>
  </si>
  <si>
    <t>IRP17 SOregonCal Solar</t>
  </si>
  <si>
    <t>IRP17 UT Wind</t>
  </si>
  <si>
    <t>IRP17 WallaW Wind</t>
  </si>
  <si>
    <t>IRP17 Yakima Wind</t>
  </si>
  <si>
    <t>IRP17 S Oregon Wind</t>
  </si>
  <si>
    <t>Supply Side tables</t>
  </si>
  <si>
    <t>IRP17 Utah South Solar T</t>
  </si>
  <si>
    <t>Year of deferral</t>
  </si>
  <si>
    <t xml:space="preserve">IRP17 Yakima Solar2030 </t>
  </si>
  <si>
    <t>IRP17 Yakima Solar2032</t>
  </si>
  <si>
    <t>IRP17 Yakima Solar2033</t>
  </si>
  <si>
    <t>IRP17 Utah South Solar T2033</t>
  </si>
  <si>
    <t>IRP17 Utah South Solar T2035</t>
  </si>
  <si>
    <t>IRP17 Utah South Solar F2035</t>
  </si>
  <si>
    <t>IRP17 SOregonCal Solar2030'</t>
  </si>
  <si>
    <t>IRP17 SOregonCal Solar2031</t>
  </si>
  <si>
    <t>IRP17 SOregonCal Solar2032</t>
  </si>
  <si>
    <t>IRP17 SOregonCal Solar2033</t>
  </si>
  <si>
    <t>IRP17 Yakima Solar2030</t>
  </si>
  <si>
    <t>if Defferred 1</t>
  </si>
  <si>
    <t>IRP17 Utah South Solar F</t>
  </si>
  <si>
    <t>IRP17 SOregonCal Solar2030</t>
  </si>
  <si>
    <t>Proration Months (based on COD of 1/11/2020)</t>
  </si>
  <si>
    <t>Proration Months_PTC (based on COD of 1/11/2020)</t>
  </si>
  <si>
    <t>Discount Rate - 2017 IRP Update</t>
  </si>
  <si>
    <t>IRP17 UT Wind 2030</t>
  </si>
  <si>
    <t>IRP17 UT Wind 2036</t>
  </si>
  <si>
    <t>IRP17 Goshen Wind 2 2030</t>
  </si>
  <si>
    <t>IRP17 Goshen Wind 2 2033</t>
  </si>
  <si>
    <t>15 Year Starting 2020</t>
  </si>
  <si>
    <t>Table 2</t>
  </si>
  <si>
    <t>Avoided Energy Costs - Scheduled Hours ($/MWh)</t>
  </si>
  <si>
    <t>Winter Season</t>
  </si>
  <si>
    <t>Summer Season</t>
  </si>
  <si>
    <t>Energy Only</t>
  </si>
  <si>
    <t>2017 IRP Update Yakima Solar Resource-2030</t>
  </si>
  <si>
    <t>2017 IRP Update Yakima Solar Resource-2032</t>
  </si>
  <si>
    <t>2017 IRP Update Yakima Solar Resource-2033</t>
  </si>
  <si>
    <t>2017 IRP Update Oregon Solar Resource-2030</t>
  </si>
  <si>
    <t>2017 IRP Update Oregon Solar Resource-2031</t>
  </si>
  <si>
    <t>2017 IRP Oregon Update Solar Resource-2031</t>
  </si>
  <si>
    <t>20 Year Starting 2019</t>
  </si>
  <si>
    <t>1 Year Starting 2020</t>
  </si>
  <si>
    <t>Kennecott Refinery Non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</si>
</sst>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&quot;$&quot;#,##0.000_);[Red]\(&quot;$&quot;#,##0.000\)"/>
    <numFmt numFmtId="179" formatCode="#,##0\ ;\(#,##0\)"/>
    <numFmt numFmtId="180" formatCode="_(* #,##0.0000_);_(* \(#,##0.0000\);_(* &quot;-&quot;??_);_(@_)"/>
    <numFmt numFmtId="181" formatCode="_(* #,##0.000_);[Red]_(* \(#,##0.000\);_(* &quot;-&quot;_);_(@_)"/>
    <numFmt numFmtId="182" formatCode="&quot;$&quot;#,##0.00_)"/>
    <numFmt numFmtId="183" formatCode="#,##0.0000_);\(#,##0.0000\)"/>
  </numFmts>
  <fonts count="38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11"/>
      <color theme="1"/>
      <name val="Times New Roman"/>
      <family val="1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171" fontId="3" fillId="0" borderId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305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7" fillId="0" borderId="0" xfId="0" applyFont="1"/>
    <xf numFmtId="171" fontId="27" fillId="0" borderId="7" xfId="0" applyFont="1" applyBorder="1"/>
    <xf numFmtId="167" fontId="26" fillId="0" borderId="7" xfId="24" applyNumberFormat="1" applyFont="1" applyFill="1" applyBorder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8" fillId="0" borderId="0" xfId="10" applyNumberFormat="1" applyFont="1"/>
    <xf numFmtId="171" fontId="6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Continuous"/>
    </xf>
    <xf numFmtId="171" fontId="5" fillId="0" borderId="0" xfId="25" applyFont="1" applyFill="1"/>
    <xf numFmtId="171" fontId="5" fillId="0" borderId="0" xfId="25" applyFont="1" applyFill="1" applyBorder="1" applyAlignment="1">
      <alignment horizontal="centerContinuous"/>
    </xf>
    <xf numFmtId="171" fontId="5" fillId="0" borderId="0" xfId="25" applyFont="1" applyFill="1" applyBorder="1"/>
    <xf numFmtId="171" fontId="4" fillId="0" borderId="5" xfId="25" applyFont="1" applyFill="1" applyBorder="1" applyAlignment="1">
      <alignment horizontal="center"/>
    </xf>
    <xf numFmtId="171" fontId="4" fillId="0" borderId="5" xfId="25" applyFont="1" applyFill="1" applyBorder="1" applyAlignment="1">
      <alignment horizontal="center" wrapText="1"/>
    </xf>
    <xf numFmtId="171" fontId="9" fillId="0" borderId="6" xfId="25" applyFont="1" applyFill="1" applyBorder="1" applyAlignment="1">
      <alignment horizontal="centerContinuous"/>
    </xf>
    <xf numFmtId="171" fontId="12" fillId="0" borderId="6" xfId="25" quotePrefix="1" applyFont="1" applyFill="1" applyBorder="1" applyAlignment="1">
      <alignment horizontal="center" wrapText="1"/>
    </xf>
    <xf numFmtId="171" fontId="12" fillId="0" borderId="6" xfId="25" applyFont="1" applyFill="1" applyBorder="1" applyAlignment="1">
      <alignment horizontal="center" wrapText="1"/>
    </xf>
    <xf numFmtId="171" fontId="8" fillId="0" borderId="0" xfId="25" quotePrefix="1" applyFont="1" applyFill="1" applyBorder="1" applyAlignment="1">
      <alignment horizontal="center"/>
    </xf>
    <xf numFmtId="0" fontId="5" fillId="0" borderId="0" xfId="25" applyNumberFormat="1" applyFont="1" applyFill="1"/>
    <xf numFmtId="6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 applyAlignment="1">
      <alignment horizontal="right"/>
    </xf>
    <xf numFmtId="8" fontId="5" fillId="0" borderId="0" xfId="25" applyNumberFormat="1" applyFont="1" applyFill="1"/>
    <xf numFmtId="8" fontId="5" fillId="0" borderId="0" xfId="25" applyNumberFormat="1" applyFont="1" applyFill="1" applyBorder="1"/>
    <xf numFmtId="178" fontId="5" fillId="0" borderId="0" xfId="25" applyNumberFormat="1" applyFont="1" applyFill="1" applyAlignment="1">
      <alignment horizontal="right"/>
    </xf>
    <xf numFmtId="165" fontId="5" fillId="0" borderId="0" xfId="25" applyNumberFormat="1" applyFont="1" applyFill="1" applyAlignment="1">
      <alignment horizontal="center"/>
    </xf>
    <xf numFmtId="171" fontId="5" fillId="0" borderId="0" xfId="25" quotePrefix="1" applyFont="1" applyFill="1"/>
    <xf numFmtId="0" fontId="5" fillId="0" borderId="0" xfId="26" applyFont="1"/>
    <xf numFmtId="14" fontId="5" fillId="0" borderId="0" xfId="27" applyNumberFormat="1" applyFont="1"/>
    <xf numFmtId="0" fontId="5" fillId="0" borderId="0" xfId="25" applyNumberFormat="1" applyFont="1" applyFill="1" applyBorder="1"/>
    <xf numFmtId="165" fontId="5" fillId="0" borderId="0" xfId="25" applyNumberFormat="1" applyFont="1" applyFill="1" applyBorder="1" applyAlignment="1">
      <alignment horizontal="center"/>
    </xf>
    <xf numFmtId="8" fontId="5" fillId="0" borderId="0" xfId="25" applyNumberFormat="1" applyFont="1" applyFill="1" applyBorder="1" applyAlignment="1">
      <alignment horizontal="right"/>
    </xf>
    <xf numFmtId="8" fontId="5" fillId="0" borderId="0" xfId="25" applyNumberFormat="1" applyFont="1" applyFill="1" applyAlignment="1">
      <alignment horizontal="center"/>
    </xf>
    <xf numFmtId="171" fontId="7" fillId="0" borderId="0" xfId="25" applyFont="1" applyFill="1" applyAlignment="1">
      <alignment horizontal="centerContinuous"/>
    </xf>
    <xf numFmtId="171" fontId="4" fillId="0" borderId="0" xfId="25" applyFont="1" applyFill="1" applyAlignment="1">
      <alignment horizontal="centerContinuous"/>
    </xf>
    <xf numFmtId="171" fontId="5" fillId="0" borderId="0" xfId="25" applyFont="1" applyFill="1" applyAlignment="1">
      <alignment horizontal="center"/>
    </xf>
    <xf numFmtId="41" fontId="5" fillId="0" borderId="0" xfId="4" applyFont="1" applyFill="1"/>
    <xf numFmtId="171" fontId="4" fillId="0" borderId="17" xfId="25" applyFont="1" applyFill="1" applyBorder="1" applyAlignment="1">
      <alignment horizontal="centerContinuous"/>
    </xf>
    <xf numFmtId="171" fontId="5" fillId="0" borderId="17" xfId="25" applyFont="1" applyFill="1" applyBorder="1"/>
    <xf numFmtId="171" fontId="5" fillId="0" borderId="18" xfId="25" applyFont="1" applyFill="1" applyBorder="1"/>
    <xf numFmtId="171" fontId="4" fillId="0" borderId="16" xfId="25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5" applyFont="1" applyFill="1" applyBorder="1" applyAlignment="1">
      <alignment horizontal="centerContinuous"/>
    </xf>
    <xf numFmtId="8" fontId="5" fillId="0" borderId="0" xfId="2" applyNumberFormat="1" applyFont="1" applyFill="1"/>
    <xf numFmtId="179" fontId="29" fillId="0" borderId="0" xfId="28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9" fontId="30" fillId="0" borderId="0" xfId="0" applyNumberFormat="1" applyFont="1"/>
    <xf numFmtId="172" fontId="4" fillId="0" borderId="0" xfId="25" applyNumberFormat="1" applyFont="1" applyFill="1"/>
    <xf numFmtId="172" fontId="5" fillId="0" borderId="0" xfId="25" applyNumberFormat="1" applyFont="1" applyFill="1"/>
    <xf numFmtId="167" fontId="5" fillId="0" borderId="0" xfId="8" applyNumberFormat="1" applyFont="1" applyFill="1"/>
    <xf numFmtId="164" fontId="5" fillId="0" borderId="0" xfId="25" applyNumberFormat="1" applyFont="1" applyFill="1"/>
    <xf numFmtId="174" fontId="5" fillId="0" borderId="0" xfId="25" applyNumberFormat="1" applyFont="1" applyFill="1" applyBorder="1"/>
    <xf numFmtId="0" fontId="0" fillId="0" borderId="0" xfId="0" applyNumberFormat="1" applyFont="1"/>
    <xf numFmtId="44" fontId="26" fillId="0" borderId="0" xfId="2" applyFont="1" applyFill="1"/>
    <xf numFmtId="174" fontId="31" fillId="0" borderId="0" xfId="0" applyNumberFormat="1" applyFont="1" applyFill="1" applyProtection="1">
      <protection locked="0"/>
    </xf>
    <xf numFmtId="9" fontId="5" fillId="0" borderId="0" xfId="25" applyNumberFormat="1" applyFont="1" applyFill="1"/>
    <xf numFmtId="43" fontId="5" fillId="0" borderId="0" xfId="2" applyNumberFormat="1" applyFont="1" applyFill="1"/>
    <xf numFmtId="167" fontId="5" fillId="0" borderId="0" xfId="25" applyNumberFormat="1" applyFont="1" applyFill="1"/>
    <xf numFmtId="43" fontId="5" fillId="0" borderId="0" xfId="25" applyNumberFormat="1" applyFont="1" applyFill="1" applyBorder="1" applyAlignment="1">
      <alignment horizontal="right"/>
    </xf>
    <xf numFmtId="10" fontId="5" fillId="0" borderId="0" xfId="8" applyNumberFormat="1" applyFont="1" applyFill="1"/>
    <xf numFmtId="172" fontId="5" fillId="0" borderId="0" xfId="25" applyNumberFormat="1" applyFont="1" applyFill="1" applyBorder="1"/>
    <xf numFmtId="171" fontId="5" fillId="0" borderId="0" xfId="25" applyNumberFormat="1" applyFont="1" applyFill="1"/>
    <xf numFmtId="171" fontId="5" fillId="0" borderId="0" xfId="25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5" applyNumberFormat="1" applyFont="1" applyFill="1" applyBorder="1"/>
    <xf numFmtId="43" fontId="5" fillId="0" borderId="0" xfId="25" applyNumberFormat="1" applyFont="1" applyFill="1" applyAlignment="1">
      <alignment horizontal="right"/>
    </xf>
    <xf numFmtId="174" fontId="30" fillId="0" borderId="0" xfId="8" applyNumberFormat="1" applyFont="1"/>
    <xf numFmtId="2" fontId="5" fillId="0" borderId="0" xfId="6" applyNumberFormat="1" applyFont="1" applyFill="1" applyAlignment="1" applyProtection="1">
      <alignment horizontal="center"/>
      <protection locked="0"/>
    </xf>
    <xf numFmtId="171" fontId="4" fillId="0" borderId="0" xfId="25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26" fillId="0" borderId="0" xfId="0" applyFont="1" applyFill="1"/>
    <xf numFmtId="6" fontId="5" fillId="6" borderId="0" xfId="2" applyNumberFormat="1" applyFont="1" applyFill="1"/>
    <xf numFmtId="9" fontId="5" fillId="6" borderId="0" xfId="25" applyNumberFormat="1" applyFont="1" applyFill="1"/>
    <xf numFmtId="171" fontId="0" fillId="0" borderId="0" xfId="0" applyNumberForma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80" fontId="3" fillId="0" borderId="0" xfId="10" applyNumberFormat="1" applyFont="1"/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6" fontId="5" fillId="0" borderId="0" xfId="26" applyNumberFormat="1" applyFont="1"/>
    <xf numFmtId="181" fontId="5" fillId="0" borderId="0" xfId="25" applyNumberFormat="1" applyFont="1" applyFill="1"/>
    <xf numFmtId="43" fontId="5" fillId="0" borderId="0" xfId="29" applyFont="1" applyFill="1"/>
    <xf numFmtId="0" fontId="5" fillId="0" borderId="0" xfId="25" applyNumberFormat="1" applyFont="1" applyFill="1" applyBorder="1" applyAlignment="1">
      <alignment horizontal="right"/>
    </xf>
    <xf numFmtId="171" fontId="32" fillId="0" borderId="0" xfId="0" applyFont="1" applyAlignment="1">
      <alignment horizontal="center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82" fontId="5" fillId="0" borderId="0" xfId="0" applyNumberFormat="1" applyFont="1" applyFill="1" applyBorder="1" applyAlignment="1">
      <alignment horizontal="center"/>
    </xf>
    <xf numFmtId="8" fontId="5" fillId="0" borderId="0" xfId="25" applyNumberFormat="1" applyFont="1" applyFill="1" applyAlignment="1">
      <alignment horizontal="right" vertical="center"/>
    </xf>
    <xf numFmtId="171" fontId="15" fillId="0" borderId="0" xfId="10" applyNumberFormat="1" applyFont="1" applyAlignment="1">
      <alignment horizontal="right"/>
    </xf>
    <xf numFmtId="171" fontId="0" fillId="0" borderId="0" xfId="0" applyAlignment="1">
      <alignment wrapText="1"/>
    </xf>
    <xf numFmtId="179" fontId="33" fillId="0" borderId="0" xfId="0" applyNumberFormat="1" applyFont="1"/>
    <xf numFmtId="171" fontId="34" fillId="0" borderId="0" xfId="25" applyFont="1" applyFill="1"/>
    <xf numFmtId="9" fontId="34" fillId="0" borderId="0" xfId="8" applyFont="1" applyFill="1"/>
    <xf numFmtId="172" fontId="5" fillId="0" borderId="0" xfId="25" applyNumberFormat="1" applyFont="1" applyFill="1" applyAlignment="1">
      <alignment horizontal="right"/>
    </xf>
    <xf numFmtId="43" fontId="5" fillId="0" borderId="0" xfId="25" applyNumberFormat="1" applyFont="1" applyFill="1"/>
    <xf numFmtId="9" fontId="34" fillId="0" borderId="0" xfId="25" applyNumberFormat="1" applyFont="1" applyFill="1"/>
    <xf numFmtId="179" fontId="30" fillId="0" borderId="0" xfId="0" applyNumberFormat="1" applyFont="1" applyFill="1"/>
    <xf numFmtId="174" fontId="30" fillId="0" borderId="0" xfId="8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27" fillId="0" borderId="6" xfId="0" applyFont="1" applyBorder="1" applyAlignment="1">
      <alignment horizontal="center" wrapText="1"/>
    </xf>
    <xf numFmtId="171" fontId="26" fillId="0" borderId="6" xfId="0" applyFont="1" applyFill="1" applyBorder="1" applyAlignment="1">
      <alignment horizontal="center" wrapText="1"/>
    </xf>
    <xf numFmtId="167" fontId="5" fillId="6" borderId="0" xfId="25" applyNumberFormat="1" applyFont="1" applyFill="1"/>
    <xf numFmtId="171" fontId="0" fillId="0" borderId="0" xfId="0" applyAlignment="1">
      <alignment wrapText="1"/>
    </xf>
    <xf numFmtId="8" fontId="5" fillId="0" borderId="0" xfId="8" applyNumberFormat="1" applyFont="1" applyFill="1"/>
    <xf numFmtId="171" fontId="0" fillId="0" borderId="0" xfId="0" applyAlignment="1">
      <alignment wrapText="1"/>
    </xf>
    <xf numFmtId="183" fontId="0" fillId="0" borderId="0" xfId="1" applyNumberFormat="1" applyFont="1"/>
    <xf numFmtId="171" fontId="0" fillId="11" borderId="0" xfId="0" applyFill="1" applyAlignment="1">
      <alignment wrapText="1"/>
    </xf>
    <xf numFmtId="167" fontId="23" fillId="0" borderId="0" xfId="8" applyNumberFormat="1" applyFont="1" applyFill="1" applyAlignment="1">
      <alignment wrapText="1"/>
    </xf>
    <xf numFmtId="171" fontId="15" fillId="0" borderId="7" xfId="23" applyFont="1" applyFill="1" applyBorder="1" applyAlignment="1">
      <alignment horizontal="center" wrapText="1"/>
    </xf>
    <xf numFmtId="171" fontId="4" fillId="0" borderId="0" xfId="0" applyFont="1" applyAlignment="1">
      <alignment wrapText="1"/>
    </xf>
    <xf numFmtId="171" fontId="5" fillId="0" borderId="0" xfId="25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1" fontId="0" fillId="0" borderId="0" xfId="0" applyAlignment="1">
      <alignment wrapText="1"/>
    </xf>
    <xf numFmtId="174" fontId="5" fillId="0" borderId="0" xfId="8" applyNumberFormat="1" applyFont="1" applyFill="1"/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5" fillId="0" borderId="0" xfId="0" applyFont="1" applyFill="1" applyAlignment="1">
      <alignment horizontal="centerContinuous"/>
    </xf>
    <xf numFmtId="171" fontId="36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5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6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7" fillId="0" borderId="0" xfId="0" applyNumberFormat="1" applyFont="1" applyFill="1" applyAlignment="1">
      <alignment horizontal="center"/>
    </xf>
    <xf numFmtId="8" fontId="37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65" fontId="5" fillId="0" borderId="0" xfId="25" applyNumberFormat="1" applyFont="1" applyFill="1" applyAlignment="1">
      <alignment horizontal="right" wrapText="1"/>
    </xf>
    <xf numFmtId="171" fontId="0" fillId="0" borderId="0" xfId="0" applyAlignment="1">
      <alignment wrapText="1"/>
    </xf>
  </cellXfs>
  <cellStyles count="31">
    <cellStyle name="Comma" xfId="1" builtinId="3"/>
    <cellStyle name="Comma 2" xfId="14"/>
    <cellStyle name="Comma 3" xfId="29"/>
    <cellStyle name="Currency" xfId="2" builtinId="4"/>
    <cellStyle name="Currency 2" xfId="15"/>
    <cellStyle name="Currency No Comma" xfId="16"/>
    <cellStyle name="Hyperlink" xfId="28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30"/>
    <cellStyle name="Normal 2" xfId="9"/>
    <cellStyle name="Normal 2 2" xfId="13"/>
    <cellStyle name="Normal 3" xfId="10"/>
    <cellStyle name="Normal 3 2" xfId="27"/>
    <cellStyle name="Normal 5" xfId="12"/>
    <cellStyle name="Normal_DRR AC Study - Utah Valley - 53 MW 90 CF (2.28.2005)" xfId="4"/>
    <cellStyle name="Normal_INF_06_03_07" xfId="26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5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1">
    <dxf>
      <font>
        <b/>
        <i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22_023%20-%20Kennecott%20-%20UT%20-%202019%20May\Workpapers%20to%20file\023%20-%20Kennecott%20Refinery%20-%201a%20-%20GRID%20AC%20Study%20CONF%20_2019%2004%203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>
        <row r="4">
          <cell r="B4" t="str">
            <v>Year</v>
          </cell>
          <cell r="C4" t="str">
            <v>Annual</v>
          </cell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2020</v>
          </cell>
          <cell r="C7">
            <v>20.285573822302116</v>
          </cell>
          <cell r="D7">
            <v>19.330774142365893</v>
          </cell>
          <cell r="E7">
            <v>20.632032419347148</v>
          </cell>
          <cell r="F7">
            <v>17.343304933504783</v>
          </cell>
          <cell r="G7">
            <v>16.764937749169036</v>
          </cell>
          <cell r="H7">
            <v>15.748619418809026</v>
          </cell>
          <cell r="I7">
            <v>16.686979083160942</v>
          </cell>
          <cell r="J7">
            <v>31.579493222507455</v>
          </cell>
          <cell r="K7">
            <v>31.368344725826194</v>
          </cell>
          <cell r="L7">
            <v>22.305291035200206</v>
          </cell>
          <cell r="M7">
            <v>16.390153346365672</v>
          </cell>
          <cell r="N7">
            <v>17.591342483832726</v>
          </cell>
          <cell r="O7">
            <v>17.456554348132521</v>
          </cell>
        </row>
        <row r="8">
          <cell r="B8">
            <v>2021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2022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>
            <v>2023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2024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2025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2026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2027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2028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2029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</sheetData>
      <sheetData sheetId="3"/>
      <sheetData sheetId="4">
        <row r="1">
          <cell r="A1" t="str">
            <v>PacifiCorp</v>
          </cell>
        </row>
        <row r="2">
          <cell r="A2" t="str">
            <v>Avoided Cost Study</v>
          </cell>
        </row>
        <row r="3">
          <cell r="A3" t="str">
            <v>Period = 2020-2029</v>
          </cell>
          <cell r="F3">
            <v>43831</v>
          </cell>
          <cell r="G3">
            <v>43862</v>
          </cell>
          <cell r="H3">
            <v>43891</v>
          </cell>
          <cell r="I3">
            <v>43922</v>
          </cell>
          <cell r="J3">
            <v>43952</v>
          </cell>
          <cell r="K3">
            <v>43983</v>
          </cell>
          <cell r="L3">
            <v>44013</v>
          </cell>
          <cell r="M3">
            <v>44044</v>
          </cell>
          <cell r="N3">
            <v>44075</v>
          </cell>
          <cell r="O3">
            <v>44105</v>
          </cell>
          <cell r="P3">
            <v>44136</v>
          </cell>
          <cell r="Q3">
            <v>44166</v>
          </cell>
          <cell r="R3">
            <v>2021</v>
          </cell>
          <cell r="S3">
            <v>44197</v>
          </cell>
          <cell r="T3">
            <v>44228</v>
          </cell>
          <cell r="U3">
            <v>44256</v>
          </cell>
          <cell r="V3">
            <v>44287</v>
          </cell>
          <cell r="W3">
            <v>44317</v>
          </cell>
          <cell r="X3">
            <v>44348</v>
          </cell>
          <cell r="Y3">
            <v>44378</v>
          </cell>
          <cell r="Z3">
            <v>44409</v>
          </cell>
          <cell r="AA3">
            <v>44440</v>
          </cell>
          <cell r="AB3">
            <v>44470</v>
          </cell>
          <cell r="AC3">
            <v>44501</v>
          </cell>
          <cell r="AD3">
            <v>44531</v>
          </cell>
          <cell r="AE3">
            <v>2022</v>
          </cell>
          <cell r="AF3">
            <v>44562</v>
          </cell>
          <cell r="AG3">
            <v>44593</v>
          </cell>
          <cell r="AH3">
            <v>44621</v>
          </cell>
          <cell r="AI3">
            <v>44652</v>
          </cell>
          <cell r="AJ3">
            <v>44682</v>
          </cell>
          <cell r="AK3">
            <v>44713</v>
          </cell>
          <cell r="AL3">
            <v>44743</v>
          </cell>
          <cell r="AM3">
            <v>44774</v>
          </cell>
          <cell r="AN3">
            <v>44805</v>
          </cell>
          <cell r="AO3">
            <v>44835</v>
          </cell>
          <cell r="AP3">
            <v>44866</v>
          </cell>
          <cell r="AQ3">
            <v>44896</v>
          </cell>
          <cell r="AR3">
            <v>2023</v>
          </cell>
          <cell r="AS3">
            <v>44927</v>
          </cell>
          <cell r="AT3">
            <v>44958</v>
          </cell>
          <cell r="AU3">
            <v>44986</v>
          </cell>
          <cell r="AV3">
            <v>45017</v>
          </cell>
          <cell r="AW3">
            <v>45047</v>
          </cell>
          <cell r="AX3">
            <v>45078</v>
          </cell>
          <cell r="AY3">
            <v>45108</v>
          </cell>
          <cell r="AZ3">
            <v>45139</v>
          </cell>
          <cell r="BA3">
            <v>45170</v>
          </cell>
          <cell r="BB3">
            <v>45200</v>
          </cell>
          <cell r="BC3">
            <v>45231</v>
          </cell>
          <cell r="BD3">
            <v>45261</v>
          </cell>
          <cell r="BE3">
            <v>2024</v>
          </cell>
          <cell r="BF3">
            <v>45292</v>
          </cell>
          <cell r="BG3">
            <v>45323</v>
          </cell>
          <cell r="BH3">
            <v>45352</v>
          </cell>
          <cell r="BI3">
            <v>45383</v>
          </cell>
          <cell r="BJ3">
            <v>45413</v>
          </cell>
          <cell r="BK3">
            <v>45444</v>
          </cell>
          <cell r="BL3">
            <v>45474</v>
          </cell>
          <cell r="BM3">
            <v>45505</v>
          </cell>
          <cell r="BN3">
            <v>45536</v>
          </cell>
          <cell r="BO3">
            <v>45566</v>
          </cell>
          <cell r="BP3">
            <v>45597</v>
          </cell>
          <cell r="BQ3">
            <v>45627</v>
          </cell>
          <cell r="BR3">
            <v>2025</v>
          </cell>
          <cell r="BS3">
            <v>45658</v>
          </cell>
          <cell r="BT3">
            <v>45689</v>
          </cell>
          <cell r="BU3">
            <v>45717</v>
          </cell>
          <cell r="BV3">
            <v>45748</v>
          </cell>
          <cell r="BW3">
            <v>45778</v>
          </cell>
          <cell r="BX3">
            <v>45809</v>
          </cell>
          <cell r="BY3">
            <v>45839</v>
          </cell>
          <cell r="BZ3">
            <v>45870</v>
          </cell>
          <cell r="CA3">
            <v>45901</v>
          </cell>
          <cell r="CB3">
            <v>45931</v>
          </cell>
          <cell r="CC3">
            <v>45962</v>
          </cell>
          <cell r="CD3">
            <v>45992</v>
          </cell>
          <cell r="CE3">
            <v>2026</v>
          </cell>
          <cell r="CF3">
            <v>46023</v>
          </cell>
          <cell r="CG3">
            <v>46054</v>
          </cell>
          <cell r="CH3">
            <v>46082</v>
          </cell>
          <cell r="CI3">
            <v>46113</v>
          </cell>
          <cell r="CJ3">
            <v>46143</v>
          </cell>
          <cell r="CK3">
            <v>46174</v>
          </cell>
          <cell r="CL3">
            <v>46204</v>
          </cell>
          <cell r="CM3">
            <v>46235</v>
          </cell>
          <cell r="CN3">
            <v>46266</v>
          </cell>
          <cell r="CO3">
            <v>46296</v>
          </cell>
          <cell r="CP3">
            <v>46327</v>
          </cell>
          <cell r="CQ3">
            <v>46357</v>
          </cell>
          <cell r="CR3">
            <v>2027</v>
          </cell>
          <cell r="CS3">
            <v>46388</v>
          </cell>
          <cell r="CT3">
            <v>46419</v>
          </cell>
          <cell r="CU3">
            <v>46447</v>
          </cell>
          <cell r="CV3">
            <v>46478</v>
          </cell>
          <cell r="CW3">
            <v>46508</v>
          </cell>
          <cell r="CX3">
            <v>46539</v>
          </cell>
          <cell r="CY3">
            <v>46569</v>
          </cell>
          <cell r="CZ3">
            <v>46600</v>
          </cell>
          <cell r="DA3">
            <v>46631</v>
          </cell>
          <cell r="DB3">
            <v>46661</v>
          </cell>
          <cell r="DC3">
            <v>46692</v>
          </cell>
          <cell r="DD3">
            <v>46722</v>
          </cell>
          <cell r="DE3">
            <v>2028</v>
          </cell>
          <cell r="DF3">
            <v>46753</v>
          </cell>
          <cell r="DG3">
            <v>46784</v>
          </cell>
          <cell r="DH3">
            <v>46813</v>
          </cell>
          <cell r="DI3">
            <v>46844</v>
          </cell>
          <cell r="DJ3">
            <v>46874</v>
          </cell>
          <cell r="DK3">
            <v>46905</v>
          </cell>
          <cell r="DL3">
            <v>46935</v>
          </cell>
          <cell r="DM3">
            <v>46966</v>
          </cell>
          <cell r="DN3">
            <v>46997</v>
          </cell>
          <cell r="DO3">
            <v>47027</v>
          </cell>
          <cell r="DP3">
            <v>47058</v>
          </cell>
          <cell r="DQ3">
            <v>47088</v>
          </cell>
          <cell r="DR3">
            <v>2029</v>
          </cell>
          <cell r="DS3">
            <v>47119</v>
          </cell>
          <cell r="DT3">
            <v>47150</v>
          </cell>
          <cell r="DU3">
            <v>47178</v>
          </cell>
          <cell r="DV3">
            <v>47209</v>
          </cell>
          <cell r="DW3">
            <v>47239</v>
          </cell>
          <cell r="DX3">
            <v>47270</v>
          </cell>
          <cell r="DY3">
            <v>47300</v>
          </cell>
          <cell r="DZ3">
            <v>47331</v>
          </cell>
          <cell r="EA3">
            <v>47362</v>
          </cell>
          <cell r="EB3">
            <v>47392</v>
          </cell>
          <cell r="EC3">
            <v>47423</v>
          </cell>
          <cell r="ED3">
            <v>47453</v>
          </cell>
        </row>
        <row r="5">
          <cell r="R5" t="str">
            <v>$</v>
          </cell>
          <cell r="AE5" t="str">
            <v>$</v>
          </cell>
          <cell r="AR5" t="str">
            <v>$</v>
          </cell>
          <cell r="BE5" t="str">
            <v>$</v>
          </cell>
          <cell r="BR5" t="str">
            <v>$</v>
          </cell>
          <cell r="CE5" t="str">
            <v>$</v>
          </cell>
          <cell r="CR5" t="str">
            <v>$</v>
          </cell>
          <cell r="DE5" t="str">
            <v>$</v>
          </cell>
          <cell r="DR5" t="str">
            <v>$</v>
          </cell>
        </row>
        <row r="7">
          <cell r="A7" t="str">
            <v>Special Sales For Resale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</row>
        <row r="32">
          <cell r="F32">
            <v>0</v>
          </cell>
          <cell r="G32">
            <v>0</v>
          </cell>
          <cell r="H32">
            <v>73.299999999813735</v>
          </cell>
          <cell r="I32">
            <v>35.899999999906868</v>
          </cell>
          <cell r="J32">
            <v>358.39999999990687</v>
          </cell>
          <cell r="K32">
            <v>2876.2999999998137</v>
          </cell>
          <cell r="L32">
            <v>5838.5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</row>
        <row r="33">
          <cell r="F33">
            <v>10360.5</v>
          </cell>
          <cell r="G33">
            <v>10357.799999999814</v>
          </cell>
          <cell r="H33">
            <v>4232.3999999999069</v>
          </cell>
          <cell r="I33">
            <v>3801.9000000000233</v>
          </cell>
          <cell r="J33">
            <v>699.5</v>
          </cell>
          <cell r="K33">
            <v>0</v>
          </cell>
          <cell r="L33">
            <v>778.5</v>
          </cell>
          <cell r="M33">
            <v>0</v>
          </cell>
          <cell r="N33">
            <v>1092</v>
          </cell>
          <cell r="O33">
            <v>2866.2999999998137</v>
          </cell>
          <cell r="P33">
            <v>6209.2999999998137</v>
          </cell>
          <cell r="Q33">
            <v>8804.2000000001863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</row>
        <row r="34">
          <cell r="F34">
            <v>88</v>
          </cell>
          <cell r="G34">
            <v>1045</v>
          </cell>
          <cell r="H34">
            <v>1519</v>
          </cell>
          <cell r="I34">
            <v>9066.7000000001863</v>
          </cell>
          <cell r="J34">
            <v>4210.1999999999534</v>
          </cell>
          <cell r="K34">
            <v>5404.3999999999069</v>
          </cell>
          <cell r="L34">
            <v>13772</v>
          </cell>
          <cell r="M34">
            <v>2223.1000000000931</v>
          </cell>
          <cell r="N34">
            <v>4015.3999999999069</v>
          </cell>
          <cell r="O34">
            <v>1446</v>
          </cell>
          <cell r="P34">
            <v>1330.7999999998137</v>
          </cell>
          <cell r="Q34">
            <v>329.5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</row>
        <row r="35">
          <cell r="F35">
            <v>5427.1000000005588</v>
          </cell>
          <cell r="G35">
            <v>3506.9000000003725</v>
          </cell>
          <cell r="H35">
            <v>1174.4000000003725</v>
          </cell>
          <cell r="I35">
            <v>586.5500000002794</v>
          </cell>
          <cell r="J35">
            <v>2221.8899999998976</v>
          </cell>
          <cell r="K35">
            <v>461.89999999990687</v>
          </cell>
          <cell r="L35">
            <v>2877.2999999998137</v>
          </cell>
          <cell r="M35">
            <v>0</v>
          </cell>
          <cell r="N35">
            <v>3549.1999999992549</v>
          </cell>
          <cell r="O35">
            <v>1899</v>
          </cell>
          <cell r="P35">
            <v>748.89999999944121</v>
          </cell>
          <cell r="Q35">
            <v>4123.6000000005588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</row>
        <row r="36">
          <cell r="F36">
            <v>0</v>
          </cell>
          <cell r="G36">
            <v>123.36000000010245</v>
          </cell>
          <cell r="H36">
            <v>0</v>
          </cell>
          <cell r="I36">
            <v>571.80000000004657</v>
          </cell>
          <cell r="J36">
            <v>276.20000000018626</v>
          </cell>
          <cell r="K36">
            <v>162</v>
          </cell>
          <cell r="L36">
            <v>1488</v>
          </cell>
          <cell r="M36">
            <v>2595</v>
          </cell>
          <cell r="N36">
            <v>48</v>
          </cell>
          <cell r="O36">
            <v>1908</v>
          </cell>
          <cell r="P36">
            <v>4710.5</v>
          </cell>
          <cell r="Q36">
            <v>1319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</row>
        <row r="38">
          <cell r="F38">
            <v>0</v>
          </cell>
          <cell r="G38">
            <v>0</v>
          </cell>
          <cell r="H38">
            <v>-26.244599999976344</v>
          </cell>
          <cell r="I38">
            <v>-12.474900000030175</v>
          </cell>
          <cell r="J38">
            <v>-71.771760000032373</v>
          </cell>
          <cell r="K38">
            <v>-615.5714999998454</v>
          </cell>
          <cell r="L38">
            <v>-291.60250000003725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</row>
        <row r="41">
          <cell r="F41">
            <v>15875.60000000149</v>
          </cell>
          <cell r="G41">
            <v>15033.060000000522</v>
          </cell>
          <cell r="H41">
            <v>6972.8554000016302</v>
          </cell>
          <cell r="I41">
            <v>14050.37509999983</v>
          </cell>
          <cell r="J41">
            <v>7694.4182399995625</v>
          </cell>
          <cell r="K41">
            <v>8289.0285000000149</v>
          </cell>
          <cell r="L41">
            <v>24462.697500005364</v>
          </cell>
          <cell r="M41">
            <v>4818.1000000014901</v>
          </cell>
          <cell r="N41">
            <v>8704.6000000014901</v>
          </cell>
          <cell r="O41">
            <v>8119.3000000007451</v>
          </cell>
          <cell r="P41">
            <v>12999.5</v>
          </cell>
          <cell r="Q41">
            <v>14576.300000000745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3">
          <cell r="A43" t="str">
            <v>Total Special Sales For Resale</v>
          </cell>
          <cell r="F43">
            <v>15875.60000000149</v>
          </cell>
          <cell r="G43">
            <v>15033.060000002384</v>
          </cell>
          <cell r="H43">
            <v>6972.8554000034928</v>
          </cell>
          <cell r="I43">
            <v>14050.375100001693</v>
          </cell>
          <cell r="J43">
            <v>7694.4182399995625</v>
          </cell>
          <cell r="K43">
            <v>8289.0285000018775</v>
          </cell>
          <cell r="L43">
            <v>24462.697500005364</v>
          </cell>
          <cell r="M43">
            <v>4818.1000000014901</v>
          </cell>
          <cell r="N43">
            <v>8704.6000000014901</v>
          </cell>
          <cell r="O43">
            <v>8119.3000000007451</v>
          </cell>
          <cell r="P43">
            <v>12999.5</v>
          </cell>
          <cell r="Q43">
            <v>14576.29999999702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</row>
        <row r="46">
          <cell r="A46" t="str">
            <v>Purchased Power &amp; Net Interchange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</row>
        <row r="186">
          <cell r="F186">
            <v>0</v>
          </cell>
          <cell r="G186">
            <v>0</v>
          </cell>
          <cell r="H186">
            <v>-206.21599999999989</v>
          </cell>
          <cell r="I186">
            <v>0</v>
          </cell>
          <cell r="J186">
            <v>-224.63000000000102</v>
          </cell>
          <cell r="K186">
            <v>-1835.9899999999907</v>
          </cell>
          <cell r="L186">
            <v>-5765.4300000000512</v>
          </cell>
          <cell r="M186">
            <v>-4617.1000000000058</v>
          </cell>
          <cell r="N186">
            <v>-792.0619999999908</v>
          </cell>
          <cell r="O186">
            <v>0</v>
          </cell>
          <cell r="P186">
            <v>0</v>
          </cell>
          <cell r="Q186">
            <v>-790.36000000010245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</row>
        <row r="187">
          <cell r="F187">
            <v>-4639.25</v>
          </cell>
          <cell r="G187">
            <v>-10705.600000000093</v>
          </cell>
          <cell r="H187">
            <v>-9379.6000000000931</v>
          </cell>
          <cell r="I187">
            <v>-12230.799999999814</v>
          </cell>
          <cell r="J187">
            <v>-11965.700000000186</v>
          </cell>
          <cell r="K187">
            <v>-3054.8600000001024</v>
          </cell>
          <cell r="L187">
            <v>-3012.7799999999988</v>
          </cell>
          <cell r="M187">
            <v>-514.40100000000029</v>
          </cell>
          <cell r="N187">
            <v>-1194.6739999999991</v>
          </cell>
          <cell r="O187">
            <v>-10700</v>
          </cell>
          <cell r="P187">
            <v>-8235.1999999999534</v>
          </cell>
          <cell r="Q187">
            <v>-1412.6300000000047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</row>
        <row r="188">
          <cell r="F188">
            <v>0</v>
          </cell>
          <cell r="G188">
            <v>-1766.9000000000233</v>
          </cell>
          <cell r="H188">
            <v>-3093.3499999999767</v>
          </cell>
          <cell r="I188">
            <v>-12960.599999999627</v>
          </cell>
          <cell r="J188">
            <v>-14673</v>
          </cell>
          <cell r="K188">
            <v>-14710</v>
          </cell>
          <cell r="L188">
            <v>-50554.5</v>
          </cell>
          <cell r="M188">
            <v>-70076</v>
          </cell>
          <cell r="N188">
            <v>-26747.700000000186</v>
          </cell>
          <cell r="O188">
            <v>-1331.8099999999977</v>
          </cell>
          <cell r="P188">
            <v>-4271.6299999999464</v>
          </cell>
          <cell r="Q188">
            <v>-338.25999999995111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</row>
        <row r="189">
          <cell r="F189">
            <v>-712.7029999999977</v>
          </cell>
          <cell r="G189">
            <v>-195.69900000000052</v>
          </cell>
          <cell r="H189">
            <v>-363.25500000000466</v>
          </cell>
          <cell r="I189">
            <v>274.60499999999593</v>
          </cell>
          <cell r="J189">
            <v>-290.17910000000848</v>
          </cell>
          <cell r="K189">
            <v>0</v>
          </cell>
          <cell r="L189">
            <v>-425.15500000000065</v>
          </cell>
          <cell r="M189">
            <v>0</v>
          </cell>
          <cell r="N189">
            <v>-19.051799999999275</v>
          </cell>
          <cell r="O189">
            <v>-425.15399999999499</v>
          </cell>
          <cell r="P189">
            <v>-69.497000000003027</v>
          </cell>
          <cell r="Q189">
            <v>-512.36100000000079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</row>
        <row r="190">
          <cell r="F190">
            <v>-2330.7999999998137</v>
          </cell>
          <cell r="G190">
            <v>-4425.4000000003725</v>
          </cell>
          <cell r="H190">
            <v>-1867.2999999998137</v>
          </cell>
          <cell r="I190">
            <v>-1516.0999999998603</v>
          </cell>
          <cell r="J190">
            <v>-948.60000000009313</v>
          </cell>
          <cell r="K190">
            <v>-239.89999999990687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</row>
        <row r="195">
          <cell r="F195">
            <v>-7682.7530000000261</v>
          </cell>
          <cell r="G195">
            <v>-17093.599000001326</v>
          </cell>
          <cell r="H195">
            <v>-14909.720999999903</v>
          </cell>
          <cell r="I195">
            <v>-26432.895000000484</v>
          </cell>
          <cell r="J195">
            <v>-28102.109100000001</v>
          </cell>
          <cell r="K195">
            <v>-19840.75</v>
          </cell>
          <cell r="L195">
            <v>-59757.865000000224</v>
          </cell>
          <cell r="M195">
            <v>-75207.501000000164</v>
          </cell>
          <cell r="N195">
            <v>-28753.487800000235</v>
          </cell>
          <cell r="O195">
            <v>-12456.96399999992</v>
          </cell>
          <cell r="P195">
            <v>-12576.327000000048</v>
          </cell>
          <cell r="Q195">
            <v>-3053.6109999998007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</row>
        <row r="197">
          <cell r="A197" t="str">
            <v>Total Purchased Power &amp; Net Interchange</v>
          </cell>
          <cell r="F197">
            <v>-7682.7530000060797</v>
          </cell>
          <cell r="G197">
            <v>-17093.598999999464</v>
          </cell>
          <cell r="H197">
            <v>-14909.721000000834</v>
          </cell>
          <cell r="I197">
            <v>-26432.895000003278</v>
          </cell>
          <cell r="J197">
            <v>-28102.10909999907</v>
          </cell>
          <cell r="K197">
            <v>-19840.75</v>
          </cell>
          <cell r="L197">
            <v>-59757.865000009537</v>
          </cell>
          <cell r="M197">
            <v>-75207.500999994576</v>
          </cell>
          <cell r="N197">
            <v>-28753.487800002098</v>
          </cell>
          <cell r="O197">
            <v>-12456.96400000155</v>
          </cell>
          <cell r="P197">
            <v>-12576.326999999583</v>
          </cell>
          <cell r="Q197">
            <v>-3053.6110000014305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</row>
        <row r="199">
          <cell r="A199" t="str">
            <v>Wheeling &amp; U. of F. Expense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e">
            <v>#N/A</v>
          </cell>
          <cell r="S201" t="e">
            <v>#N/A</v>
          </cell>
          <cell r="T201" t="e">
            <v>#N/A</v>
          </cell>
          <cell r="U201" t="e">
            <v>#N/A</v>
          </cell>
          <cell r="V201" t="e">
            <v>#N/A</v>
          </cell>
          <cell r="W201" t="e">
            <v>#N/A</v>
          </cell>
          <cell r="X201" t="e">
            <v>#N/A</v>
          </cell>
          <cell r="Y201" t="e">
            <v>#N/A</v>
          </cell>
          <cell r="Z201" t="e">
            <v>#N/A</v>
          </cell>
          <cell r="AA201" t="e">
            <v>#N/A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 t="e">
            <v>#N/A</v>
          </cell>
          <cell r="AH201" t="e">
            <v>#N/A</v>
          </cell>
          <cell r="AI201" t="e">
            <v>#N/A</v>
          </cell>
          <cell r="AJ201" t="e">
            <v>#N/A</v>
          </cell>
          <cell r="AK201" t="e">
            <v>#N/A</v>
          </cell>
          <cell r="AL201" t="e">
            <v>#N/A</v>
          </cell>
          <cell r="AM201" t="e">
            <v>#N/A</v>
          </cell>
          <cell r="AN201" t="e">
            <v>#N/A</v>
          </cell>
          <cell r="AO201" t="e">
            <v>#N/A</v>
          </cell>
          <cell r="AP201" t="e">
            <v>#N/A</v>
          </cell>
          <cell r="AQ201" t="e">
            <v>#N/A</v>
          </cell>
          <cell r="AR201" t="e">
            <v>#N/A</v>
          </cell>
          <cell r="AS201" t="e">
            <v>#N/A</v>
          </cell>
          <cell r="AT201" t="e">
            <v>#N/A</v>
          </cell>
          <cell r="AU201" t="e">
            <v>#N/A</v>
          </cell>
          <cell r="AV201" t="e">
            <v>#N/A</v>
          </cell>
          <cell r="AW201" t="e">
            <v>#N/A</v>
          </cell>
          <cell r="AX201" t="e">
            <v>#N/A</v>
          </cell>
          <cell r="AY201" t="e">
            <v>#N/A</v>
          </cell>
          <cell r="AZ201" t="e">
            <v>#N/A</v>
          </cell>
          <cell r="BA201" t="e">
            <v>#N/A</v>
          </cell>
          <cell r="BB201" t="e">
            <v>#N/A</v>
          </cell>
          <cell r="BC201" t="e">
            <v>#N/A</v>
          </cell>
          <cell r="BD201" t="e">
            <v>#N/A</v>
          </cell>
          <cell r="BE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  <cell r="BI201" t="e">
            <v>#N/A</v>
          </cell>
          <cell r="BJ201" t="e">
            <v>#N/A</v>
          </cell>
          <cell r="BK201" t="e">
            <v>#N/A</v>
          </cell>
          <cell r="BL201" t="e">
            <v>#N/A</v>
          </cell>
          <cell r="BM201" t="e">
            <v>#N/A</v>
          </cell>
          <cell r="BN201" t="e">
            <v>#N/A</v>
          </cell>
          <cell r="BO201" t="e">
            <v>#N/A</v>
          </cell>
          <cell r="BP201" t="e">
            <v>#N/A</v>
          </cell>
          <cell r="BQ201" t="e">
            <v>#N/A</v>
          </cell>
          <cell r="BR201" t="e">
            <v>#N/A</v>
          </cell>
          <cell r="BS201" t="e">
            <v>#N/A</v>
          </cell>
          <cell r="BT201" t="e">
            <v>#N/A</v>
          </cell>
          <cell r="BU201" t="e">
            <v>#N/A</v>
          </cell>
          <cell r="BV201" t="e">
            <v>#N/A</v>
          </cell>
          <cell r="BW201" t="e">
            <v>#N/A</v>
          </cell>
          <cell r="BX201" t="e">
            <v>#N/A</v>
          </cell>
          <cell r="BY201" t="e">
            <v>#N/A</v>
          </cell>
          <cell r="BZ201" t="e">
            <v>#N/A</v>
          </cell>
          <cell r="CA201" t="e">
            <v>#N/A</v>
          </cell>
          <cell r="CB201" t="e">
            <v>#N/A</v>
          </cell>
          <cell r="CC201" t="e">
            <v>#N/A</v>
          </cell>
          <cell r="CD201" t="e">
            <v>#N/A</v>
          </cell>
          <cell r="CE201" t="e">
            <v>#N/A</v>
          </cell>
          <cell r="CF201" t="e">
            <v>#N/A</v>
          </cell>
          <cell r="CG201" t="e">
            <v>#N/A</v>
          </cell>
          <cell r="CH201" t="e">
            <v>#N/A</v>
          </cell>
          <cell r="CI201" t="e">
            <v>#N/A</v>
          </cell>
          <cell r="CJ201" t="e">
            <v>#N/A</v>
          </cell>
          <cell r="CK201" t="e">
            <v>#N/A</v>
          </cell>
          <cell r="CL201" t="e">
            <v>#N/A</v>
          </cell>
          <cell r="CM201" t="e">
            <v>#N/A</v>
          </cell>
          <cell r="CN201" t="e">
            <v>#N/A</v>
          </cell>
          <cell r="CO201" t="e">
            <v>#N/A</v>
          </cell>
          <cell r="CP201" t="e">
            <v>#N/A</v>
          </cell>
          <cell r="CQ201" t="e">
            <v>#N/A</v>
          </cell>
          <cell r="CR201" t="e">
            <v>#N/A</v>
          </cell>
          <cell r="CS201" t="e">
            <v>#N/A</v>
          </cell>
          <cell r="CT201" t="e">
            <v>#N/A</v>
          </cell>
          <cell r="CU201" t="e">
            <v>#N/A</v>
          </cell>
          <cell r="CV201" t="e">
            <v>#N/A</v>
          </cell>
          <cell r="CW201" t="e">
            <v>#N/A</v>
          </cell>
          <cell r="CX201" t="e">
            <v>#N/A</v>
          </cell>
          <cell r="CY201" t="e">
            <v>#N/A</v>
          </cell>
          <cell r="CZ201" t="e">
            <v>#N/A</v>
          </cell>
          <cell r="DA201" t="e">
            <v>#N/A</v>
          </cell>
          <cell r="DB201" t="e">
            <v>#N/A</v>
          </cell>
          <cell r="DC201" t="e">
            <v>#N/A</v>
          </cell>
          <cell r="DD201" t="e">
            <v>#N/A</v>
          </cell>
          <cell r="DE201" t="e">
            <v>#N/A</v>
          </cell>
          <cell r="DF201" t="e">
            <v>#N/A</v>
          </cell>
          <cell r="DG201" t="e">
            <v>#N/A</v>
          </cell>
          <cell r="DH201" t="e">
            <v>#N/A</v>
          </cell>
          <cell r="DI201" t="e">
            <v>#N/A</v>
          </cell>
          <cell r="DJ201" t="e">
            <v>#N/A</v>
          </cell>
          <cell r="DK201" t="e">
            <v>#N/A</v>
          </cell>
          <cell r="DL201" t="e">
            <v>#N/A</v>
          </cell>
          <cell r="DM201" t="e">
            <v>#N/A</v>
          </cell>
          <cell r="DN201" t="e">
            <v>#N/A</v>
          </cell>
          <cell r="DO201" t="e">
            <v>#N/A</v>
          </cell>
          <cell r="DP201" t="e">
            <v>#N/A</v>
          </cell>
          <cell r="DQ201" t="e">
            <v>#N/A</v>
          </cell>
          <cell r="DR201" t="e">
            <v>#N/A</v>
          </cell>
          <cell r="DS201" t="e">
            <v>#N/A</v>
          </cell>
          <cell r="DT201" t="e">
            <v>#N/A</v>
          </cell>
          <cell r="DU201" t="e">
            <v>#N/A</v>
          </cell>
          <cell r="DV201" t="e">
            <v>#N/A</v>
          </cell>
          <cell r="DW201" t="e">
            <v>#N/A</v>
          </cell>
          <cell r="DX201" t="e">
            <v>#N/A</v>
          </cell>
          <cell r="DY201" t="e">
            <v>#N/A</v>
          </cell>
          <cell r="DZ201" t="e">
            <v>#N/A</v>
          </cell>
          <cell r="EA201" t="e">
            <v>#N/A</v>
          </cell>
          <cell r="EB201" t="e">
            <v>#N/A</v>
          </cell>
          <cell r="EC201" t="e">
            <v>#N/A</v>
          </cell>
          <cell r="ED201" t="e">
            <v>#N/A</v>
          </cell>
        </row>
        <row r="202">
          <cell r="F202">
            <v>2.183999999999287</v>
          </cell>
          <cell r="G202">
            <v>9.0619999999998981</v>
          </cell>
          <cell r="H202">
            <v>0</v>
          </cell>
          <cell r="I202">
            <v>-6.5953999999999269</v>
          </cell>
          <cell r="J202">
            <v>-10.320600000000013</v>
          </cell>
          <cell r="K202">
            <v>0</v>
          </cell>
          <cell r="L202">
            <v>0</v>
          </cell>
          <cell r="M202">
            <v>-2.2129999999997381</v>
          </cell>
          <cell r="N202">
            <v>-1.2009999999972933</v>
          </cell>
          <cell r="O202">
            <v>7.7977000000000771</v>
          </cell>
          <cell r="P202">
            <v>0</v>
          </cell>
          <cell r="Q202">
            <v>18.332999999998719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</row>
        <row r="204">
          <cell r="A204" t="str">
            <v>Total Wheeling &amp; U. of F. Expense</v>
          </cell>
          <cell r="F204">
            <v>2.1840000003576279</v>
          </cell>
          <cell r="G204">
            <v>9.0620000008493662</v>
          </cell>
          <cell r="H204">
            <v>0</v>
          </cell>
          <cell r="I204">
            <v>-6.5953999999910593</v>
          </cell>
          <cell r="J204">
            <v>-10.320599999278784</v>
          </cell>
          <cell r="K204">
            <v>0</v>
          </cell>
          <cell r="L204">
            <v>0</v>
          </cell>
          <cell r="M204">
            <v>-2.2129999995231628</v>
          </cell>
          <cell r="N204">
            <v>-1.2009999994188547</v>
          </cell>
          <cell r="O204">
            <v>7.7977000009268522</v>
          </cell>
          <cell r="P204">
            <v>0</v>
          </cell>
          <cell r="Q204">
            <v>18.333000000566244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  <cell r="AV204" t="e">
            <v>#N/A</v>
          </cell>
          <cell r="AW204" t="e">
            <v>#N/A</v>
          </cell>
          <cell r="AX204" t="e">
            <v>#N/A</v>
          </cell>
          <cell r="AY204" t="e">
            <v>#N/A</v>
          </cell>
          <cell r="AZ204" t="e">
            <v>#N/A</v>
          </cell>
          <cell r="BA204" t="e">
            <v>#N/A</v>
          </cell>
          <cell r="BB204" t="e">
            <v>#N/A</v>
          </cell>
          <cell r="BC204" t="e">
            <v>#N/A</v>
          </cell>
          <cell r="BD204" t="e">
            <v>#N/A</v>
          </cell>
          <cell r="BE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  <cell r="BI204" t="e">
            <v>#N/A</v>
          </cell>
          <cell r="BJ204" t="e">
            <v>#N/A</v>
          </cell>
          <cell r="BK204" t="e">
            <v>#N/A</v>
          </cell>
          <cell r="BL204" t="e">
            <v>#N/A</v>
          </cell>
          <cell r="BM204" t="e">
            <v>#N/A</v>
          </cell>
          <cell r="BN204" t="e">
            <v>#N/A</v>
          </cell>
          <cell r="BO204" t="e">
            <v>#N/A</v>
          </cell>
          <cell r="BP204" t="e">
            <v>#N/A</v>
          </cell>
          <cell r="BQ204" t="e">
            <v>#N/A</v>
          </cell>
          <cell r="BR204" t="e">
            <v>#N/A</v>
          </cell>
          <cell r="BS204" t="e">
            <v>#N/A</v>
          </cell>
          <cell r="BT204" t="e">
            <v>#N/A</v>
          </cell>
          <cell r="BU204" t="e">
            <v>#N/A</v>
          </cell>
          <cell r="BV204" t="e">
            <v>#N/A</v>
          </cell>
          <cell r="BW204" t="e">
            <v>#N/A</v>
          </cell>
          <cell r="BX204" t="e">
            <v>#N/A</v>
          </cell>
          <cell r="BY204" t="e">
            <v>#N/A</v>
          </cell>
          <cell r="BZ204" t="e">
            <v>#N/A</v>
          </cell>
          <cell r="CA204" t="e">
            <v>#N/A</v>
          </cell>
          <cell r="CB204" t="e">
            <v>#N/A</v>
          </cell>
          <cell r="CC204" t="e">
            <v>#N/A</v>
          </cell>
          <cell r="CD204" t="e">
            <v>#N/A</v>
          </cell>
          <cell r="CE204" t="e">
            <v>#N/A</v>
          </cell>
          <cell r="CF204" t="e">
            <v>#N/A</v>
          </cell>
          <cell r="CG204" t="e">
            <v>#N/A</v>
          </cell>
          <cell r="CH204" t="e">
            <v>#N/A</v>
          </cell>
          <cell r="CI204" t="e">
            <v>#N/A</v>
          </cell>
          <cell r="CJ204" t="e">
            <v>#N/A</v>
          </cell>
          <cell r="CK204" t="e">
            <v>#N/A</v>
          </cell>
          <cell r="CL204" t="e">
            <v>#N/A</v>
          </cell>
          <cell r="CM204" t="e">
            <v>#N/A</v>
          </cell>
          <cell r="CN204" t="e">
            <v>#N/A</v>
          </cell>
          <cell r="CO204" t="e">
            <v>#N/A</v>
          </cell>
          <cell r="CP204" t="e">
            <v>#N/A</v>
          </cell>
          <cell r="CQ204" t="e">
            <v>#N/A</v>
          </cell>
          <cell r="CR204" t="e">
            <v>#N/A</v>
          </cell>
          <cell r="CS204" t="e">
            <v>#N/A</v>
          </cell>
          <cell r="CT204" t="e">
            <v>#N/A</v>
          </cell>
          <cell r="CU204" t="e">
            <v>#N/A</v>
          </cell>
          <cell r="CV204" t="e">
            <v>#N/A</v>
          </cell>
          <cell r="CW204" t="e">
            <v>#N/A</v>
          </cell>
          <cell r="CX204" t="e">
            <v>#N/A</v>
          </cell>
          <cell r="CY204" t="e">
            <v>#N/A</v>
          </cell>
          <cell r="CZ204" t="e">
            <v>#N/A</v>
          </cell>
          <cell r="DA204" t="e">
            <v>#N/A</v>
          </cell>
          <cell r="DB204" t="e">
            <v>#N/A</v>
          </cell>
          <cell r="DC204" t="e">
            <v>#N/A</v>
          </cell>
          <cell r="DD204" t="e">
            <v>#N/A</v>
          </cell>
          <cell r="DE204" t="e">
            <v>#N/A</v>
          </cell>
          <cell r="DF204" t="e">
            <v>#N/A</v>
          </cell>
          <cell r="DG204" t="e">
            <v>#N/A</v>
          </cell>
          <cell r="DH204" t="e">
            <v>#N/A</v>
          </cell>
          <cell r="DI204" t="e">
            <v>#N/A</v>
          </cell>
          <cell r="DJ204" t="e">
            <v>#N/A</v>
          </cell>
          <cell r="DK204" t="e">
            <v>#N/A</v>
          </cell>
          <cell r="DL204" t="e">
            <v>#N/A</v>
          </cell>
          <cell r="DM204" t="e">
            <v>#N/A</v>
          </cell>
          <cell r="DN204" t="e">
            <v>#N/A</v>
          </cell>
          <cell r="DO204" t="e">
            <v>#N/A</v>
          </cell>
          <cell r="DP204" t="e">
            <v>#N/A</v>
          </cell>
          <cell r="DQ204" t="e">
            <v>#N/A</v>
          </cell>
          <cell r="DR204" t="e">
            <v>#N/A</v>
          </cell>
          <cell r="DS204" t="e">
            <v>#N/A</v>
          </cell>
          <cell r="DT204" t="e">
            <v>#N/A</v>
          </cell>
          <cell r="DU204" t="e">
            <v>#N/A</v>
          </cell>
          <cell r="DV204" t="e">
            <v>#N/A</v>
          </cell>
          <cell r="DW204" t="e">
            <v>#N/A</v>
          </cell>
          <cell r="DX204" t="e">
            <v>#N/A</v>
          </cell>
          <cell r="DY204" t="e">
            <v>#N/A</v>
          </cell>
          <cell r="DZ204" t="e">
            <v>#N/A</v>
          </cell>
          <cell r="EA204" t="e">
            <v>#N/A</v>
          </cell>
          <cell r="EB204" t="e">
            <v>#N/A</v>
          </cell>
          <cell r="EC204" t="e">
            <v>#N/A</v>
          </cell>
          <cell r="ED204" t="e">
            <v>#N/A</v>
          </cell>
          <cell r="EE204">
            <v>0</v>
          </cell>
        </row>
        <row r="206">
          <cell r="A206" t="str">
            <v>Coal Fuel Burn Expense</v>
          </cell>
        </row>
        <row r="207">
          <cell r="F207">
            <v>-3476.2811424629763</v>
          </cell>
          <cell r="G207">
            <v>-1799.0229588490911</v>
          </cell>
          <cell r="H207">
            <v>-901.88486063666642</v>
          </cell>
          <cell r="I207">
            <v>-419.36614114698023</v>
          </cell>
          <cell r="J207">
            <v>-207.20649887435138</v>
          </cell>
          <cell r="K207">
            <v>-105.04791626147926</v>
          </cell>
          <cell r="L207">
            <v>-1073.3874508403242</v>
          </cell>
          <cell r="M207">
            <v>-495.31433993810788</v>
          </cell>
          <cell r="N207">
            <v>-259.00812359200791</v>
          </cell>
          <cell r="O207">
            <v>-622.85778247192502</v>
          </cell>
          <cell r="P207">
            <v>-1665.4944680407643</v>
          </cell>
          <cell r="Q207">
            <v>-1907.5793516854756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</row>
        <row r="208">
          <cell r="F208">
            <v>0</v>
          </cell>
          <cell r="G208">
            <v>0</v>
          </cell>
          <cell r="H208">
            <v>-56.328388718422502</v>
          </cell>
          <cell r="I208">
            <v>-57.188541579758748</v>
          </cell>
          <cell r="J208">
            <v>-168.22962648048997</v>
          </cell>
          <cell r="K208">
            <v>-57.025809957413003</v>
          </cell>
          <cell r="L208">
            <v>0</v>
          </cell>
          <cell r="M208">
            <v>0</v>
          </cell>
          <cell r="N208">
            <v>0</v>
          </cell>
          <cell r="O208">
            <v>-56.154033408965915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</row>
        <row r="209">
          <cell r="F209">
            <v>-912.77175926603377</v>
          </cell>
          <cell r="G209">
            <v>-303.86709490697831</v>
          </cell>
          <cell r="H209">
            <v>0</v>
          </cell>
          <cell r="I209">
            <v>0</v>
          </cell>
          <cell r="J209">
            <v>-199.43695926759392</v>
          </cell>
          <cell r="K209">
            <v>0</v>
          </cell>
          <cell r="L209">
            <v>-178.74534994550049</v>
          </cell>
          <cell r="M209">
            <v>-112.08781655877829</v>
          </cell>
          <cell r="N209">
            <v>0</v>
          </cell>
          <cell r="O209">
            <v>-152.3600763133727</v>
          </cell>
          <cell r="P209">
            <v>-433.96831632126123</v>
          </cell>
          <cell r="Q209">
            <v>-1017.1622178019024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</row>
        <row r="210">
          <cell r="F210">
            <v>0</v>
          </cell>
          <cell r="G210">
            <v>0</v>
          </cell>
          <cell r="H210">
            <v>-358.81024959590286</v>
          </cell>
          <cell r="I210">
            <v>-443.54072710685432</v>
          </cell>
          <cell r="J210">
            <v>-939.2729679485783</v>
          </cell>
          <cell r="K210">
            <v>-471.26138182077557</v>
          </cell>
          <cell r="L210">
            <v>0</v>
          </cell>
          <cell r="M210">
            <v>0</v>
          </cell>
          <cell r="N210">
            <v>-63.560672786086798</v>
          </cell>
          <cell r="O210">
            <v>-55.461812866851687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</row>
        <row r="211">
          <cell r="F211">
            <v>-1150.3601856083842</v>
          </cell>
          <cell r="G211">
            <v>-386.94133359612897</v>
          </cell>
          <cell r="H211">
            <v>-173.26846900378587</v>
          </cell>
          <cell r="I211">
            <v>-111.91446025087498</v>
          </cell>
          <cell r="J211">
            <v>-113.25541135575622</v>
          </cell>
          <cell r="K211">
            <v>0</v>
          </cell>
          <cell r="L211">
            <v>-440.13972169405315</v>
          </cell>
          <cell r="M211">
            <v>-17.542278389330022</v>
          </cell>
          <cell r="N211">
            <v>-204.83577698236331</v>
          </cell>
          <cell r="O211">
            <v>-135.19425074500032</v>
          </cell>
          <cell r="P211">
            <v>-258.16606191068422</v>
          </cell>
          <cell r="Q211">
            <v>-796.92064683139324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</row>
        <row r="212">
          <cell r="F212">
            <v>-25567.192763062194</v>
          </cell>
          <cell r="G212">
            <v>-19499.232054330409</v>
          </cell>
          <cell r="H212">
            <v>-14414.340595466085</v>
          </cell>
          <cell r="I212">
            <v>-6304.5473031010479</v>
          </cell>
          <cell r="J212">
            <v>-8138.5618134541437</v>
          </cell>
          <cell r="K212">
            <v>-8130.4030676847324</v>
          </cell>
          <cell r="L212">
            <v>-16020.267914654687</v>
          </cell>
          <cell r="M212">
            <v>-14166.750765677541</v>
          </cell>
          <cell r="N212">
            <v>-17566.682378502563</v>
          </cell>
          <cell r="O212">
            <v>-9294.8383403643966</v>
          </cell>
          <cell r="P212">
            <v>-11058.098299741745</v>
          </cell>
          <cell r="Q212">
            <v>-21047.009147951379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</row>
        <row r="213">
          <cell r="F213">
            <v>-130.17070212587714</v>
          </cell>
          <cell r="G213">
            <v>-914.84456073865294</v>
          </cell>
          <cell r="H213">
            <v>-2034.677563611418</v>
          </cell>
          <cell r="I213">
            <v>-3033.2206692658365</v>
          </cell>
          <cell r="J213">
            <v>-4467.653144756332</v>
          </cell>
          <cell r="K213">
            <v>-7021.1886939462274</v>
          </cell>
          <cell r="L213">
            <v>-1248.9088112413883</v>
          </cell>
          <cell r="M213">
            <v>-177.25113364309072</v>
          </cell>
          <cell r="N213">
            <v>-490.75571250170469</v>
          </cell>
          <cell r="O213">
            <v>-3106.0919314865023</v>
          </cell>
          <cell r="P213">
            <v>-2808.2808298002928</v>
          </cell>
          <cell r="Q213">
            <v>-1691.1242338865995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</row>
        <row r="214">
          <cell r="F214">
            <v>-9736.2466867789626</v>
          </cell>
          <cell r="G214">
            <v>-11090.526627678424</v>
          </cell>
          <cell r="H214">
            <v>-22821.301042348146</v>
          </cell>
          <cell r="I214">
            <v>-9089.1687545701861</v>
          </cell>
          <cell r="J214">
            <v>-5505.3790254704654</v>
          </cell>
          <cell r="K214">
            <v>-10362.865514261648</v>
          </cell>
          <cell r="L214">
            <v>-16440.911486171186</v>
          </cell>
          <cell r="M214">
            <v>-22074.371399980038</v>
          </cell>
          <cell r="N214">
            <v>-19876.819171983749</v>
          </cell>
          <cell r="O214">
            <v>-15185.104694005102</v>
          </cell>
          <cell r="P214">
            <v>-17490.65467691794</v>
          </cell>
          <cell r="Q214">
            <v>-19273.541895821691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</row>
        <row r="215">
          <cell r="F215">
            <v>0</v>
          </cell>
          <cell r="G215">
            <v>-464.55536146834493</v>
          </cell>
          <cell r="H215">
            <v>-504.8100983183831</v>
          </cell>
          <cell r="I215">
            <v>-980.57847840897739</v>
          </cell>
          <cell r="J215">
            <v>-1209.8847092082724</v>
          </cell>
          <cell r="K215">
            <v>-1227.9376691877842</v>
          </cell>
          <cell r="L215">
            <v>-109.43906174041331</v>
          </cell>
          <cell r="M215">
            <v>-56.850004408508539</v>
          </cell>
          <cell r="N215">
            <v>-64.811247630044818</v>
          </cell>
          <cell r="O215">
            <v>-656.97076100576669</v>
          </cell>
          <cell r="P215">
            <v>-119.19438794162124</v>
          </cell>
          <cell r="Q215">
            <v>-288.17457856051624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</row>
        <row r="218">
          <cell r="A218" t="str">
            <v>Total Coal Fuel Burn Expense</v>
          </cell>
          <cell r="F218">
            <v>-40973.023239299655</v>
          </cell>
          <cell r="G218">
            <v>-34458.989991568029</v>
          </cell>
          <cell r="H218">
            <v>-41265.421267695725</v>
          </cell>
          <cell r="I218">
            <v>-20439.525075435638</v>
          </cell>
          <cell r="J218">
            <v>-20948.880156822503</v>
          </cell>
          <cell r="K218">
            <v>-27375.730053119361</v>
          </cell>
          <cell r="L218">
            <v>-35511.799796275795</v>
          </cell>
          <cell r="M218">
            <v>-37100.167738579214</v>
          </cell>
          <cell r="N218">
            <v>-38526.473083980381</v>
          </cell>
          <cell r="O218">
            <v>-29265.03368267417</v>
          </cell>
          <cell r="P218">
            <v>-33833.857040673494</v>
          </cell>
          <cell r="Q218">
            <v>-46021.512072533369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</row>
        <row r="220">
          <cell r="A220" t="str">
            <v>Gas Fuel Burn Expense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-795.26739999977872</v>
          </cell>
          <cell r="J221">
            <v>0</v>
          </cell>
          <cell r="K221">
            <v>0</v>
          </cell>
          <cell r="L221">
            <v>-569.28519417904317</v>
          </cell>
          <cell r="M221">
            <v>-1292.6601508874446</v>
          </cell>
          <cell r="N221">
            <v>-2685.1781973866746</v>
          </cell>
          <cell r="O221">
            <v>-3789.5028999997303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</row>
        <row r="223">
          <cell r="F223">
            <v>-4578.9667098699138</v>
          </cell>
          <cell r="G223">
            <v>-3371.280998817645</v>
          </cell>
          <cell r="H223">
            <v>-1835.8119369801134</v>
          </cell>
          <cell r="I223">
            <v>0</v>
          </cell>
          <cell r="J223">
            <v>-1337.8016715822741</v>
          </cell>
          <cell r="K223">
            <v>-2667.4002725593746</v>
          </cell>
          <cell r="L223">
            <v>-1134.6392951523885</v>
          </cell>
          <cell r="M223">
            <v>-766.0962796388194</v>
          </cell>
          <cell r="N223">
            <v>-556.5368563272059</v>
          </cell>
          <cell r="O223">
            <v>-4991.5758583433926</v>
          </cell>
          <cell r="P223">
            <v>0</v>
          </cell>
          <cell r="Q223">
            <v>-5294.2423773482442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</row>
        <row r="224">
          <cell r="F224">
            <v>-0.39149039785115747</v>
          </cell>
          <cell r="G224">
            <v>1.5407841083069798</v>
          </cell>
          <cell r="H224">
            <v>11.124772711948026</v>
          </cell>
          <cell r="I224">
            <v>3.7740985834680032</v>
          </cell>
          <cell r="J224">
            <v>10.997907488781493</v>
          </cell>
          <cell r="K224">
            <v>10.573643258132506</v>
          </cell>
          <cell r="L224">
            <v>8.7789201496634632</v>
          </cell>
          <cell r="M224">
            <v>11.114336675731465</v>
          </cell>
          <cell r="N224">
            <v>16.589708282845095</v>
          </cell>
          <cell r="O224">
            <v>8.9824338578910101</v>
          </cell>
          <cell r="P224">
            <v>12.191774953855202</v>
          </cell>
          <cell r="Q224">
            <v>0.47052131417149212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</row>
        <row r="225">
          <cell r="F225">
            <v>1594.8850887729786</v>
          </cell>
          <cell r="G225">
            <v>-9.2353464908082969</v>
          </cell>
          <cell r="H225">
            <v>-3.5281719838967547</v>
          </cell>
          <cell r="I225">
            <v>-33.462563702836633</v>
          </cell>
          <cell r="J225">
            <v>-492.86893465509638</v>
          </cell>
          <cell r="K225">
            <v>-2.8943719890667126</v>
          </cell>
          <cell r="L225">
            <v>-338.15414532122668</v>
          </cell>
          <cell r="M225">
            <v>-1057.257640906726</v>
          </cell>
          <cell r="N225">
            <v>-233.39735607628245</v>
          </cell>
          <cell r="O225">
            <v>-3.9116975440410897</v>
          </cell>
          <cell r="P225">
            <v>-87.066217772138771</v>
          </cell>
          <cell r="Q225">
            <v>4.880833295697812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</row>
        <row r="226">
          <cell r="F226">
            <v>-211.4906000001356</v>
          </cell>
          <cell r="G226">
            <v>-853.95619999989867</v>
          </cell>
          <cell r="H226">
            <v>-384.2386000007391</v>
          </cell>
          <cell r="I226">
            <v>0</v>
          </cell>
          <cell r="J226">
            <v>0</v>
          </cell>
          <cell r="K226">
            <v>0</v>
          </cell>
          <cell r="L226">
            <v>-3.9949058212805539</v>
          </cell>
          <cell r="M226">
            <v>-7.2304491121321917</v>
          </cell>
          <cell r="N226">
            <v>-15.254602613393217</v>
          </cell>
          <cell r="O226">
            <v>0</v>
          </cell>
          <cell r="P226">
            <v>-226.88980000000447</v>
          </cell>
          <cell r="Q226">
            <v>-844.2754000001587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</row>
        <row r="227">
          <cell r="F227">
            <v>-6619.0766309965402</v>
          </cell>
          <cell r="G227">
            <v>-3967.4305526562966</v>
          </cell>
          <cell r="H227">
            <v>-195.89439856354147</v>
          </cell>
          <cell r="I227">
            <v>-569.10002862755209</v>
          </cell>
          <cell r="J227">
            <v>-1897.3673827419989</v>
          </cell>
          <cell r="K227">
            <v>-2332.1713697118685</v>
          </cell>
          <cell r="L227">
            <v>-473.61502933502197</v>
          </cell>
          <cell r="M227">
            <v>-601.49236987624317</v>
          </cell>
          <cell r="N227">
            <v>-331.79957132786512</v>
          </cell>
          <cell r="O227">
            <v>-2472.8016140097752</v>
          </cell>
          <cell r="P227">
            <v>-3098.705235812813</v>
          </cell>
          <cell r="Q227">
            <v>-3161.0540606603026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</row>
        <row r="228">
          <cell r="F228">
            <v>-1449.4131375085562</v>
          </cell>
          <cell r="G228">
            <v>-899.69504614360631</v>
          </cell>
          <cell r="H228">
            <v>-2444.6714451825246</v>
          </cell>
          <cell r="I228">
            <v>-1219.2326662535779</v>
          </cell>
          <cell r="J228">
            <v>-1275.678728508763</v>
          </cell>
          <cell r="K228">
            <v>-2819.6725089969113</v>
          </cell>
          <cell r="L228">
            <v>-1576.1314403424039</v>
          </cell>
          <cell r="M228">
            <v>-2149.9111762540415</v>
          </cell>
          <cell r="N228">
            <v>-4843.8575445516035</v>
          </cell>
          <cell r="O228">
            <v>-3181.5148339606822</v>
          </cell>
          <cell r="P228">
            <v>-3938.4364013681188</v>
          </cell>
          <cell r="Q228">
            <v>4482.2557433992624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</row>
        <row r="230">
          <cell r="F230">
            <v>-11264.453480001539</v>
          </cell>
          <cell r="G230">
            <v>-9100.0573600009084</v>
          </cell>
          <cell r="H230">
            <v>-4853.0197799988091</v>
          </cell>
          <cell r="I230">
            <v>-2613.2885600011796</v>
          </cell>
          <cell r="J230">
            <v>-4992.7188099976629</v>
          </cell>
          <cell r="K230">
            <v>-7811.5648799985647</v>
          </cell>
          <cell r="L230">
            <v>-4087.0410900004208</v>
          </cell>
          <cell r="M230">
            <v>-5863.5337300002575</v>
          </cell>
          <cell r="N230">
            <v>-8649.4344199970365</v>
          </cell>
          <cell r="O230">
            <v>-14430.324469998479</v>
          </cell>
          <cell r="P230">
            <v>-7338.9058799985796</v>
          </cell>
          <cell r="Q230">
            <v>-4811.9647400006652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</row>
        <row r="236">
          <cell r="A236" t="str">
            <v>Total Gas Fuel Burn Expense</v>
          </cell>
          <cell r="F236">
            <v>-11264.453479997814</v>
          </cell>
          <cell r="G236">
            <v>-9100.0573600009084</v>
          </cell>
          <cell r="H236">
            <v>-4853.0197799950838</v>
          </cell>
          <cell r="I236">
            <v>-2613.2885600011796</v>
          </cell>
          <cell r="J236">
            <v>-4992.7188099976629</v>
          </cell>
          <cell r="K236">
            <v>-7811.5648799985647</v>
          </cell>
          <cell r="L236">
            <v>-4087.0410900041461</v>
          </cell>
          <cell r="M236">
            <v>-5863.5337300002575</v>
          </cell>
          <cell r="N236">
            <v>-8649.4344199970365</v>
          </cell>
          <cell r="O236">
            <v>-14430.324469998479</v>
          </cell>
          <cell r="P236">
            <v>-7338.9058799985796</v>
          </cell>
          <cell r="Q236">
            <v>-4811.9647400006652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</row>
        <row r="238">
          <cell r="A238" t="str">
            <v>Other Generation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</row>
        <row r="243">
          <cell r="A243" t="str">
            <v>Total Other Generation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</row>
        <row r="245">
          <cell r="A245" t="str">
            <v>IRP Resources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</row>
        <row r="270">
          <cell r="A270" t="str">
            <v>Total IRP Resources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</row>
        <row r="272">
          <cell r="A272" t="str">
            <v>Growth Station Resources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-70.200659999999971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</row>
        <row r="281">
          <cell r="A281" t="str">
            <v>Total Growth Station Resources</v>
          </cell>
          <cell r="F281">
            <v>0</v>
          </cell>
          <cell r="G281">
            <v>0</v>
          </cell>
          <cell r="H281">
            <v>0</v>
          </cell>
          <cell r="I281">
            <v>-70.200659999987693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</row>
        <row r="282">
          <cell r="F282" t="str">
            <v>=</v>
          </cell>
          <cell r="G282" t="str">
            <v>=</v>
          </cell>
          <cell r="H282" t="str">
            <v>=</v>
          </cell>
          <cell r="I282" t="str">
            <v>=</v>
          </cell>
          <cell r="J282" t="str">
            <v>=</v>
          </cell>
          <cell r="K282" t="str">
            <v>=</v>
          </cell>
          <cell r="L282" t="str">
            <v>=</v>
          </cell>
          <cell r="M282" t="str">
            <v>=</v>
          </cell>
          <cell r="N282" t="str">
            <v>=</v>
          </cell>
          <cell r="O282" t="str">
            <v>=</v>
          </cell>
          <cell r="P282" t="str">
            <v>=</v>
          </cell>
          <cell r="Q282" t="str">
            <v>=</v>
          </cell>
          <cell r="R282" t="str">
            <v>=</v>
          </cell>
          <cell r="S282" t="str">
            <v>=</v>
          </cell>
          <cell r="T282" t="str">
            <v>=</v>
          </cell>
          <cell r="U282" t="str">
            <v>=</v>
          </cell>
          <cell r="V282" t="str">
            <v>=</v>
          </cell>
          <cell r="W282" t="str">
            <v>=</v>
          </cell>
          <cell r="X282" t="str">
            <v>=</v>
          </cell>
          <cell r="Y282" t="str">
            <v>=</v>
          </cell>
          <cell r="Z282" t="str">
            <v>=</v>
          </cell>
          <cell r="AA282" t="str">
            <v>=</v>
          </cell>
          <cell r="AB282" t="str">
            <v>=</v>
          </cell>
          <cell r="AC282" t="str">
            <v>=</v>
          </cell>
          <cell r="AD282" t="str">
            <v>=</v>
          </cell>
          <cell r="AE282" t="str">
            <v>=</v>
          </cell>
          <cell r="AF282" t="str">
            <v>=</v>
          </cell>
          <cell r="AG282" t="str">
            <v>=</v>
          </cell>
          <cell r="AH282" t="str">
            <v>=</v>
          </cell>
          <cell r="AI282" t="str">
            <v>=</v>
          </cell>
          <cell r="AJ282" t="str">
            <v>=</v>
          </cell>
          <cell r="AK282" t="str">
            <v>=</v>
          </cell>
          <cell r="AL282" t="str">
            <v>=</v>
          </cell>
          <cell r="AM282" t="str">
            <v>=</v>
          </cell>
          <cell r="AN282" t="str">
            <v>=</v>
          </cell>
          <cell r="AO282" t="str">
            <v>=</v>
          </cell>
          <cell r="AP282" t="str">
            <v>=</v>
          </cell>
          <cell r="AQ282" t="str">
            <v>=</v>
          </cell>
          <cell r="AR282" t="str">
            <v>=</v>
          </cell>
          <cell r="AS282" t="str">
            <v>=</v>
          </cell>
          <cell r="AT282" t="str">
            <v>=</v>
          </cell>
          <cell r="AU282" t="str">
            <v>=</v>
          </cell>
          <cell r="AV282" t="str">
            <v>=</v>
          </cell>
          <cell r="AW282" t="str">
            <v>=</v>
          </cell>
          <cell r="AX282" t="str">
            <v>=</v>
          </cell>
          <cell r="AY282" t="str">
            <v>=</v>
          </cell>
          <cell r="AZ282" t="str">
            <v>=</v>
          </cell>
          <cell r="BA282" t="str">
            <v>=</v>
          </cell>
          <cell r="BB282" t="str">
            <v>=</v>
          </cell>
          <cell r="BC282" t="str">
            <v>=</v>
          </cell>
          <cell r="BD282" t="str">
            <v>=</v>
          </cell>
          <cell r="BE282" t="str">
            <v>=</v>
          </cell>
          <cell r="BF282" t="str">
            <v>=</v>
          </cell>
          <cell r="BG282" t="str">
            <v>=</v>
          </cell>
          <cell r="BH282" t="str">
            <v>=</v>
          </cell>
          <cell r="BI282" t="str">
            <v>=</v>
          </cell>
          <cell r="BJ282" t="str">
            <v>=</v>
          </cell>
          <cell r="BK282" t="str">
            <v>=</v>
          </cell>
          <cell r="BL282" t="str">
            <v>=</v>
          </cell>
          <cell r="BM282" t="str">
            <v>=</v>
          </cell>
          <cell r="BN282" t="str">
            <v>=</v>
          </cell>
          <cell r="BO282" t="str">
            <v>=</v>
          </cell>
          <cell r="BP282" t="str">
            <v>=</v>
          </cell>
          <cell r="BQ282" t="str">
            <v>=</v>
          </cell>
          <cell r="BR282" t="str">
            <v>=</v>
          </cell>
          <cell r="BS282" t="str">
            <v>=</v>
          </cell>
          <cell r="BT282" t="str">
            <v>=</v>
          </cell>
          <cell r="BU282" t="str">
            <v>=</v>
          </cell>
          <cell r="BV282" t="str">
            <v>=</v>
          </cell>
          <cell r="BW282" t="str">
            <v>=</v>
          </cell>
          <cell r="BX282" t="str">
            <v>=</v>
          </cell>
          <cell r="BY282" t="str">
            <v>=</v>
          </cell>
          <cell r="BZ282" t="str">
            <v>=</v>
          </cell>
          <cell r="CA282" t="str">
            <v>=</v>
          </cell>
          <cell r="CB282" t="str">
            <v>=</v>
          </cell>
          <cell r="CC282" t="str">
            <v>=</v>
          </cell>
          <cell r="CD282" t="str">
            <v>=</v>
          </cell>
          <cell r="CE282" t="str">
            <v>=</v>
          </cell>
          <cell r="CF282" t="str">
            <v>=</v>
          </cell>
          <cell r="CG282" t="str">
            <v>=</v>
          </cell>
          <cell r="CH282" t="str">
            <v>=</v>
          </cell>
          <cell r="CI282" t="str">
            <v>=</v>
          </cell>
          <cell r="CJ282" t="str">
            <v>=</v>
          </cell>
          <cell r="CK282" t="str">
            <v>=</v>
          </cell>
          <cell r="CL282" t="str">
            <v>=</v>
          </cell>
          <cell r="CM282" t="str">
            <v>=</v>
          </cell>
          <cell r="CN282" t="str">
            <v>=</v>
          </cell>
          <cell r="CO282" t="str">
            <v>=</v>
          </cell>
          <cell r="CP282" t="str">
            <v>=</v>
          </cell>
          <cell r="CQ282" t="str">
            <v>=</v>
          </cell>
          <cell r="CR282" t="str">
            <v>=</v>
          </cell>
          <cell r="CS282" t="str">
            <v>=</v>
          </cell>
          <cell r="CT282" t="str">
            <v>=</v>
          </cell>
          <cell r="CU282" t="str">
            <v>=</v>
          </cell>
          <cell r="CV282" t="str">
            <v>=</v>
          </cell>
          <cell r="CW282" t="str">
            <v>=</v>
          </cell>
          <cell r="CX282" t="str">
            <v>=</v>
          </cell>
          <cell r="CY282" t="str">
            <v>=</v>
          </cell>
          <cell r="CZ282" t="str">
            <v>=</v>
          </cell>
          <cell r="DA282" t="str">
            <v>=</v>
          </cell>
          <cell r="DB282" t="str">
            <v>=</v>
          </cell>
          <cell r="DC282" t="str">
            <v>=</v>
          </cell>
          <cell r="DD282" t="str">
            <v>=</v>
          </cell>
          <cell r="DE282" t="str">
            <v>=</v>
          </cell>
          <cell r="DF282" t="str">
            <v>=</v>
          </cell>
          <cell r="DG282" t="str">
            <v>=</v>
          </cell>
          <cell r="DH282" t="str">
            <v>=</v>
          </cell>
          <cell r="DI282" t="str">
            <v>=</v>
          </cell>
          <cell r="DJ282" t="str">
            <v>=</v>
          </cell>
          <cell r="DK282" t="str">
            <v>=</v>
          </cell>
          <cell r="DL282" t="str">
            <v>=</v>
          </cell>
          <cell r="DM282" t="str">
            <v>=</v>
          </cell>
          <cell r="DN282" t="str">
            <v>=</v>
          </cell>
          <cell r="DO282" t="str">
            <v>=</v>
          </cell>
          <cell r="DP282" t="str">
            <v>=</v>
          </cell>
          <cell r="DQ282" t="str">
            <v>=</v>
          </cell>
          <cell r="DR282" t="str">
            <v>=</v>
          </cell>
          <cell r="DS282" t="str">
            <v>=</v>
          </cell>
          <cell r="DT282" t="str">
            <v>=</v>
          </cell>
          <cell r="DU282" t="str">
            <v>=</v>
          </cell>
          <cell r="DV282" t="str">
            <v>=</v>
          </cell>
          <cell r="DW282" t="str">
            <v>=</v>
          </cell>
          <cell r="DX282" t="str">
            <v>=</v>
          </cell>
          <cell r="DY282" t="str">
            <v>=</v>
          </cell>
          <cell r="DZ282" t="str">
            <v>=</v>
          </cell>
          <cell r="EA282" t="str">
            <v>=</v>
          </cell>
          <cell r="EB282" t="str">
            <v>=</v>
          </cell>
          <cell r="EC282" t="str">
            <v>=</v>
          </cell>
          <cell r="ED282" t="str">
            <v>=</v>
          </cell>
        </row>
        <row r="283">
          <cell r="A283" t="str">
            <v>Net Power Cost</v>
          </cell>
          <cell r="F283">
            <v>-75793.645719319582</v>
          </cell>
          <cell r="G283">
            <v>-75676.644351571798</v>
          </cell>
          <cell r="H283">
            <v>-68001.017447680235</v>
          </cell>
          <cell r="I283">
            <v>-63612.879795446992</v>
          </cell>
          <cell r="J283">
            <v>-61748.44690681994</v>
          </cell>
          <cell r="K283">
            <v>-63317.073433145881</v>
          </cell>
          <cell r="L283">
            <v>-123819.40338626504</v>
          </cell>
          <cell r="M283">
            <v>-122991.51546859741</v>
          </cell>
          <cell r="N283">
            <v>-84635.196303963661</v>
          </cell>
          <cell r="O283">
            <v>-64263.824452698231</v>
          </cell>
          <cell r="P283">
            <v>-66748.589920654893</v>
          </cell>
          <cell r="Q283">
            <v>-68445.054812505841</v>
          </cell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 t="e">
            <v>#N/A</v>
          </cell>
          <cell r="W283" t="e">
            <v>#N/A</v>
          </cell>
          <cell r="X283" t="e">
            <v>#N/A</v>
          </cell>
          <cell r="Y283" t="e">
            <v>#N/A</v>
          </cell>
          <cell r="Z283" t="e">
            <v>#N/A</v>
          </cell>
          <cell r="AA283" t="e">
            <v>#N/A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 t="e">
            <v>#N/A</v>
          </cell>
          <cell r="AH283" t="e">
            <v>#N/A</v>
          </cell>
          <cell r="AI283" t="e">
            <v>#N/A</v>
          </cell>
          <cell r="AJ283" t="e">
            <v>#N/A</v>
          </cell>
          <cell r="AK283" t="e">
            <v>#N/A</v>
          </cell>
          <cell r="AL283" t="e">
            <v>#N/A</v>
          </cell>
          <cell r="AM283" t="e">
            <v>#N/A</v>
          </cell>
          <cell r="AN283" t="e">
            <v>#N/A</v>
          </cell>
          <cell r="AO283" t="e">
            <v>#N/A</v>
          </cell>
          <cell r="AP283" t="e">
            <v>#N/A</v>
          </cell>
          <cell r="AQ283" t="e">
            <v>#N/A</v>
          </cell>
          <cell r="AR283" t="e">
            <v>#N/A</v>
          </cell>
          <cell r="AS283" t="e">
            <v>#N/A</v>
          </cell>
          <cell r="AT283" t="e">
            <v>#N/A</v>
          </cell>
          <cell r="AU283" t="e">
            <v>#N/A</v>
          </cell>
          <cell r="AV283" t="e">
            <v>#N/A</v>
          </cell>
          <cell r="AW283" t="e">
            <v>#N/A</v>
          </cell>
          <cell r="AX283" t="e">
            <v>#N/A</v>
          </cell>
          <cell r="AY283" t="e">
            <v>#N/A</v>
          </cell>
          <cell r="AZ283" t="e">
            <v>#N/A</v>
          </cell>
          <cell r="BA283" t="e">
            <v>#N/A</v>
          </cell>
          <cell r="BB283" t="e">
            <v>#N/A</v>
          </cell>
          <cell r="BC283" t="e">
            <v>#N/A</v>
          </cell>
          <cell r="BD283" t="e">
            <v>#N/A</v>
          </cell>
          <cell r="BE283" t="e">
            <v>#N/A</v>
          </cell>
          <cell r="BF283" t="e">
            <v>#N/A</v>
          </cell>
          <cell r="BG283" t="e">
            <v>#N/A</v>
          </cell>
          <cell r="BH283" t="e">
            <v>#N/A</v>
          </cell>
          <cell r="BI283" t="e">
            <v>#N/A</v>
          </cell>
          <cell r="BJ283" t="e">
            <v>#N/A</v>
          </cell>
          <cell r="BK283" t="e">
            <v>#N/A</v>
          </cell>
          <cell r="BL283" t="e">
            <v>#N/A</v>
          </cell>
          <cell r="BM283" t="e">
            <v>#N/A</v>
          </cell>
          <cell r="BN283" t="e">
            <v>#N/A</v>
          </cell>
          <cell r="BO283" t="e">
            <v>#N/A</v>
          </cell>
          <cell r="BP283" t="e">
            <v>#N/A</v>
          </cell>
          <cell r="BQ283" t="e">
            <v>#N/A</v>
          </cell>
          <cell r="BR283" t="e">
            <v>#N/A</v>
          </cell>
          <cell r="BS283" t="e">
            <v>#N/A</v>
          </cell>
          <cell r="BT283" t="e">
            <v>#N/A</v>
          </cell>
          <cell r="BU283" t="e">
            <v>#N/A</v>
          </cell>
          <cell r="BV283" t="e">
            <v>#N/A</v>
          </cell>
          <cell r="BW283" t="e">
            <v>#N/A</v>
          </cell>
          <cell r="BX283" t="e">
            <v>#N/A</v>
          </cell>
          <cell r="BY283" t="e">
            <v>#N/A</v>
          </cell>
          <cell r="BZ283" t="e">
            <v>#N/A</v>
          </cell>
          <cell r="CA283" t="e">
            <v>#N/A</v>
          </cell>
          <cell r="CB283" t="e">
            <v>#N/A</v>
          </cell>
          <cell r="CC283" t="e">
            <v>#N/A</v>
          </cell>
          <cell r="CD283" t="e">
            <v>#N/A</v>
          </cell>
          <cell r="CE283" t="e">
            <v>#N/A</v>
          </cell>
          <cell r="CF283" t="e">
            <v>#N/A</v>
          </cell>
          <cell r="CG283" t="e">
            <v>#N/A</v>
          </cell>
          <cell r="CH283" t="e">
            <v>#N/A</v>
          </cell>
          <cell r="CI283" t="e">
            <v>#N/A</v>
          </cell>
          <cell r="CJ283" t="e">
            <v>#N/A</v>
          </cell>
          <cell r="CK283" t="e">
            <v>#N/A</v>
          </cell>
          <cell r="CL283" t="e">
            <v>#N/A</v>
          </cell>
          <cell r="CM283" t="e">
            <v>#N/A</v>
          </cell>
          <cell r="CN283" t="e">
            <v>#N/A</v>
          </cell>
          <cell r="CO283" t="e">
            <v>#N/A</v>
          </cell>
          <cell r="CP283" t="e">
            <v>#N/A</v>
          </cell>
          <cell r="CQ283" t="e">
            <v>#N/A</v>
          </cell>
          <cell r="CR283" t="e">
            <v>#N/A</v>
          </cell>
          <cell r="CS283" t="e">
            <v>#N/A</v>
          </cell>
          <cell r="CT283" t="e">
            <v>#N/A</v>
          </cell>
          <cell r="CU283" t="e">
            <v>#N/A</v>
          </cell>
          <cell r="CV283" t="e">
            <v>#N/A</v>
          </cell>
          <cell r="CW283" t="e">
            <v>#N/A</v>
          </cell>
          <cell r="CX283" t="e">
            <v>#N/A</v>
          </cell>
          <cell r="CY283" t="e">
            <v>#N/A</v>
          </cell>
          <cell r="CZ283" t="e">
            <v>#N/A</v>
          </cell>
          <cell r="DA283" t="e">
            <v>#N/A</v>
          </cell>
          <cell r="DB283" t="e">
            <v>#N/A</v>
          </cell>
          <cell r="DC283" t="e">
            <v>#N/A</v>
          </cell>
          <cell r="DD283" t="e">
            <v>#N/A</v>
          </cell>
          <cell r="DE283" t="e">
            <v>#N/A</v>
          </cell>
          <cell r="DF283" t="e">
            <v>#N/A</v>
          </cell>
          <cell r="DG283" t="e">
            <v>#N/A</v>
          </cell>
          <cell r="DH283" t="e">
            <v>#N/A</v>
          </cell>
          <cell r="DI283" t="e">
            <v>#N/A</v>
          </cell>
          <cell r="DJ283" t="e">
            <v>#N/A</v>
          </cell>
          <cell r="DK283" t="e">
            <v>#N/A</v>
          </cell>
          <cell r="DL283" t="e">
            <v>#N/A</v>
          </cell>
          <cell r="DM283" t="e">
            <v>#N/A</v>
          </cell>
          <cell r="DN283" t="e">
            <v>#N/A</v>
          </cell>
          <cell r="DO283" t="e">
            <v>#N/A</v>
          </cell>
          <cell r="DP283" t="e">
            <v>#N/A</v>
          </cell>
          <cell r="DQ283" t="e">
            <v>#N/A</v>
          </cell>
          <cell r="DR283" t="e">
            <v>#N/A</v>
          </cell>
          <cell r="DS283" t="e">
            <v>#N/A</v>
          </cell>
          <cell r="DT283" t="e">
            <v>#N/A</v>
          </cell>
          <cell r="DU283" t="e">
            <v>#N/A</v>
          </cell>
          <cell r="DV283" t="e">
            <v>#N/A</v>
          </cell>
          <cell r="DW283" t="e">
            <v>#N/A</v>
          </cell>
          <cell r="DX283" t="e">
            <v>#N/A</v>
          </cell>
          <cell r="DY283" t="e">
            <v>#N/A</v>
          </cell>
          <cell r="DZ283" t="e">
            <v>#N/A</v>
          </cell>
          <cell r="EA283" t="e">
            <v>#N/A</v>
          </cell>
          <cell r="EB283" t="e">
            <v>#N/A</v>
          </cell>
          <cell r="EC283" t="e">
            <v>#N/A</v>
          </cell>
          <cell r="ED283" t="e">
            <v>#N/A</v>
          </cell>
        </row>
        <row r="284">
          <cell r="F284" t="str">
            <v>=</v>
          </cell>
          <cell r="G284" t="str">
            <v>=</v>
          </cell>
          <cell r="H284" t="str">
            <v>=</v>
          </cell>
          <cell r="I284" t="str">
            <v>=</v>
          </cell>
          <cell r="J284" t="str">
            <v>=</v>
          </cell>
          <cell r="K284" t="str">
            <v>=</v>
          </cell>
          <cell r="L284" t="str">
            <v>=</v>
          </cell>
          <cell r="M284" t="str">
            <v>=</v>
          </cell>
          <cell r="N284" t="str">
            <v>=</v>
          </cell>
          <cell r="O284" t="str">
            <v>=</v>
          </cell>
          <cell r="P284" t="str">
            <v>=</v>
          </cell>
          <cell r="Q284" t="str">
            <v>=</v>
          </cell>
          <cell r="R284" t="str">
            <v>=</v>
          </cell>
          <cell r="S284" t="str">
            <v>=</v>
          </cell>
          <cell r="T284" t="str">
            <v>=</v>
          </cell>
          <cell r="U284" t="str">
            <v>=</v>
          </cell>
          <cell r="V284" t="str">
            <v>=</v>
          </cell>
          <cell r="W284" t="str">
            <v>=</v>
          </cell>
          <cell r="X284" t="str">
            <v>=</v>
          </cell>
          <cell r="Y284" t="str">
            <v>=</v>
          </cell>
          <cell r="Z284" t="str">
            <v>=</v>
          </cell>
          <cell r="AA284" t="str">
            <v>=</v>
          </cell>
          <cell r="AB284" t="str">
            <v>=</v>
          </cell>
          <cell r="AC284" t="str">
            <v>=</v>
          </cell>
          <cell r="AD284" t="str">
            <v>=</v>
          </cell>
          <cell r="AE284" t="str">
            <v>=</v>
          </cell>
          <cell r="AF284" t="str">
            <v>=</v>
          </cell>
          <cell r="AG284" t="str">
            <v>=</v>
          </cell>
          <cell r="AH284" t="str">
            <v>=</v>
          </cell>
          <cell r="AI284" t="str">
            <v>=</v>
          </cell>
          <cell r="AJ284" t="str">
            <v>=</v>
          </cell>
          <cell r="AK284" t="str">
            <v>=</v>
          </cell>
          <cell r="AL284" t="str">
            <v>=</v>
          </cell>
          <cell r="AM284" t="str">
            <v>=</v>
          </cell>
          <cell r="AN284" t="str">
            <v>=</v>
          </cell>
          <cell r="AO284" t="str">
            <v>=</v>
          </cell>
          <cell r="AP284" t="str">
            <v>=</v>
          </cell>
          <cell r="AQ284" t="str">
            <v>=</v>
          </cell>
          <cell r="AR284" t="str">
            <v>=</v>
          </cell>
          <cell r="AS284" t="str">
            <v>=</v>
          </cell>
          <cell r="AT284" t="str">
            <v>=</v>
          </cell>
          <cell r="AU284" t="str">
            <v>=</v>
          </cell>
          <cell r="AV284" t="str">
            <v>=</v>
          </cell>
          <cell r="AW284" t="str">
            <v>=</v>
          </cell>
          <cell r="AX284" t="str">
            <v>=</v>
          </cell>
          <cell r="AY284" t="str">
            <v>=</v>
          </cell>
          <cell r="AZ284" t="str">
            <v>=</v>
          </cell>
          <cell r="BA284" t="str">
            <v>=</v>
          </cell>
          <cell r="BB284" t="str">
            <v>=</v>
          </cell>
          <cell r="BC284" t="str">
            <v>=</v>
          </cell>
          <cell r="BD284" t="str">
            <v>=</v>
          </cell>
          <cell r="BE284" t="str">
            <v>=</v>
          </cell>
          <cell r="BF284" t="str">
            <v>=</v>
          </cell>
          <cell r="BG284" t="str">
            <v>=</v>
          </cell>
          <cell r="BH284" t="str">
            <v>=</v>
          </cell>
          <cell r="BI284" t="str">
            <v>=</v>
          </cell>
          <cell r="BJ284" t="str">
            <v>=</v>
          </cell>
          <cell r="BK284" t="str">
            <v>=</v>
          </cell>
          <cell r="BL284" t="str">
            <v>=</v>
          </cell>
          <cell r="BM284" t="str">
            <v>=</v>
          </cell>
          <cell r="BN284" t="str">
            <v>=</v>
          </cell>
          <cell r="BO284" t="str">
            <v>=</v>
          </cell>
          <cell r="BP284" t="str">
            <v>=</v>
          </cell>
          <cell r="BQ284" t="str">
            <v>=</v>
          </cell>
          <cell r="BR284" t="str">
            <v>=</v>
          </cell>
          <cell r="BS284" t="str">
            <v>=</v>
          </cell>
          <cell r="BT284" t="str">
            <v>=</v>
          </cell>
          <cell r="BU284" t="str">
            <v>=</v>
          </cell>
          <cell r="BV284" t="str">
            <v>=</v>
          </cell>
          <cell r="BW284" t="str">
            <v>=</v>
          </cell>
          <cell r="BX284" t="str">
            <v>=</v>
          </cell>
          <cell r="BY284" t="str">
            <v>=</v>
          </cell>
          <cell r="BZ284" t="str">
            <v>=</v>
          </cell>
          <cell r="CA284" t="str">
            <v>=</v>
          </cell>
          <cell r="CB284" t="str">
            <v>=</v>
          </cell>
          <cell r="CC284" t="str">
            <v>=</v>
          </cell>
          <cell r="CD284" t="str">
            <v>=</v>
          </cell>
          <cell r="CE284" t="str">
            <v>=</v>
          </cell>
          <cell r="CF284" t="str">
            <v>=</v>
          </cell>
          <cell r="CG284" t="str">
            <v>=</v>
          </cell>
          <cell r="CH284" t="str">
            <v>=</v>
          </cell>
          <cell r="CI284" t="str">
            <v>=</v>
          </cell>
          <cell r="CJ284" t="str">
            <v>=</v>
          </cell>
          <cell r="CK284" t="str">
            <v>=</v>
          </cell>
          <cell r="CL284" t="str">
            <v>=</v>
          </cell>
          <cell r="CM284" t="str">
            <v>=</v>
          </cell>
          <cell r="CN284" t="str">
            <v>=</v>
          </cell>
          <cell r="CO284" t="str">
            <v>=</v>
          </cell>
          <cell r="CP284" t="str">
            <v>=</v>
          </cell>
          <cell r="CQ284" t="str">
            <v>=</v>
          </cell>
          <cell r="CR284" t="str">
            <v>=</v>
          </cell>
          <cell r="CS284" t="str">
            <v>=</v>
          </cell>
          <cell r="CT284" t="str">
            <v>=</v>
          </cell>
          <cell r="CU284" t="str">
            <v>=</v>
          </cell>
          <cell r="CV284" t="str">
            <v>=</v>
          </cell>
          <cell r="CW284" t="str">
            <v>=</v>
          </cell>
          <cell r="CX284" t="str">
            <v>=</v>
          </cell>
          <cell r="CY284" t="str">
            <v>=</v>
          </cell>
          <cell r="CZ284" t="str">
            <v>=</v>
          </cell>
          <cell r="DA284" t="str">
            <v>=</v>
          </cell>
          <cell r="DB284" t="str">
            <v>=</v>
          </cell>
          <cell r="DC284" t="str">
            <v>=</v>
          </cell>
          <cell r="DD284" t="str">
            <v>=</v>
          </cell>
          <cell r="DE284" t="str">
            <v>=</v>
          </cell>
          <cell r="DF284" t="str">
            <v>=</v>
          </cell>
          <cell r="DG284" t="str">
            <v>=</v>
          </cell>
          <cell r="DH284" t="str">
            <v>=</v>
          </cell>
          <cell r="DI284" t="str">
            <v>=</v>
          </cell>
          <cell r="DJ284" t="str">
            <v>=</v>
          </cell>
          <cell r="DK284" t="str">
            <v>=</v>
          </cell>
          <cell r="DL284" t="str">
            <v>=</v>
          </cell>
          <cell r="DM284" t="str">
            <v>=</v>
          </cell>
          <cell r="DN284" t="str">
            <v>=</v>
          </cell>
          <cell r="DO284" t="str">
            <v>=</v>
          </cell>
          <cell r="DP284" t="str">
            <v>=</v>
          </cell>
          <cell r="DQ284" t="str">
            <v>=</v>
          </cell>
          <cell r="DR284" t="str">
            <v>=</v>
          </cell>
          <cell r="DS284" t="str">
            <v>=</v>
          </cell>
          <cell r="DT284" t="str">
            <v>=</v>
          </cell>
          <cell r="DU284" t="str">
            <v>=</v>
          </cell>
          <cell r="DV284" t="str">
            <v>=</v>
          </cell>
          <cell r="DW284" t="str">
            <v>=</v>
          </cell>
          <cell r="DX284" t="str">
            <v>=</v>
          </cell>
          <cell r="DY284" t="str">
            <v>=</v>
          </cell>
          <cell r="DZ284" t="str">
            <v>=</v>
          </cell>
          <cell r="EA284" t="str">
            <v>=</v>
          </cell>
          <cell r="EB284" t="str">
            <v>=</v>
          </cell>
          <cell r="EC284" t="str">
            <v>=</v>
          </cell>
          <cell r="ED284" t="str">
            <v>=</v>
          </cell>
        </row>
        <row r="285">
          <cell r="A285" t="str">
            <v>Net Power Cost/Net System Load</v>
          </cell>
          <cell r="F285">
            <v>-1.4307003955348563E-2</v>
          </cell>
          <cell r="G285">
            <v>-1.5833446227222936E-2</v>
          </cell>
          <cell r="H285">
            <v>-1.4188774367273282E-2</v>
          </cell>
          <cell r="I285">
            <v>-1.4005824268675582E-2</v>
          </cell>
          <cell r="J285">
            <v>-1.3074927446844242E-2</v>
          </cell>
          <cell r="K285">
            <v>-1.2763321933267235E-2</v>
          </cell>
          <cell r="L285">
            <v>-2.1701850824296542E-2</v>
          </cell>
          <cell r="M285">
            <v>-2.255870741954169E-2</v>
          </cell>
          <cell r="N285">
            <v>-1.7805767845946008E-2</v>
          </cell>
          <cell r="O285">
            <v>-1.3729379165734912E-2</v>
          </cell>
          <cell r="P285">
            <v>-1.3839909787858318E-2</v>
          </cell>
          <cell r="Q285">
            <v>-1.2812036306964814E-2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</row>
        <row r="286">
          <cell r="F286">
            <v>19.330774142365893</v>
          </cell>
          <cell r="G286">
            <v>20.632032419347148</v>
          </cell>
          <cell r="H286">
            <v>17.343304933504783</v>
          </cell>
          <cell r="I286">
            <v>16.764937749169036</v>
          </cell>
          <cell r="J286">
            <v>15.748619418809026</v>
          </cell>
          <cell r="K286">
            <v>16.686979083160942</v>
          </cell>
          <cell r="L286">
            <v>31.579493222507455</v>
          </cell>
          <cell r="M286">
            <v>31.368344725826194</v>
          </cell>
          <cell r="N286">
            <v>22.305291035200206</v>
          </cell>
          <cell r="O286">
            <v>16.390153346365672</v>
          </cell>
          <cell r="P286">
            <v>17.591342483832726</v>
          </cell>
          <cell r="Q286">
            <v>17.456554348132521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</row>
        <row r="288">
          <cell r="A288" t="str">
            <v>Adjustments to Load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</row>
        <row r="297">
          <cell r="A297" t="str">
            <v>Net System Load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</row>
        <row r="299">
          <cell r="A299" t="str">
            <v>Special Sales For Resale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</row>
        <row r="303">
          <cell r="C303" t="str">
            <v>East Area Sales (WCA Sale)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</row>
        <row r="304">
          <cell r="C304" t="str">
            <v>Hurricane Sale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</row>
        <row r="305">
          <cell r="C305" t="str">
            <v>LADWP (IPP Layoff)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</row>
        <row r="306">
          <cell r="C306" t="str">
            <v>Shell Sale 2013-2014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</row>
        <row r="307">
          <cell r="C307" t="str">
            <v>SMUD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</row>
        <row r="308">
          <cell r="C308" t="str">
            <v>UMPA II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</row>
        <row r="313">
          <cell r="C313" t="str">
            <v>COB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</row>
        <row r="314">
          <cell r="C314" t="str">
            <v>Four Corners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</row>
        <row r="315">
          <cell r="C315" t="str">
            <v>Mid Columbia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</row>
        <row r="316">
          <cell r="C316" t="str">
            <v>Mona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</row>
        <row r="317">
          <cell r="C317" t="str">
            <v>Palo Verde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</row>
        <row r="318">
          <cell r="C318" t="str">
            <v>SP15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</row>
        <row r="319">
          <cell r="C319" t="str">
            <v>STF Index Trades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</row>
        <row r="324">
          <cell r="C324" t="str">
            <v>COB</v>
          </cell>
          <cell r="F324">
            <v>0</v>
          </cell>
          <cell r="G324">
            <v>0</v>
          </cell>
          <cell r="H324">
            <v>10.540000000008149</v>
          </cell>
          <cell r="I324">
            <v>5.0099999999947613</v>
          </cell>
          <cell r="J324">
            <v>28.823999999993248</v>
          </cell>
          <cell r="K324">
            <v>129.59399999999732</v>
          </cell>
          <cell r="L324">
            <v>61.389999999999418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</row>
        <row r="325">
          <cell r="C325" t="str">
            <v>Four Corners</v>
          </cell>
          <cell r="F325">
            <v>310.97000000000116</v>
          </cell>
          <cell r="G325">
            <v>273.07000000000698</v>
          </cell>
          <cell r="H325">
            <v>147.56399999999849</v>
          </cell>
          <cell r="I325">
            <v>139.91400000000431</v>
          </cell>
          <cell r="J325">
            <v>37.584999999999127</v>
          </cell>
          <cell r="K325">
            <v>0</v>
          </cell>
          <cell r="L325">
            <v>6.3799999999901047</v>
          </cell>
          <cell r="M325">
            <v>0</v>
          </cell>
          <cell r="N325">
            <v>20.869999999995343</v>
          </cell>
          <cell r="O325">
            <v>-48.839999999996508</v>
          </cell>
          <cell r="P325">
            <v>218.08999999999651</v>
          </cell>
          <cell r="Q325">
            <v>296.38999999998487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</row>
        <row r="326">
          <cell r="C326" t="str">
            <v>Mid Columbia</v>
          </cell>
          <cell r="F326">
            <v>1.5659999999988941</v>
          </cell>
          <cell r="G326">
            <v>24.504000000000815</v>
          </cell>
          <cell r="H326">
            <v>56.779999999998836</v>
          </cell>
          <cell r="I326">
            <v>518.67500000000291</v>
          </cell>
          <cell r="J326">
            <v>211.61699999999837</v>
          </cell>
          <cell r="K326">
            <v>257.97699999999895</v>
          </cell>
          <cell r="L326">
            <v>297.73999999999069</v>
          </cell>
          <cell r="M326">
            <v>36.980999999999767</v>
          </cell>
          <cell r="N326">
            <v>86.639999999999418</v>
          </cell>
          <cell r="O326">
            <v>37.899999999994179</v>
          </cell>
          <cell r="P326">
            <v>26.453999999997905</v>
          </cell>
          <cell r="Q326">
            <v>5.2699999999895226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</row>
        <row r="327">
          <cell r="C327" t="str">
            <v>Mona</v>
          </cell>
          <cell r="F327">
            <v>173.16499999997905</v>
          </cell>
          <cell r="G327">
            <v>114.06500000000233</v>
          </cell>
          <cell r="H327">
            <v>67.136999999987893</v>
          </cell>
          <cell r="I327">
            <v>38.246000000006461</v>
          </cell>
          <cell r="J327">
            <v>99.588000000003376</v>
          </cell>
          <cell r="K327">
            <v>10.23399999999674</v>
          </cell>
          <cell r="L327">
            <v>35.969999999986612</v>
          </cell>
          <cell r="M327">
            <v>0</v>
          </cell>
          <cell r="N327">
            <v>97.375</v>
          </cell>
          <cell r="O327">
            <v>86.831999999994878</v>
          </cell>
          <cell r="P327">
            <v>24.125</v>
          </cell>
          <cell r="Q327">
            <v>146.22000000000116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</row>
        <row r="328">
          <cell r="C328" t="str">
            <v>Palo Verde</v>
          </cell>
          <cell r="F328">
            <v>0</v>
          </cell>
          <cell r="G328">
            <v>5.113999999997759</v>
          </cell>
          <cell r="H328">
            <v>0</v>
          </cell>
          <cell r="I328">
            <v>48.330000000001746</v>
          </cell>
          <cell r="J328">
            <v>26.197000000000116</v>
          </cell>
          <cell r="K328">
            <v>15.80000000000291</v>
          </cell>
          <cell r="L328">
            <v>19.039999999979045</v>
          </cell>
          <cell r="M328">
            <v>43.730000000039581</v>
          </cell>
          <cell r="N328">
            <v>1.870000000053551</v>
          </cell>
          <cell r="O328">
            <v>96.670000000012806</v>
          </cell>
          <cell r="P328">
            <v>199.19000000000233</v>
          </cell>
          <cell r="Q328">
            <v>42.270000000018626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</row>
        <row r="329">
          <cell r="C329" t="str">
            <v>SP15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</row>
        <row r="330">
          <cell r="C330" t="str">
            <v>Trapped Energy - Curtailment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</row>
        <row r="331">
          <cell r="C331" t="str">
            <v>Trapped Energy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</row>
        <row r="332">
          <cell r="F332">
            <v>485.70100000000093</v>
          </cell>
          <cell r="G332">
            <v>416.75300000002608</v>
          </cell>
          <cell r="H332">
            <v>282.02100000000792</v>
          </cell>
          <cell r="I332">
            <v>750.17499999998836</v>
          </cell>
          <cell r="J332">
            <v>403.81099999998696</v>
          </cell>
          <cell r="K332">
            <v>413.60499999998137</v>
          </cell>
          <cell r="L332">
            <v>420.5199999997858</v>
          </cell>
          <cell r="M332">
            <v>80.71100000012666</v>
          </cell>
          <cell r="N332">
            <v>206.75500000012107</v>
          </cell>
          <cell r="O332">
            <v>172.56200000003446</v>
          </cell>
          <cell r="P332">
            <v>467.85900000005495</v>
          </cell>
          <cell r="Q332">
            <v>490.15000000002328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</row>
        <row r="334">
          <cell r="A334" t="str">
            <v>Total Special Sales For Resale</v>
          </cell>
          <cell r="F334">
            <v>485.70100000000093</v>
          </cell>
          <cell r="G334">
            <v>416.75300000002608</v>
          </cell>
          <cell r="H334">
            <v>282.02099999994971</v>
          </cell>
          <cell r="I334">
            <v>750.17500000004657</v>
          </cell>
          <cell r="J334">
            <v>403.81099999998696</v>
          </cell>
          <cell r="K334">
            <v>413.60499999998137</v>
          </cell>
          <cell r="L334">
            <v>420.5199999997858</v>
          </cell>
          <cell r="M334">
            <v>80.71100000012666</v>
          </cell>
          <cell r="N334">
            <v>206.75500000012107</v>
          </cell>
          <cell r="O334">
            <v>172.56200000003446</v>
          </cell>
          <cell r="P334">
            <v>467.85900000005495</v>
          </cell>
          <cell r="Q334">
            <v>490.15000000002328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</row>
        <row r="335">
          <cell r="F335" t="str">
            <v>=</v>
          </cell>
          <cell r="G335" t="str">
            <v>=</v>
          </cell>
          <cell r="H335" t="str">
            <v>=</v>
          </cell>
          <cell r="I335" t="str">
            <v>=</v>
          </cell>
          <cell r="J335" t="str">
            <v>=</v>
          </cell>
          <cell r="K335" t="str">
            <v>=</v>
          </cell>
          <cell r="L335" t="str">
            <v>=</v>
          </cell>
          <cell r="M335" t="str">
            <v>=</v>
          </cell>
          <cell r="N335" t="str">
            <v>=</v>
          </cell>
          <cell r="O335" t="str">
            <v>=</v>
          </cell>
          <cell r="P335" t="str">
            <v>=</v>
          </cell>
          <cell r="Q335" t="str">
            <v>=</v>
          </cell>
          <cell r="R335" t="str">
            <v>=</v>
          </cell>
          <cell r="S335" t="str">
            <v>=</v>
          </cell>
          <cell r="T335" t="str">
            <v>=</v>
          </cell>
          <cell r="U335" t="str">
            <v>=</v>
          </cell>
          <cell r="V335" t="str">
            <v>=</v>
          </cell>
          <cell r="W335" t="str">
            <v>=</v>
          </cell>
          <cell r="X335" t="str">
            <v>=</v>
          </cell>
          <cell r="Y335" t="str">
            <v>=</v>
          </cell>
          <cell r="Z335" t="str">
            <v>=</v>
          </cell>
          <cell r="AA335" t="str">
            <v>=</v>
          </cell>
          <cell r="AB335" t="str">
            <v>=</v>
          </cell>
          <cell r="AC335" t="str">
            <v>=</v>
          </cell>
          <cell r="AD335" t="str">
            <v>=</v>
          </cell>
          <cell r="AE335" t="str">
            <v>=</v>
          </cell>
          <cell r="AF335" t="str">
            <v>=</v>
          </cell>
          <cell r="AG335" t="str">
            <v>=</v>
          </cell>
          <cell r="AH335" t="str">
            <v>=</v>
          </cell>
          <cell r="AI335" t="str">
            <v>=</v>
          </cell>
          <cell r="AJ335" t="str">
            <v>=</v>
          </cell>
          <cell r="AK335" t="str">
            <v>=</v>
          </cell>
          <cell r="AL335" t="str">
            <v>=</v>
          </cell>
          <cell r="AM335" t="str">
            <v>=</v>
          </cell>
          <cell r="AN335" t="str">
            <v>=</v>
          </cell>
          <cell r="AO335" t="str">
            <v>=</v>
          </cell>
          <cell r="AP335" t="str">
            <v>=</v>
          </cell>
          <cell r="AQ335" t="str">
            <v>=</v>
          </cell>
          <cell r="AR335" t="str">
            <v>=</v>
          </cell>
          <cell r="AS335" t="str">
            <v>=</v>
          </cell>
          <cell r="AT335" t="str">
            <v>=</v>
          </cell>
          <cell r="AU335" t="str">
            <v>=</v>
          </cell>
          <cell r="AV335" t="str">
            <v>=</v>
          </cell>
          <cell r="AW335" t="str">
            <v>=</v>
          </cell>
          <cell r="AX335" t="str">
            <v>=</v>
          </cell>
          <cell r="AY335" t="str">
            <v>=</v>
          </cell>
          <cell r="AZ335" t="str">
            <v>=</v>
          </cell>
          <cell r="BA335" t="str">
            <v>=</v>
          </cell>
          <cell r="BB335" t="str">
            <v>=</v>
          </cell>
          <cell r="BC335" t="str">
            <v>=</v>
          </cell>
          <cell r="BD335" t="str">
            <v>=</v>
          </cell>
          <cell r="BE335" t="str">
            <v>=</v>
          </cell>
          <cell r="BF335" t="str">
            <v>=</v>
          </cell>
          <cell r="BG335" t="str">
            <v>=</v>
          </cell>
          <cell r="BH335" t="str">
            <v>=</v>
          </cell>
          <cell r="BI335" t="str">
            <v>=</v>
          </cell>
          <cell r="BJ335" t="str">
            <v>=</v>
          </cell>
          <cell r="BK335" t="str">
            <v>=</v>
          </cell>
          <cell r="BL335" t="str">
            <v>=</v>
          </cell>
          <cell r="BM335" t="str">
            <v>=</v>
          </cell>
          <cell r="BN335" t="str">
            <v>=</v>
          </cell>
          <cell r="BO335" t="str">
            <v>=</v>
          </cell>
          <cell r="BP335" t="str">
            <v>=</v>
          </cell>
          <cell r="BQ335" t="str">
            <v>=</v>
          </cell>
          <cell r="BR335" t="str">
            <v>=</v>
          </cell>
          <cell r="BS335" t="str">
            <v>=</v>
          </cell>
          <cell r="BT335" t="str">
            <v>=</v>
          </cell>
          <cell r="BU335" t="str">
            <v>=</v>
          </cell>
          <cell r="BV335" t="str">
            <v>=</v>
          </cell>
          <cell r="BW335" t="str">
            <v>=</v>
          </cell>
          <cell r="BX335" t="str">
            <v>=</v>
          </cell>
          <cell r="BY335" t="str">
            <v>=</v>
          </cell>
          <cell r="BZ335" t="str">
            <v>=</v>
          </cell>
          <cell r="CA335" t="str">
            <v>=</v>
          </cell>
          <cell r="CB335" t="str">
            <v>=</v>
          </cell>
          <cell r="CC335" t="str">
            <v>=</v>
          </cell>
          <cell r="CD335" t="str">
            <v>=</v>
          </cell>
          <cell r="CE335" t="str">
            <v>=</v>
          </cell>
          <cell r="CF335" t="str">
            <v>=</v>
          </cell>
          <cell r="CG335" t="str">
            <v>=</v>
          </cell>
          <cell r="CH335" t="str">
            <v>=</v>
          </cell>
          <cell r="CI335" t="str">
            <v>=</v>
          </cell>
          <cell r="CJ335" t="str">
            <v>=</v>
          </cell>
          <cell r="CK335" t="str">
            <v>=</v>
          </cell>
          <cell r="CL335" t="str">
            <v>=</v>
          </cell>
          <cell r="CM335" t="str">
            <v>=</v>
          </cell>
          <cell r="CN335" t="str">
            <v>=</v>
          </cell>
          <cell r="CO335" t="str">
            <v>=</v>
          </cell>
          <cell r="CP335" t="str">
            <v>=</v>
          </cell>
          <cell r="CQ335" t="str">
            <v>=</v>
          </cell>
          <cell r="CR335" t="str">
            <v>=</v>
          </cell>
          <cell r="CS335" t="str">
            <v>=</v>
          </cell>
          <cell r="CT335" t="str">
            <v>=</v>
          </cell>
          <cell r="CU335" t="str">
            <v>=</v>
          </cell>
          <cell r="CV335" t="str">
            <v>=</v>
          </cell>
          <cell r="CW335" t="str">
            <v>=</v>
          </cell>
          <cell r="CX335" t="str">
            <v>=</v>
          </cell>
          <cell r="CY335" t="str">
            <v>=</v>
          </cell>
          <cell r="CZ335" t="str">
            <v>=</v>
          </cell>
          <cell r="DA335" t="str">
            <v>=</v>
          </cell>
          <cell r="DB335" t="str">
            <v>=</v>
          </cell>
          <cell r="DC335" t="str">
            <v>=</v>
          </cell>
          <cell r="DD335" t="str">
            <v>=</v>
          </cell>
          <cell r="DE335" t="str">
            <v>=</v>
          </cell>
          <cell r="DF335" t="str">
            <v>=</v>
          </cell>
          <cell r="DG335" t="str">
            <v>=</v>
          </cell>
          <cell r="DH335" t="str">
            <v>=</v>
          </cell>
          <cell r="DI335" t="str">
            <v>=</v>
          </cell>
          <cell r="DJ335" t="str">
            <v>=</v>
          </cell>
          <cell r="DK335" t="str">
            <v>=</v>
          </cell>
          <cell r="DL335" t="str">
            <v>=</v>
          </cell>
          <cell r="DM335" t="str">
            <v>=</v>
          </cell>
          <cell r="DN335" t="str">
            <v>=</v>
          </cell>
          <cell r="DO335" t="str">
            <v>=</v>
          </cell>
          <cell r="DP335" t="str">
            <v>=</v>
          </cell>
          <cell r="DQ335" t="str">
            <v>=</v>
          </cell>
          <cell r="DR335" t="str">
            <v>=</v>
          </cell>
          <cell r="DS335" t="str">
            <v>=</v>
          </cell>
          <cell r="DT335" t="str">
            <v>=</v>
          </cell>
          <cell r="DU335" t="str">
            <v>=</v>
          </cell>
          <cell r="DV335" t="str">
            <v>=</v>
          </cell>
          <cell r="DW335" t="str">
            <v>=</v>
          </cell>
          <cell r="DX335" t="str">
            <v>=</v>
          </cell>
          <cell r="DY335" t="str">
            <v>=</v>
          </cell>
          <cell r="DZ335" t="str">
            <v>=</v>
          </cell>
          <cell r="EA335" t="str">
            <v>=</v>
          </cell>
          <cell r="EB335" t="str">
            <v>=</v>
          </cell>
          <cell r="EC335" t="str">
            <v>=</v>
          </cell>
          <cell r="ED335" t="str">
            <v>=</v>
          </cell>
        </row>
        <row r="336">
          <cell r="A336" t="str">
            <v>Total Requirements</v>
          </cell>
          <cell r="F336">
            <v>485.70099999941885</v>
          </cell>
          <cell r="G336">
            <v>416.75300000049174</v>
          </cell>
          <cell r="H336">
            <v>282.02099999971688</v>
          </cell>
          <cell r="I336">
            <v>750.17499999981374</v>
          </cell>
          <cell r="J336">
            <v>403.81099999975413</v>
          </cell>
          <cell r="K336">
            <v>413.60500000044703</v>
          </cell>
          <cell r="L336">
            <v>420.51999999955297</v>
          </cell>
          <cell r="M336">
            <v>80.71100000012666</v>
          </cell>
          <cell r="N336">
            <v>206.75500000081956</v>
          </cell>
          <cell r="O336">
            <v>172.56199999991804</v>
          </cell>
          <cell r="P336">
            <v>467.85900000017136</v>
          </cell>
          <cell r="Q336">
            <v>490.14999999944121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</row>
        <row r="337">
          <cell r="F337" t="str">
            <v>=</v>
          </cell>
          <cell r="G337" t="str">
            <v>=</v>
          </cell>
          <cell r="H337" t="str">
            <v>=</v>
          </cell>
          <cell r="I337" t="str">
            <v>=</v>
          </cell>
          <cell r="J337" t="str">
            <v>=</v>
          </cell>
          <cell r="K337" t="str">
            <v>=</v>
          </cell>
          <cell r="L337" t="str">
            <v>=</v>
          </cell>
          <cell r="M337" t="str">
            <v>=</v>
          </cell>
          <cell r="N337" t="str">
            <v>=</v>
          </cell>
          <cell r="O337" t="str">
            <v>=</v>
          </cell>
          <cell r="P337" t="str">
            <v>=</v>
          </cell>
          <cell r="Q337" t="str">
            <v>=</v>
          </cell>
          <cell r="R337" t="str">
            <v>=</v>
          </cell>
          <cell r="S337" t="str">
            <v>=</v>
          </cell>
          <cell r="T337" t="str">
            <v>=</v>
          </cell>
          <cell r="U337" t="str">
            <v>=</v>
          </cell>
          <cell r="V337" t="str">
            <v>=</v>
          </cell>
          <cell r="W337" t="str">
            <v>=</v>
          </cell>
          <cell r="X337" t="str">
            <v>=</v>
          </cell>
          <cell r="Y337" t="str">
            <v>=</v>
          </cell>
          <cell r="Z337" t="str">
            <v>=</v>
          </cell>
          <cell r="AA337" t="str">
            <v>=</v>
          </cell>
          <cell r="AB337" t="str">
            <v>=</v>
          </cell>
          <cell r="AC337" t="str">
            <v>=</v>
          </cell>
          <cell r="AD337" t="str">
            <v>=</v>
          </cell>
          <cell r="AE337" t="str">
            <v>=</v>
          </cell>
          <cell r="AF337" t="str">
            <v>=</v>
          </cell>
          <cell r="AG337" t="str">
            <v>=</v>
          </cell>
          <cell r="AH337" t="str">
            <v>=</v>
          </cell>
          <cell r="AI337" t="str">
            <v>=</v>
          </cell>
          <cell r="AJ337" t="str">
            <v>=</v>
          </cell>
          <cell r="AK337" t="str">
            <v>=</v>
          </cell>
          <cell r="AL337" t="str">
            <v>=</v>
          </cell>
          <cell r="AM337" t="str">
            <v>=</v>
          </cell>
          <cell r="AN337" t="str">
            <v>=</v>
          </cell>
          <cell r="AO337" t="str">
            <v>=</v>
          </cell>
          <cell r="AP337" t="str">
            <v>=</v>
          </cell>
          <cell r="AQ337" t="str">
            <v>=</v>
          </cell>
          <cell r="AR337" t="str">
            <v>=</v>
          </cell>
          <cell r="AS337" t="str">
            <v>=</v>
          </cell>
          <cell r="AT337" t="str">
            <v>=</v>
          </cell>
          <cell r="AU337" t="str">
            <v>=</v>
          </cell>
          <cell r="AV337" t="str">
            <v>=</v>
          </cell>
          <cell r="AW337" t="str">
            <v>=</v>
          </cell>
          <cell r="AX337" t="str">
            <v>=</v>
          </cell>
          <cell r="AY337" t="str">
            <v>=</v>
          </cell>
          <cell r="AZ337" t="str">
            <v>=</v>
          </cell>
          <cell r="BA337" t="str">
            <v>=</v>
          </cell>
          <cell r="BB337" t="str">
            <v>=</v>
          </cell>
          <cell r="BC337" t="str">
            <v>=</v>
          </cell>
          <cell r="BD337" t="str">
            <v>=</v>
          </cell>
          <cell r="BE337" t="str">
            <v>=</v>
          </cell>
          <cell r="BF337" t="str">
            <v>=</v>
          </cell>
          <cell r="BG337" t="str">
            <v>=</v>
          </cell>
          <cell r="BH337" t="str">
            <v>=</v>
          </cell>
          <cell r="BI337" t="str">
            <v>=</v>
          </cell>
          <cell r="BJ337" t="str">
            <v>=</v>
          </cell>
          <cell r="BK337" t="str">
            <v>=</v>
          </cell>
          <cell r="BL337" t="str">
            <v>=</v>
          </cell>
          <cell r="BM337" t="str">
            <v>=</v>
          </cell>
          <cell r="BN337" t="str">
            <v>=</v>
          </cell>
          <cell r="BO337" t="str">
            <v>=</v>
          </cell>
          <cell r="BP337" t="str">
            <v>=</v>
          </cell>
          <cell r="BQ337" t="str">
            <v>=</v>
          </cell>
          <cell r="BR337" t="str">
            <v>=</v>
          </cell>
          <cell r="BS337" t="str">
            <v>=</v>
          </cell>
          <cell r="BT337" t="str">
            <v>=</v>
          </cell>
          <cell r="BU337" t="str">
            <v>=</v>
          </cell>
          <cell r="BV337" t="str">
            <v>=</v>
          </cell>
          <cell r="BW337" t="str">
            <v>=</v>
          </cell>
          <cell r="BX337" t="str">
            <v>=</v>
          </cell>
          <cell r="BY337" t="str">
            <v>=</v>
          </cell>
          <cell r="BZ337" t="str">
            <v>=</v>
          </cell>
          <cell r="CA337" t="str">
            <v>=</v>
          </cell>
          <cell r="CB337" t="str">
            <v>=</v>
          </cell>
          <cell r="CC337" t="str">
            <v>=</v>
          </cell>
          <cell r="CD337" t="str">
            <v>=</v>
          </cell>
          <cell r="CE337" t="str">
            <v>=</v>
          </cell>
          <cell r="CF337" t="str">
            <v>=</v>
          </cell>
          <cell r="CG337" t="str">
            <v>=</v>
          </cell>
          <cell r="CH337" t="str">
            <v>=</v>
          </cell>
          <cell r="CI337" t="str">
            <v>=</v>
          </cell>
          <cell r="CJ337" t="str">
            <v>=</v>
          </cell>
          <cell r="CK337" t="str">
            <v>=</v>
          </cell>
          <cell r="CL337" t="str">
            <v>=</v>
          </cell>
          <cell r="CM337" t="str">
            <v>=</v>
          </cell>
          <cell r="CN337" t="str">
            <v>=</v>
          </cell>
          <cell r="CO337" t="str">
            <v>=</v>
          </cell>
          <cell r="CP337" t="str">
            <v>=</v>
          </cell>
          <cell r="CQ337" t="str">
            <v>=</v>
          </cell>
          <cell r="CR337" t="str">
            <v>=</v>
          </cell>
          <cell r="CS337" t="str">
            <v>=</v>
          </cell>
          <cell r="CT337" t="str">
            <v>=</v>
          </cell>
          <cell r="CU337" t="str">
            <v>=</v>
          </cell>
          <cell r="CV337" t="str">
            <v>=</v>
          </cell>
          <cell r="CW337" t="str">
            <v>=</v>
          </cell>
          <cell r="CX337" t="str">
            <v>=</v>
          </cell>
          <cell r="CY337" t="str">
            <v>=</v>
          </cell>
          <cell r="CZ337" t="str">
            <v>=</v>
          </cell>
          <cell r="DA337" t="str">
            <v>=</v>
          </cell>
          <cell r="DB337" t="str">
            <v>=</v>
          </cell>
          <cell r="DC337" t="str">
            <v>=</v>
          </cell>
          <cell r="DD337" t="str">
            <v>=</v>
          </cell>
          <cell r="DE337" t="str">
            <v>=</v>
          </cell>
          <cell r="DF337" t="str">
            <v>=</v>
          </cell>
          <cell r="DG337" t="str">
            <v>=</v>
          </cell>
          <cell r="DH337" t="str">
            <v>=</v>
          </cell>
          <cell r="DI337" t="str">
            <v>=</v>
          </cell>
          <cell r="DJ337" t="str">
            <v>=</v>
          </cell>
          <cell r="DK337" t="str">
            <v>=</v>
          </cell>
          <cell r="DL337" t="str">
            <v>=</v>
          </cell>
          <cell r="DM337" t="str">
            <v>=</v>
          </cell>
          <cell r="DN337" t="str">
            <v>=</v>
          </cell>
          <cell r="DO337" t="str">
            <v>=</v>
          </cell>
          <cell r="DP337" t="str">
            <v>=</v>
          </cell>
          <cell r="DQ337" t="str">
            <v>=</v>
          </cell>
          <cell r="DR337" t="str">
            <v>=</v>
          </cell>
          <cell r="DS337" t="str">
            <v>=</v>
          </cell>
          <cell r="DT337" t="str">
            <v>=</v>
          </cell>
          <cell r="DU337" t="str">
            <v>=</v>
          </cell>
          <cell r="DV337" t="str">
            <v>=</v>
          </cell>
          <cell r="DW337" t="str">
            <v>=</v>
          </cell>
          <cell r="DX337" t="str">
            <v>=</v>
          </cell>
          <cell r="DY337" t="str">
            <v>=</v>
          </cell>
          <cell r="DZ337" t="str">
            <v>=</v>
          </cell>
          <cell r="EA337" t="str">
            <v>=</v>
          </cell>
          <cell r="EB337" t="str">
            <v>=</v>
          </cell>
          <cell r="EC337" t="str">
            <v>=</v>
          </cell>
          <cell r="ED337" t="str">
            <v>=</v>
          </cell>
        </row>
        <row r="339">
          <cell r="A339" t="str">
            <v>Purchased Power &amp; Net Interchange</v>
          </cell>
        </row>
        <row r="341">
          <cell r="C341" t="str">
            <v>APS Supplemental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</row>
        <row r="342">
          <cell r="C342" t="str">
            <v xml:space="preserve">Combine Hills Wind 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</row>
        <row r="343">
          <cell r="C343" t="str">
            <v>Cedar Springs Wind I_II_III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</row>
        <row r="344">
          <cell r="C344" t="str">
            <v>Cove Mountain Solar I and II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</row>
        <row r="345">
          <cell r="C345" t="str">
            <v>Hunter Solar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</row>
        <row r="346">
          <cell r="C346" t="str">
            <v>Milican Solar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</row>
        <row r="347">
          <cell r="C347" t="str">
            <v>Milford Solar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</row>
        <row r="348">
          <cell r="C348" t="str">
            <v>Prineville Solar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</row>
        <row r="349">
          <cell r="C349" t="str">
            <v>Sigurd Solar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C350" t="str">
            <v>Deseret Purchase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  <row r="351">
          <cell r="C351" t="str">
            <v>Ekola Flats,TB Flats I and II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</row>
        <row r="352">
          <cell r="C352" t="str">
            <v>Soda Lake Geothermal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</row>
        <row r="353">
          <cell r="C353" t="str">
            <v>Gemstate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</row>
        <row r="354">
          <cell r="C354" t="str">
            <v>Hermiston Purchase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</row>
        <row r="355">
          <cell r="C355" t="str">
            <v>Hurricane Purchase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</row>
        <row r="356">
          <cell r="C356" t="str">
            <v>IPP Purchase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</row>
        <row r="357">
          <cell r="C357" t="str">
            <v>MagCorp Reserves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</row>
        <row r="358">
          <cell r="C358" t="str">
            <v>Nucor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</row>
        <row r="359">
          <cell r="C359" t="str">
            <v>Old Mill Solar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</row>
        <row r="360">
          <cell r="C360" t="str">
            <v>P4 Production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</row>
        <row r="361">
          <cell r="C361" t="str">
            <v>Pavant III Solar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</row>
        <row r="362">
          <cell r="C362" t="str">
            <v>PGE Cove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</row>
        <row r="363">
          <cell r="C363" t="str">
            <v>Rock River Wind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</row>
        <row r="364">
          <cell r="C364" t="str">
            <v>Small Purchases east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</row>
        <row r="365">
          <cell r="C365" t="str">
            <v>Small Purchases west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</row>
        <row r="366">
          <cell r="C366" t="str">
            <v>Three Buttes Wind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</row>
        <row r="367">
          <cell r="C367" t="str">
            <v xml:space="preserve">Top of the World Wind 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</row>
        <row r="368">
          <cell r="C368" t="str">
            <v>Tri-State Purchase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</row>
        <row r="370">
          <cell r="C370" t="str">
            <v>UAMPS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</row>
        <row r="371">
          <cell r="C371" t="str">
            <v>UMPA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</row>
        <row r="372">
          <cell r="C372" t="str">
            <v>Wolverine Creek Wind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</row>
        <row r="377">
          <cell r="C377" t="str">
            <v>QF - 434 - UT - Gas</v>
          </cell>
          <cell r="F377">
            <v>3920.88</v>
          </cell>
          <cell r="G377">
            <v>3667.92</v>
          </cell>
          <cell r="H377">
            <v>3920.88</v>
          </cell>
          <cell r="I377">
            <v>3794.4</v>
          </cell>
          <cell r="J377">
            <v>3920.88</v>
          </cell>
          <cell r="K377">
            <v>3794.4</v>
          </cell>
          <cell r="L377">
            <v>3920.88</v>
          </cell>
          <cell r="M377">
            <v>3920.88</v>
          </cell>
          <cell r="N377">
            <v>3794.4</v>
          </cell>
          <cell r="O377">
            <v>3920.88</v>
          </cell>
          <cell r="P377">
            <v>3794.4</v>
          </cell>
          <cell r="Q377">
            <v>3920.88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</row>
        <row r="378">
          <cell r="C378" t="str">
            <v>Curtailment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</row>
        <row r="379">
          <cell r="C379" t="str">
            <v>Net Generation</v>
          </cell>
          <cell r="F379">
            <v>3920.88</v>
          </cell>
          <cell r="G379">
            <v>3667.92</v>
          </cell>
          <cell r="H379">
            <v>3920.88</v>
          </cell>
          <cell r="I379">
            <v>3794.4</v>
          </cell>
          <cell r="J379">
            <v>3920.88</v>
          </cell>
          <cell r="K379">
            <v>3794.4</v>
          </cell>
          <cell r="L379">
            <v>3920.88</v>
          </cell>
          <cell r="M379">
            <v>3920.88</v>
          </cell>
          <cell r="N379">
            <v>3794.4</v>
          </cell>
          <cell r="O379">
            <v>3920.88</v>
          </cell>
          <cell r="P379">
            <v>3794.4</v>
          </cell>
          <cell r="Q379">
            <v>3920.88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</row>
        <row r="381">
          <cell r="C381" t="str">
            <v>Potential QFs  -  Central Oregon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</row>
        <row r="382">
          <cell r="C382" t="str">
            <v>Potential QFs  -  West Main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</row>
        <row r="383">
          <cell r="C383" t="str">
            <v>Potential QFs  -  Walla Walla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</row>
        <row r="384">
          <cell r="C384" t="str">
            <v>Potential QFs  -  IPC West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</row>
        <row r="385">
          <cell r="C385" t="str">
            <v>Potential QFs  -  Clover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</row>
        <row r="386">
          <cell r="C386" t="str">
            <v>Potential QFs  -  PP-GC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</row>
        <row r="387">
          <cell r="C387" t="str">
            <v>Potential QFs  -  Utah North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</row>
        <row r="388">
          <cell r="C388" t="str">
            <v>Potential QFs  -  Utah South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</row>
        <row r="389">
          <cell r="C389" t="str">
            <v>Potential QFs  -  Trona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</row>
        <row r="390">
          <cell r="C390" t="str">
            <v>Potential QFs  -  Wyoming Northeast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</row>
        <row r="392">
          <cell r="C392" t="str">
            <v>QF California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</row>
        <row r="393">
          <cell r="C393" t="str">
            <v>QF Idaho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</row>
        <row r="394">
          <cell r="C394" t="str">
            <v>QF Oregon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</row>
        <row r="395">
          <cell r="C395" t="str">
            <v>QF Utah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</row>
        <row r="396">
          <cell r="C396" t="str">
            <v>QF Washington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</row>
        <row r="397">
          <cell r="C397" t="str">
            <v>QF Wyoming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</row>
        <row r="399">
          <cell r="C399" t="str">
            <v>Biomass QF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</row>
        <row r="400">
          <cell r="C400" t="str">
            <v>Black Cap II Solar QF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</row>
        <row r="401">
          <cell r="C401" t="str">
            <v>Champlin Blue Mtn Wind QF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</row>
        <row r="402">
          <cell r="C402" t="str">
            <v>Chevron Wind QF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</row>
        <row r="403">
          <cell r="C403" t="str">
            <v xml:space="preserve">Douglas County Forest Products QF   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</row>
        <row r="404">
          <cell r="C404" t="str">
            <v>Evergreen BioPower QF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</row>
        <row r="405">
          <cell r="C405" t="str">
            <v>Everpower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</row>
        <row r="406">
          <cell r="C406" t="str">
            <v>First Wind QF Projects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</row>
        <row r="407">
          <cell r="C407" t="str">
            <v>Five Pine Wind QF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</row>
        <row r="408">
          <cell r="C408" t="str">
            <v>Foote Creek II &amp; III Wind QF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</row>
        <row r="409">
          <cell r="C409" t="str">
            <v>Kennecott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</row>
        <row r="410">
          <cell r="C410" t="str">
            <v>Latigo Wind Park QF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</row>
        <row r="411">
          <cell r="C411" t="str">
            <v>Sage I &amp; II Solar QF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</row>
        <row r="412">
          <cell r="C412" t="str">
            <v>Sage III Solar QF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</row>
        <row r="413">
          <cell r="C413" t="str">
            <v>Boswell Wind QF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</row>
        <row r="414">
          <cell r="C414" t="str">
            <v>Monticello Wind QF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</row>
        <row r="415">
          <cell r="C415" t="str">
            <v>Mountain Wind 1 QF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</row>
        <row r="416">
          <cell r="C416" t="str">
            <v>Mountain Wind 2 QF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</row>
        <row r="417">
          <cell r="C417" t="str">
            <v>North Point Wind QF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</row>
        <row r="418">
          <cell r="C418" t="str">
            <v>Ochoco Solar QF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</row>
        <row r="419">
          <cell r="C419" t="str">
            <v>Orchard Wind Farm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</row>
        <row r="420">
          <cell r="C420" t="str">
            <v>Oregon Sch 37 QFs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</row>
        <row r="421">
          <cell r="C421" t="str">
            <v>Oregon Wind Farm QF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</row>
        <row r="422">
          <cell r="C422" t="str">
            <v>Pavant Solar QF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</row>
        <row r="423">
          <cell r="C423" t="str">
            <v>Pioneer Wind Park I QF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</row>
        <row r="424">
          <cell r="C424" t="str">
            <v>Power County North Wind QF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</row>
        <row r="425">
          <cell r="C425" t="str">
            <v>Power County South Wind QF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</row>
        <row r="426">
          <cell r="C426" t="str">
            <v>Roseburg Dillard QF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</row>
        <row r="427">
          <cell r="C427" t="str">
            <v>Sigurd Solar QF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</row>
        <row r="428">
          <cell r="C428" t="str">
            <v>Spanish Fork Wind 2 QF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</row>
        <row r="429">
          <cell r="C429" t="str">
            <v>Sunnyside QF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</row>
        <row r="430">
          <cell r="C430" t="str">
            <v>Glen Canyon A &amp; B Solar QFs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</row>
        <row r="431">
          <cell r="C431" t="str">
            <v>Sweetwater Solar QF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</row>
        <row r="432">
          <cell r="C432" t="str">
            <v>Tesoro QF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</row>
        <row r="433">
          <cell r="C433" t="str">
            <v>Three Peaks Solar QF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</row>
        <row r="434">
          <cell r="C434" t="str">
            <v>Threemile Canyon Wind QF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</row>
        <row r="435">
          <cell r="C435" t="str">
            <v>US Magnesium QF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</row>
        <row r="436">
          <cell r="C436" t="str">
            <v>Utah Pavant Solar I &amp; II QF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</row>
        <row r="437">
          <cell r="C437" t="str">
            <v>Utah Red Hills Solar QF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</row>
        <row r="438">
          <cell r="C438" t="str">
            <v>Utah SunEdison Wind QF Projects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</row>
        <row r="439">
          <cell r="C439" t="str">
            <v>Utah Sch 37 Solar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</row>
        <row r="441">
          <cell r="F441">
            <v>3920.8800000000047</v>
          </cell>
          <cell r="G441">
            <v>3667.9199999999255</v>
          </cell>
          <cell r="H441">
            <v>3920.8800000000047</v>
          </cell>
          <cell r="I441">
            <v>3794.4000000000233</v>
          </cell>
          <cell r="J441">
            <v>3920.8800000000047</v>
          </cell>
          <cell r="K441">
            <v>3794.3999999999069</v>
          </cell>
          <cell r="L441">
            <v>3920.8800000000047</v>
          </cell>
          <cell r="M441">
            <v>3920.8799999998882</v>
          </cell>
          <cell r="N441">
            <v>3794.4000000000233</v>
          </cell>
          <cell r="O441">
            <v>3920.8800000000047</v>
          </cell>
          <cell r="P441">
            <v>3794.4000000000233</v>
          </cell>
          <cell r="Q441">
            <v>3920.8800000000047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</row>
        <row r="444">
          <cell r="C444" t="str">
            <v xml:space="preserve">Douglas - Wells 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</row>
        <row r="445">
          <cell r="C445" t="str">
            <v>Grant Reasonable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</row>
        <row r="446">
          <cell r="C446" t="str">
            <v xml:space="preserve">Grant Surplus 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</row>
        <row r="447">
          <cell r="C447" t="str">
            <v>Grant - Wanapum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</row>
        <row r="451">
          <cell r="F451">
            <v>3920.8800000000047</v>
          </cell>
          <cell r="G451">
            <v>3667.9199999999255</v>
          </cell>
          <cell r="H451">
            <v>3920.8800000000047</v>
          </cell>
          <cell r="I451">
            <v>3794.4000000000233</v>
          </cell>
          <cell r="J451">
            <v>3920.8800000000047</v>
          </cell>
          <cell r="K451">
            <v>3794.3999999999069</v>
          </cell>
          <cell r="L451">
            <v>3920.8800000000047</v>
          </cell>
          <cell r="M451">
            <v>3920.8799999998882</v>
          </cell>
          <cell r="N451">
            <v>3794.4000000000233</v>
          </cell>
          <cell r="O451">
            <v>3920.8800000000047</v>
          </cell>
          <cell r="P451">
            <v>3794.4000000000233</v>
          </cell>
          <cell r="Q451">
            <v>3920.8800000000047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</row>
        <row r="454">
          <cell r="C454" t="str">
            <v>APS Exchange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</row>
        <row r="455">
          <cell r="C455" t="str">
            <v>BPA FC II Wind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</row>
        <row r="456">
          <cell r="C456" t="str">
            <v>BPA FC IV Wind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</row>
        <row r="457">
          <cell r="C457" t="str">
            <v>BPA Exchange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</row>
        <row r="458">
          <cell r="C458" t="str">
            <v>BPA So. Idaho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</row>
        <row r="459">
          <cell r="C459" t="str">
            <v>Cowlitz Swift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</row>
        <row r="460">
          <cell r="C460" t="str">
            <v>EWEB FC I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</row>
        <row r="461">
          <cell r="C461" t="str">
            <v>PSCo Exchange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</row>
        <row r="462">
          <cell r="C462" t="str">
            <v>PSCO FC III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</row>
        <row r="463">
          <cell r="C463" t="str">
            <v>Redding Exchange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</row>
        <row r="464">
          <cell r="C464" t="str">
            <v>SCL State Line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</row>
        <row r="469">
          <cell r="C469" t="str">
            <v>COB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</row>
        <row r="470">
          <cell r="C470" t="str">
            <v>Four Corners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</row>
        <row r="471">
          <cell r="C471" t="str">
            <v>Mid Columbia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</row>
        <row r="472">
          <cell r="C472" t="str">
            <v>Mona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</row>
        <row r="473">
          <cell r="C473" t="str">
            <v>Palo Verde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</row>
        <row r="474">
          <cell r="C474" t="str">
            <v>SP15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</row>
        <row r="475">
          <cell r="C475" t="str">
            <v>STF Index Trades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</row>
        <row r="480">
          <cell r="C480" t="str">
            <v>COB</v>
          </cell>
          <cell r="F480">
            <v>0</v>
          </cell>
          <cell r="G480">
            <v>0</v>
          </cell>
          <cell r="H480">
            <v>-5.2700199999999882</v>
          </cell>
          <cell r="I480">
            <v>0</v>
          </cell>
          <cell r="J480">
            <v>-10.386700000000019</v>
          </cell>
          <cell r="K480">
            <v>-66.823899999999412</v>
          </cell>
          <cell r="L480">
            <v>-69.927400000000489</v>
          </cell>
          <cell r="M480">
            <v>-51.166330000000016</v>
          </cell>
          <cell r="N480">
            <v>-10.233400000000074</v>
          </cell>
          <cell r="O480">
            <v>0</v>
          </cell>
          <cell r="P480">
            <v>0</v>
          </cell>
          <cell r="Q480">
            <v>-15.503999999998996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</row>
        <row r="481">
          <cell r="C481" t="str">
            <v>Four Corners</v>
          </cell>
          <cell r="F481">
            <v>-243.55000000000109</v>
          </cell>
          <cell r="G481">
            <v>-350.44000000000233</v>
          </cell>
          <cell r="H481">
            <v>-357.51000000000931</v>
          </cell>
          <cell r="I481">
            <v>-564.88000000000466</v>
          </cell>
          <cell r="J481">
            <v>-697.01000000000931</v>
          </cell>
          <cell r="K481">
            <v>-82.631000000001222</v>
          </cell>
          <cell r="L481">
            <v>-29.432199999999966</v>
          </cell>
          <cell r="M481">
            <v>-10.233093</v>
          </cell>
          <cell r="N481">
            <v>-34.337999999999965</v>
          </cell>
          <cell r="O481">
            <v>-656.35500000001048</v>
          </cell>
          <cell r="P481">
            <v>-534.13999999999942</v>
          </cell>
          <cell r="Q481">
            <v>-90.52100000000064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</row>
        <row r="482">
          <cell r="C482" t="str">
            <v>Mid Columbia</v>
          </cell>
          <cell r="F482">
            <v>0</v>
          </cell>
          <cell r="G482">
            <v>-46.356999999999971</v>
          </cell>
          <cell r="H482">
            <v>-171.88699999999881</v>
          </cell>
          <cell r="I482">
            <v>-814.85999999998603</v>
          </cell>
          <cell r="J482">
            <v>-879.14000000001397</v>
          </cell>
          <cell r="K482">
            <v>-673.71999999997206</v>
          </cell>
          <cell r="L482">
            <v>-913.44999999999709</v>
          </cell>
          <cell r="M482">
            <v>-1053.0499999999884</v>
          </cell>
          <cell r="N482">
            <v>-498.21499999999651</v>
          </cell>
          <cell r="O482">
            <v>-35.816100000000006</v>
          </cell>
          <cell r="P482">
            <v>-86.115000000001601</v>
          </cell>
          <cell r="Q482">
            <v>-5.1159999999999854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</row>
        <row r="483">
          <cell r="C483" t="str">
            <v>Mona</v>
          </cell>
          <cell r="F483">
            <v>-34.948800000000119</v>
          </cell>
          <cell r="G483">
            <v>-9.875</v>
          </cell>
          <cell r="H483">
            <v>-20.772999999999683</v>
          </cell>
          <cell r="I483">
            <v>23.706599999999526</v>
          </cell>
          <cell r="J483">
            <v>-8.658610000000408</v>
          </cell>
          <cell r="K483">
            <v>0</v>
          </cell>
          <cell r="L483">
            <v>-5.1167999999999978</v>
          </cell>
          <cell r="M483">
            <v>0</v>
          </cell>
          <cell r="N483">
            <v>-0.44347999999996546</v>
          </cell>
          <cell r="O483">
            <v>-24.473999999999705</v>
          </cell>
          <cell r="P483">
            <v>-5.8059999999995853</v>
          </cell>
          <cell r="Q483">
            <v>-23.854900000000043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</row>
        <row r="484">
          <cell r="C484" t="str">
            <v>Palo Verde</v>
          </cell>
          <cell r="F484">
            <v>-61.209999999991851</v>
          </cell>
          <cell r="G484">
            <v>-181.69999999999709</v>
          </cell>
          <cell r="H484">
            <v>-87.740000000005239</v>
          </cell>
          <cell r="I484">
            <v>-68.94999999999709</v>
          </cell>
          <cell r="J484">
            <v>-59.026000000005297</v>
          </cell>
          <cell r="K484">
            <v>-5.1160000000018044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</row>
        <row r="485">
          <cell r="C485" t="str">
            <v>SP15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</row>
        <row r="486">
          <cell r="C486" t="str">
            <v>Emergency Purchases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</row>
        <row r="488">
          <cell r="F488">
            <v>-339.70879999999306</v>
          </cell>
          <cell r="G488">
            <v>-588.37200000003213</v>
          </cell>
          <cell r="H488">
            <v>-643.18002000002889</v>
          </cell>
          <cell r="I488">
            <v>-1424.9833999999682</v>
          </cell>
          <cell r="J488">
            <v>-1654.2213099999353</v>
          </cell>
          <cell r="K488">
            <v>-828.29089999996359</v>
          </cell>
          <cell r="L488">
            <v>-1017.9264000000258</v>
          </cell>
          <cell r="M488">
            <v>-1114.4494229999837</v>
          </cell>
          <cell r="N488">
            <v>-543.22987999999896</v>
          </cell>
          <cell r="O488">
            <v>-716.64510000002338</v>
          </cell>
          <cell r="P488">
            <v>-626.06100000000151</v>
          </cell>
          <cell r="Q488">
            <v>-134.99590000000171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</row>
        <row r="490">
          <cell r="A490" t="str">
            <v xml:space="preserve">Total Purchased Power &amp; Net Interchange </v>
          </cell>
          <cell r="F490">
            <v>3581.1711999997497</v>
          </cell>
          <cell r="G490">
            <v>3079.5479999999516</v>
          </cell>
          <cell r="H490">
            <v>3277.699980000034</v>
          </cell>
          <cell r="I490">
            <v>2369.4166000001132</v>
          </cell>
          <cell r="J490">
            <v>2266.6586899999529</v>
          </cell>
          <cell r="K490">
            <v>2966.1091000000015</v>
          </cell>
          <cell r="L490">
            <v>2902.9535999998916</v>
          </cell>
          <cell r="M490">
            <v>2806.4305769999046</v>
          </cell>
          <cell r="N490">
            <v>3251.1701200000243</v>
          </cell>
          <cell r="O490">
            <v>3204.2348999999231</v>
          </cell>
          <cell r="P490">
            <v>3168.3390000001527</v>
          </cell>
          <cell r="Q490">
            <v>3785.8840999999084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</row>
        <row r="492">
          <cell r="A492" t="str">
            <v>Coal Generation</v>
          </cell>
        </row>
        <row r="493">
          <cell r="C493" t="str">
            <v>Cholla</v>
          </cell>
          <cell r="F493">
            <v>-169.78510999999708</v>
          </cell>
          <cell r="G493">
            <v>-87.339380000004894</v>
          </cell>
          <cell r="H493">
            <v>-43.693579999991925</v>
          </cell>
          <cell r="I493">
            <v>-20.466740000003483</v>
          </cell>
          <cell r="J493">
            <v>-10.233219999994617</v>
          </cell>
          <cell r="K493">
            <v>-5.1164200000057463</v>
          </cell>
          <cell r="L493">
            <v>-52.472399999998743</v>
          </cell>
          <cell r="M493">
            <v>-24.036850000004051</v>
          </cell>
          <cell r="N493">
            <v>-12.630120000001625</v>
          </cell>
          <cell r="O493">
            <v>-30.699970000001485</v>
          </cell>
          <cell r="P493">
            <v>-81.865999999994528</v>
          </cell>
          <cell r="Q493">
            <v>-93.545530000003055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</row>
        <row r="494">
          <cell r="C494" t="str">
            <v>Colstrip</v>
          </cell>
          <cell r="F494">
            <v>0</v>
          </cell>
          <cell r="G494">
            <v>0</v>
          </cell>
          <cell r="H494">
            <v>-5.2700249999907101</v>
          </cell>
          <cell r="I494">
            <v>-5.2697760000010021</v>
          </cell>
          <cell r="J494">
            <v>-15.810054999994463</v>
          </cell>
          <cell r="K494">
            <v>-5.2700199999962933</v>
          </cell>
          <cell r="L494">
            <v>0</v>
          </cell>
          <cell r="M494">
            <v>0</v>
          </cell>
          <cell r="N494">
            <v>0</v>
          </cell>
          <cell r="O494">
            <v>-5.2700199999962933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</row>
        <row r="495">
          <cell r="C495" t="str">
            <v>Craig</v>
          </cell>
          <cell r="F495">
            <v>-46.828219999995781</v>
          </cell>
          <cell r="G495">
            <v>-15.503538000019034</v>
          </cell>
          <cell r="H495">
            <v>0</v>
          </cell>
          <cell r="I495">
            <v>0</v>
          </cell>
          <cell r="J495">
            <v>-10.386570000002393</v>
          </cell>
          <cell r="K495">
            <v>0</v>
          </cell>
          <cell r="L495">
            <v>-8.8715099999972153</v>
          </cell>
          <cell r="M495">
            <v>-5.5894799999950919</v>
          </cell>
          <cell r="N495">
            <v>0</v>
          </cell>
          <cell r="O495">
            <v>-7.9330460000055609</v>
          </cell>
          <cell r="P495">
            <v>-22.301405000005616</v>
          </cell>
          <cell r="Q495">
            <v>-52.2467719999986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</row>
        <row r="496">
          <cell r="C496" t="str">
            <v>Dave Johnston</v>
          </cell>
          <cell r="F496">
            <v>0</v>
          </cell>
          <cell r="G496">
            <v>0</v>
          </cell>
          <cell r="H496">
            <v>-32.540111999958754</v>
          </cell>
          <cell r="I496">
            <v>-40.374196999939159</v>
          </cell>
          <cell r="J496">
            <v>-86.472569999925327</v>
          </cell>
          <cell r="K496">
            <v>-42.159894999989774</v>
          </cell>
          <cell r="L496">
            <v>0</v>
          </cell>
          <cell r="M496">
            <v>0</v>
          </cell>
          <cell r="N496">
            <v>-5.2700199999380857</v>
          </cell>
          <cell r="O496">
            <v>-5.2697799999732524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</row>
        <row r="497">
          <cell r="C497" t="str">
            <v>Hayden</v>
          </cell>
          <cell r="F497">
            <v>-52.615347999992082</v>
          </cell>
          <cell r="G497">
            <v>-17.85901699999522</v>
          </cell>
          <cell r="H497">
            <v>-8.0656399999970745</v>
          </cell>
          <cell r="I497">
            <v>-5.1166850000008708</v>
          </cell>
          <cell r="J497">
            <v>-5.1166860000012093</v>
          </cell>
          <cell r="K497">
            <v>0</v>
          </cell>
          <cell r="L497">
            <v>-20.469431999998051</v>
          </cell>
          <cell r="M497">
            <v>-0.80998399999953108</v>
          </cell>
          <cell r="N497">
            <v>-9.006294999991951</v>
          </cell>
          <cell r="O497">
            <v>-5.8339019999984885</v>
          </cell>
          <cell r="P497">
            <v>-11.248525999999401</v>
          </cell>
          <cell r="Q497">
            <v>-35.816407999998773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</row>
        <row r="498">
          <cell r="C498" t="str">
            <v>Hunter</v>
          </cell>
          <cell r="F498">
            <v>-1524.7326689999318</v>
          </cell>
          <cell r="G498">
            <v>-1174.7534730000189</v>
          </cell>
          <cell r="H498">
            <v>-881.7234569999855</v>
          </cell>
          <cell r="I498">
            <v>-386.57579999993322</v>
          </cell>
          <cell r="J498">
            <v>-494.7506459999131</v>
          </cell>
          <cell r="K498">
            <v>-498.5435399999842</v>
          </cell>
          <cell r="L498">
            <v>-975.47094599995762</v>
          </cell>
          <cell r="M498">
            <v>-863.25162500003353</v>
          </cell>
          <cell r="N498">
            <v>-1069.7191710000625</v>
          </cell>
          <cell r="O498">
            <v>-569.46622000006028</v>
          </cell>
          <cell r="P498">
            <v>-672.77939499996137</v>
          </cell>
          <cell r="Q498">
            <v>-1276.0473810000112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</row>
        <row r="499">
          <cell r="C499" t="str">
            <v>Huntington</v>
          </cell>
          <cell r="F499">
            <v>-11.206749999895692</v>
          </cell>
          <cell r="G499">
            <v>-79.817109999945387</v>
          </cell>
          <cell r="H499">
            <v>-176.79165000002831</v>
          </cell>
          <cell r="I499">
            <v>-261.74289600003976</v>
          </cell>
          <cell r="J499">
            <v>-382.29579400003422</v>
          </cell>
          <cell r="K499">
            <v>-588.69704999995884</v>
          </cell>
          <cell r="L499">
            <v>-105.40012999996543</v>
          </cell>
          <cell r="M499">
            <v>-15.810059999930672</v>
          </cell>
          <cell r="N499">
            <v>-42.160159999970347</v>
          </cell>
          <cell r="O499">
            <v>-263.58706000004895</v>
          </cell>
          <cell r="P499">
            <v>-234.47962999995798</v>
          </cell>
          <cell r="Q499">
            <v>-142.44293999997899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</row>
        <row r="500">
          <cell r="C500" t="str">
            <v>Jim Bridger</v>
          </cell>
          <cell r="F500">
            <v>-612.80781999987084</v>
          </cell>
          <cell r="G500">
            <v>-711.48991700005718</v>
          </cell>
          <cell r="H500">
            <v>-1487.3166360000614</v>
          </cell>
          <cell r="I500">
            <v>-594.01512999995612</v>
          </cell>
          <cell r="J500">
            <v>-354.9281530000153</v>
          </cell>
          <cell r="K500">
            <v>-677.8858069999842</v>
          </cell>
          <cell r="L500">
            <v>-1038.3265980000142</v>
          </cell>
          <cell r="M500">
            <v>-1427.9557839998743</v>
          </cell>
          <cell r="N500">
            <v>-1307.0545409999322</v>
          </cell>
          <cell r="O500">
            <v>-988.41838500002632</v>
          </cell>
          <cell r="P500">
            <v>-1145.7721350000938</v>
          </cell>
          <cell r="Q500">
            <v>-1276.1395560000092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</row>
        <row r="501">
          <cell r="C501" t="str">
            <v>Naughton</v>
          </cell>
          <cell r="F501">
            <v>0</v>
          </cell>
          <cell r="G501">
            <v>-42.160151000018232</v>
          </cell>
          <cell r="H501">
            <v>-45.802718000020832</v>
          </cell>
          <cell r="I501">
            <v>-93.348841999977594</v>
          </cell>
          <cell r="J501">
            <v>-112.08070300001418</v>
          </cell>
          <cell r="K501">
            <v>-111.28328200001852</v>
          </cell>
          <cell r="L501">
            <v>-10.54003900004318</v>
          </cell>
          <cell r="M501">
            <v>-5.2700199999962933</v>
          </cell>
          <cell r="N501">
            <v>-5.2700199999962933</v>
          </cell>
          <cell r="O501">
            <v>-59.340434000041569</v>
          </cell>
          <cell r="P501">
            <v>-10.540040000021691</v>
          </cell>
          <cell r="Q501">
            <v>-26.34985400000005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</row>
        <row r="502">
          <cell r="C502" t="str">
            <v>Wyodak</v>
          </cell>
          <cell r="F502">
            <v>0</v>
          </cell>
          <cell r="G502">
            <v>0</v>
          </cell>
          <cell r="H502">
            <v>-5.270009999992908</v>
          </cell>
          <cell r="I502">
            <v>0</v>
          </cell>
          <cell r="J502">
            <v>-1.3854400000127498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</row>
        <row r="503">
          <cell r="C503" t="str">
            <v>Ramp Loss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</row>
        <row r="505">
          <cell r="A505" t="str">
            <v>Total Coal Generation</v>
          </cell>
          <cell r="F505">
            <v>-2417.9759169993922</v>
          </cell>
          <cell r="G505">
            <v>-2128.9225860000588</v>
          </cell>
          <cell r="H505">
            <v>-2686.4738280004822</v>
          </cell>
          <cell r="I505">
            <v>-1406.9100660001859</v>
          </cell>
          <cell r="J505">
            <v>-1473.4598369994201</v>
          </cell>
          <cell r="K505">
            <v>-1928.9560139998794</v>
          </cell>
          <cell r="L505">
            <v>-2211.5510549992323</v>
          </cell>
          <cell r="M505">
            <v>-2342.7238029995933</v>
          </cell>
          <cell r="N505">
            <v>-2451.1103270002641</v>
          </cell>
          <cell r="O505">
            <v>-1935.8188170003705</v>
          </cell>
          <cell r="P505">
            <v>-2178.9871310004964</v>
          </cell>
          <cell r="Q505">
            <v>-2902.58844100032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</row>
        <row r="507">
          <cell r="A507" t="str">
            <v>Gas Generation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-67.743609999975888</v>
          </cell>
          <cell r="J508">
            <v>0</v>
          </cell>
          <cell r="K508">
            <v>0</v>
          </cell>
          <cell r="L508">
            <v>-42.006829999998445</v>
          </cell>
          <cell r="M508">
            <v>-92.644999999960419</v>
          </cell>
          <cell r="N508">
            <v>-192.37631999998121</v>
          </cell>
          <cell r="O508">
            <v>-289.17240999999922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</row>
        <row r="510">
          <cell r="F510">
            <v>-247.69193499998073</v>
          </cell>
          <cell r="G510">
            <v>-192.99375400002464</v>
          </cell>
          <cell r="H510">
            <v>-119.81238600000506</v>
          </cell>
          <cell r="I510">
            <v>0</v>
          </cell>
          <cell r="J510">
            <v>-110.36459399998421</v>
          </cell>
          <cell r="K510">
            <v>-213.81556999997701</v>
          </cell>
          <cell r="L510">
            <v>-72.378557999967597</v>
          </cell>
          <cell r="M510">
            <v>-54.909796000050846</v>
          </cell>
          <cell r="N510">
            <v>-45.118077000021003</v>
          </cell>
          <cell r="O510">
            <v>-375.08909999998286</v>
          </cell>
          <cell r="P510">
            <v>0</v>
          </cell>
          <cell r="Q510">
            <v>-322.69606799993198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</row>
        <row r="512">
          <cell r="F512">
            <v>29.846663999999691</v>
          </cell>
          <cell r="G512">
            <v>-0.46000800000001618</v>
          </cell>
          <cell r="H512">
            <v>-0.6133430000008957</v>
          </cell>
          <cell r="I512">
            <v>-1.9932649999991554</v>
          </cell>
          <cell r="J512">
            <v>-25.220682999999553</v>
          </cell>
          <cell r="K512">
            <v>-0.92013600000063889</v>
          </cell>
          <cell r="L512">
            <v>-16.479796499999793</v>
          </cell>
          <cell r="M512">
            <v>-50.03028600000107</v>
          </cell>
          <cell r="N512">
            <v>-11.299796499999502</v>
          </cell>
          <cell r="O512">
            <v>-1.3800259999989066</v>
          </cell>
          <cell r="P512">
            <v>-5.2141110000011395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</row>
        <row r="513">
          <cell r="F513">
            <v>-14.52813999998034</v>
          </cell>
          <cell r="G513">
            <v>-59.578229999984615</v>
          </cell>
          <cell r="H513">
            <v>-28.694100000022445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-18.404860000009649</v>
          </cell>
          <cell r="Q513">
            <v>-64.884850000002189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</row>
        <row r="514">
          <cell r="F514">
            <v>-372.62933000002522</v>
          </cell>
          <cell r="G514">
            <v>-230.84334999999555</v>
          </cell>
          <cell r="H514">
            <v>-19.956949999992503</v>
          </cell>
          <cell r="I514">
            <v>-50.956950000021607</v>
          </cell>
          <cell r="J514">
            <v>-157.5424799999746</v>
          </cell>
          <cell r="K514">
            <v>-202.10707000002731</v>
          </cell>
          <cell r="L514">
            <v>-36.88990999996895</v>
          </cell>
          <cell r="M514">
            <v>-47.5833800000255</v>
          </cell>
          <cell r="N514">
            <v>-31.619869999994989</v>
          </cell>
          <cell r="O514">
            <v>-204.29133999999613</v>
          </cell>
          <cell r="P514">
            <v>-240.77572999999393</v>
          </cell>
          <cell r="Q514">
            <v>-206.94848000002094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</row>
        <row r="515">
          <cell r="F515">
            <v>-72.48340000002645</v>
          </cell>
          <cell r="G515">
            <v>-49.957699999999022</v>
          </cell>
          <cell r="H515">
            <v>-140.16780299998936</v>
          </cell>
          <cell r="I515">
            <v>-86.506915000005392</v>
          </cell>
          <cell r="J515">
            <v>-96.155599999969127</v>
          </cell>
          <cell r="K515">
            <v>-206.59261299995705</v>
          </cell>
          <cell r="L515">
            <v>-103.04407000000356</v>
          </cell>
          <cell r="M515">
            <v>-137.84088999999221</v>
          </cell>
          <cell r="N515">
            <v>-312.8635409999988</v>
          </cell>
          <cell r="O515">
            <v>-225.92349800007651</v>
          </cell>
          <cell r="P515">
            <v>-257.10624999995343</v>
          </cell>
          <cell r="Q515">
            <v>201.35383000000729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</row>
        <row r="518">
          <cell r="A518" t="str">
            <v>Total Gas Generation</v>
          </cell>
          <cell r="F518">
            <v>-677.48614099994302</v>
          </cell>
          <cell r="G518">
            <v>-533.83304199995473</v>
          </cell>
          <cell r="H518">
            <v>-309.2445819999557</v>
          </cell>
          <cell r="I518">
            <v>-207.20073999988381</v>
          </cell>
          <cell r="J518">
            <v>-389.28335699986201</v>
          </cell>
          <cell r="K518">
            <v>-623.43538899975829</v>
          </cell>
          <cell r="L518">
            <v>-270.7991645000875</v>
          </cell>
          <cell r="M518">
            <v>-383.00935199996457</v>
          </cell>
          <cell r="N518">
            <v>-593.2776044998318</v>
          </cell>
          <cell r="O518">
            <v>-1095.8563739999663</v>
          </cell>
          <cell r="P518">
            <v>-521.50095100002363</v>
          </cell>
          <cell r="Q518">
            <v>-393.17556799971499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</row>
        <row r="520">
          <cell r="A520" t="str">
            <v>Hydro Generation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</row>
        <row r="524">
          <cell r="A524" t="str">
            <v>Total Hydro Generation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</row>
        <row r="526">
          <cell r="A526" t="str">
            <v>Other Generation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</row>
        <row r="546">
          <cell r="A546" t="str">
            <v>Total Other Generation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</row>
        <row r="548">
          <cell r="A548" t="str">
            <v>IRP Resources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</row>
        <row r="573">
          <cell r="A573" t="str">
            <v>Total IRP Resources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0</v>
          </cell>
          <cell r="BP573">
            <v>0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  <cell r="DD573">
            <v>0</v>
          </cell>
          <cell r="DE573">
            <v>0</v>
          </cell>
          <cell r="DF573">
            <v>0</v>
          </cell>
          <cell r="DG573">
            <v>0</v>
          </cell>
          <cell r="DH573">
            <v>0</v>
          </cell>
          <cell r="DI573">
            <v>0</v>
          </cell>
          <cell r="DJ573">
            <v>0</v>
          </cell>
          <cell r="DK573">
            <v>0</v>
          </cell>
          <cell r="DL573">
            <v>0</v>
          </cell>
          <cell r="DM573">
            <v>0</v>
          </cell>
          <cell r="DN573">
            <v>0</v>
          </cell>
          <cell r="DO573">
            <v>0</v>
          </cell>
          <cell r="DP573">
            <v>0</v>
          </cell>
          <cell r="DQ573">
            <v>0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</row>
        <row r="575">
          <cell r="A575" t="str">
            <v>Growth Station Resources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-5.1166750000000008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</row>
        <row r="584">
          <cell r="A584" t="str">
            <v>Total Growth Station Resources</v>
          </cell>
          <cell r="F584">
            <v>0</v>
          </cell>
          <cell r="G584">
            <v>0</v>
          </cell>
          <cell r="H584">
            <v>0</v>
          </cell>
          <cell r="I584">
            <v>-5.1166750000002139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</row>
        <row r="585">
          <cell r="F585" t="str">
            <v>=</v>
          </cell>
          <cell r="G585" t="str">
            <v>=</v>
          </cell>
          <cell r="H585" t="str">
            <v>=</v>
          </cell>
          <cell r="I585" t="str">
            <v>=</v>
          </cell>
          <cell r="J585" t="str">
            <v>=</v>
          </cell>
          <cell r="K585" t="str">
            <v>=</v>
          </cell>
          <cell r="L585" t="str">
            <v>=</v>
          </cell>
          <cell r="M585" t="str">
            <v>=</v>
          </cell>
          <cell r="N585" t="str">
            <v>=</v>
          </cell>
          <cell r="O585" t="str">
            <v>=</v>
          </cell>
          <cell r="P585" t="str">
            <v>=</v>
          </cell>
          <cell r="Q585" t="str">
            <v>=</v>
          </cell>
          <cell r="R585" t="str">
            <v>=</v>
          </cell>
          <cell r="S585" t="str">
            <v>=</v>
          </cell>
          <cell r="T585" t="str">
            <v>=</v>
          </cell>
          <cell r="U585" t="str">
            <v>=</v>
          </cell>
          <cell r="V585" t="str">
            <v>=</v>
          </cell>
          <cell r="W585" t="str">
            <v>=</v>
          </cell>
          <cell r="X585" t="str">
            <v>=</v>
          </cell>
          <cell r="Y585" t="str">
            <v>=</v>
          </cell>
          <cell r="Z585" t="str">
            <v>=</v>
          </cell>
          <cell r="AA585" t="str">
            <v>=</v>
          </cell>
          <cell r="AB585" t="str">
            <v>=</v>
          </cell>
          <cell r="AC585" t="str">
            <v>=</v>
          </cell>
          <cell r="AD585" t="str">
            <v>=</v>
          </cell>
          <cell r="AE585" t="str">
            <v>=</v>
          </cell>
          <cell r="AF585" t="str">
            <v>=</v>
          </cell>
          <cell r="AG585" t="str">
            <v>=</v>
          </cell>
          <cell r="AH585" t="str">
            <v>=</v>
          </cell>
          <cell r="AI585" t="str">
            <v>=</v>
          </cell>
          <cell r="AJ585" t="str">
            <v>=</v>
          </cell>
          <cell r="AK585" t="str">
            <v>=</v>
          </cell>
          <cell r="AL585" t="str">
            <v>=</v>
          </cell>
          <cell r="AM585" t="str">
            <v>=</v>
          </cell>
          <cell r="AN585" t="str">
            <v>=</v>
          </cell>
          <cell r="AO585" t="str">
            <v>=</v>
          </cell>
          <cell r="AP585" t="str">
            <v>=</v>
          </cell>
          <cell r="AQ585" t="str">
            <v>=</v>
          </cell>
          <cell r="AR585" t="str">
            <v>=</v>
          </cell>
          <cell r="AS585" t="str">
            <v>=</v>
          </cell>
          <cell r="AT585" t="str">
            <v>=</v>
          </cell>
          <cell r="AU585" t="str">
            <v>=</v>
          </cell>
          <cell r="AV585" t="str">
            <v>=</v>
          </cell>
          <cell r="AW585" t="str">
            <v>=</v>
          </cell>
          <cell r="AX585" t="str">
            <v>=</v>
          </cell>
          <cell r="AY585" t="str">
            <v>=</v>
          </cell>
          <cell r="AZ585" t="str">
            <v>=</v>
          </cell>
          <cell r="BA585" t="str">
            <v>=</v>
          </cell>
          <cell r="BB585" t="str">
            <v>=</v>
          </cell>
          <cell r="BC585" t="str">
            <v>=</v>
          </cell>
          <cell r="BD585" t="str">
            <v>=</v>
          </cell>
          <cell r="BE585" t="str">
            <v>=</v>
          </cell>
          <cell r="BF585" t="str">
            <v>=</v>
          </cell>
          <cell r="BG585" t="str">
            <v>=</v>
          </cell>
          <cell r="BH585" t="str">
            <v>=</v>
          </cell>
          <cell r="BI585" t="str">
            <v>=</v>
          </cell>
          <cell r="BJ585" t="str">
            <v>=</v>
          </cell>
          <cell r="BK585" t="str">
            <v>=</v>
          </cell>
          <cell r="BL585" t="str">
            <v>=</v>
          </cell>
          <cell r="BM585" t="str">
            <v>=</v>
          </cell>
          <cell r="BN585" t="str">
            <v>=</v>
          </cell>
          <cell r="BO585" t="str">
            <v>=</v>
          </cell>
          <cell r="BP585" t="str">
            <v>=</v>
          </cell>
          <cell r="BQ585" t="str">
            <v>=</v>
          </cell>
          <cell r="BR585" t="str">
            <v>=</v>
          </cell>
          <cell r="BS585" t="str">
            <v>=</v>
          </cell>
          <cell r="BT585" t="str">
            <v>=</v>
          </cell>
          <cell r="BU585" t="str">
            <v>=</v>
          </cell>
          <cell r="BV585" t="str">
            <v>=</v>
          </cell>
          <cell r="BW585" t="str">
            <v>=</v>
          </cell>
          <cell r="BX585" t="str">
            <v>=</v>
          </cell>
          <cell r="BY585" t="str">
            <v>=</v>
          </cell>
          <cell r="BZ585" t="str">
            <v>=</v>
          </cell>
          <cell r="CA585" t="str">
            <v>=</v>
          </cell>
          <cell r="CB585" t="str">
            <v>=</v>
          </cell>
          <cell r="CC585" t="str">
            <v>=</v>
          </cell>
          <cell r="CD585" t="str">
            <v>=</v>
          </cell>
          <cell r="CE585" t="str">
            <v>=</v>
          </cell>
          <cell r="CF585" t="str">
            <v>=</v>
          </cell>
          <cell r="CG585" t="str">
            <v>=</v>
          </cell>
          <cell r="CH585" t="str">
            <v>=</v>
          </cell>
          <cell r="CI585" t="str">
            <v>=</v>
          </cell>
          <cell r="CJ585" t="str">
            <v>=</v>
          </cell>
          <cell r="CK585" t="str">
            <v>=</v>
          </cell>
          <cell r="CL585" t="str">
            <v>=</v>
          </cell>
          <cell r="CM585" t="str">
            <v>=</v>
          </cell>
          <cell r="CN585" t="str">
            <v>=</v>
          </cell>
          <cell r="CO585" t="str">
            <v>=</v>
          </cell>
          <cell r="CP585" t="str">
            <v>=</v>
          </cell>
          <cell r="CQ585" t="str">
            <v>=</v>
          </cell>
          <cell r="CR585" t="str">
            <v>=</v>
          </cell>
          <cell r="CS585" t="str">
            <v>=</v>
          </cell>
          <cell r="CT585" t="str">
            <v>=</v>
          </cell>
          <cell r="CU585" t="str">
            <v>=</v>
          </cell>
          <cell r="CV585" t="str">
            <v>=</v>
          </cell>
          <cell r="CW585" t="str">
            <v>=</v>
          </cell>
          <cell r="CX585" t="str">
            <v>=</v>
          </cell>
          <cell r="CY585" t="str">
            <v>=</v>
          </cell>
          <cell r="CZ585" t="str">
            <v>=</v>
          </cell>
          <cell r="DA585" t="str">
            <v>=</v>
          </cell>
          <cell r="DB585" t="str">
            <v>=</v>
          </cell>
          <cell r="DC585" t="str">
            <v>=</v>
          </cell>
          <cell r="DD585" t="str">
            <v>=</v>
          </cell>
          <cell r="DE585" t="str">
            <v>=</v>
          </cell>
          <cell r="DF585" t="str">
            <v>=</v>
          </cell>
          <cell r="DG585" t="str">
            <v>=</v>
          </cell>
          <cell r="DH585" t="str">
            <v>=</v>
          </cell>
          <cell r="DI585" t="str">
            <v>=</v>
          </cell>
          <cell r="DJ585" t="str">
            <v>=</v>
          </cell>
          <cell r="DK585" t="str">
            <v>=</v>
          </cell>
          <cell r="DL585" t="str">
            <v>=</v>
          </cell>
          <cell r="DM585" t="str">
            <v>=</v>
          </cell>
          <cell r="DN585" t="str">
            <v>=</v>
          </cell>
          <cell r="DO585" t="str">
            <v>=</v>
          </cell>
          <cell r="DP585" t="str">
            <v>=</v>
          </cell>
          <cell r="DQ585" t="str">
            <v>=</v>
          </cell>
          <cell r="DR585" t="str">
            <v>=</v>
          </cell>
          <cell r="DS585" t="str">
            <v>=</v>
          </cell>
          <cell r="DT585" t="str">
            <v>=</v>
          </cell>
          <cell r="DU585" t="str">
            <v>=</v>
          </cell>
          <cell r="DV585" t="str">
            <v>=</v>
          </cell>
          <cell r="DW585" t="str">
            <v>=</v>
          </cell>
          <cell r="DX585" t="str">
            <v>=</v>
          </cell>
          <cell r="DY585" t="str">
            <v>=</v>
          </cell>
          <cell r="DZ585" t="str">
            <v>=</v>
          </cell>
          <cell r="EA585" t="str">
            <v>=</v>
          </cell>
          <cell r="EB585" t="str">
            <v>=</v>
          </cell>
          <cell r="EC585" t="str">
            <v>=</v>
          </cell>
          <cell r="ED585" t="str">
            <v>=</v>
          </cell>
        </row>
        <row r="586">
          <cell r="A586" t="str">
            <v>Total Resources</v>
          </cell>
          <cell r="F586">
            <v>485.70914200041443</v>
          </cell>
          <cell r="G586">
            <v>416.7923720004037</v>
          </cell>
          <cell r="H586">
            <v>281.98156999982893</v>
          </cell>
          <cell r="I586">
            <v>750.18911900091916</v>
          </cell>
          <cell r="J586">
            <v>403.91549600102007</v>
          </cell>
          <cell r="K586">
            <v>413.71769700013101</v>
          </cell>
          <cell r="L586">
            <v>420.60338050127029</v>
          </cell>
          <cell r="M586">
            <v>80.697422000579536</v>
          </cell>
          <cell r="N586">
            <v>206.7821885002777</v>
          </cell>
          <cell r="O586">
            <v>172.55970899946988</v>
          </cell>
          <cell r="P586">
            <v>467.85091799963266</v>
          </cell>
          <cell r="Q586">
            <v>490.12009099964052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</row>
        <row r="587">
          <cell r="F587" t="str">
            <v>=</v>
          </cell>
          <cell r="G587" t="str">
            <v>=</v>
          </cell>
          <cell r="H587" t="str">
            <v>=</v>
          </cell>
          <cell r="I587" t="str">
            <v>=</v>
          </cell>
          <cell r="J587" t="str">
            <v>=</v>
          </cell>
          <cell r="K587" t="str">
            <v>=</v>
          </cell>
          <cell r="L587" t="str">
            <v>=</v>
          </cell>
          <cell r="M587" t="str">
            <v>=</v>
          </cell>
          <cell r="N587" t="str">
            <v>=</v>
          </cell>
          <cell r="O587" t="str">
            <v>=</v>
          </cell>
          <cell r="P587" t="str">
            <v>=</v>
          </cell>
          <cell r="Q587" t="str">
            <v>=</v>
          </cell>
          <cell r="R587" t="str">
            <v>=</v>
          </cell>
          <cell r="S587" t="str">
            <v>=</v>
          </cell>
          <cell r="T587" t="str">
            <v>=</v>
          </cell>
          <cell r="U587" t="str">
            <v>=</v>
          </cell>
          <cell r="V587" t="str">
            <v>=</v>
          </cell>
          <cell r="W587" t="str">
            <v>=</v>
          </cell>
          <cell r="X587" t="str">
            <v>=</v>
          </cell>
          <cell r="Y587" t="str">
            <v>=</v>
          </cell>
          <cell r="Z587" t="str">
            <v>=</v>
          </cell>
          <cell r="AA587" t="str">
            <v>=</v>
          </cell>
          <cell r="AB587" t="str">
            <v>=</v>
          </cell>
          <cell r="AC587" t="str">
            <v>=</v>
          </cell>
          <cell r="AD587" t="str">
            <v>=</v>
          </cell>
          <cell r="AE587" t="str">
            <v>=</v>
          </cell>
          <cell r="AF587" t="str">
            <v>=</v>
          </cell>
          <cell r="AG587" t="str">
            <v>=</v>
          </cell>
          <cell r="AH587" t="str">
            <v>=</v>
          </cell>
          <cell r="AI587" t="str">
            <v>=</v>
          </cell>
          <cell r="AJ587" t="str">
            <v>=</v>
          </cell>
          <cell r="AK587" t="str">
            <v>=</v>
          </cell>
          <cell r="AL587" t="str">
            <v>=</v>
          </cell>
          <cell r="AM587" t="str">
            <v>=</v>
          </cell>
          <cell r="AN587" t="str">
            <v>=</v>
          </cell>
          <cell r="AO587" t="str">
            <v>=</v>
          </cell>
          <cell r="AP587" t="str">
            <v>=</v>
          </cell>
          <cell r="AQ587" t="str">
            <v>=</v>
          </cell>
          <cell r="AR587" t="str">
            <v>=</v>
          </cell>
          <cell r="AS587" t="str">
            <v>=</v>
          </cell>
          <cell r="AT587" t="str">
            <v>=</v>
          </cell>
          <cell r="AU587" t="str">
            <v>=</v>
          </cell>
          <cell r="AV587" t="str">
            <v>=</v>
          </cell>
          <cell r="AW587" t="str">
            <v>=</v>
          </cell>
          <cell r="AX587" t="str">
            <v>=</v>
          </cell>
          <cell r="AY587" t="str">
            <v>=</v>
          </cell>
          <cell r="AZ587" t="str">
            <v>=</v>
          </cell>
          <cell r="BA587" t="str">
            <v>=</v>
          </cell>
          <cell r="BB587" t="str">
            <v>=</v>
          </cell>
          <cell r="BC587" t="str">
            <v>=</v>
          </cell>
          <cell r="BD587" t="str">
            <v>=</v>
          </cell>
          <cell r="BE587" t="str">
            <v>=</v>
          </cell>
          <cell r="BF587" t="str">
            <v>=</v>
          </cell>
          <cell r="BG587" t="str">
            <v>=</v>
          </cell>
          <cell r="BH587" t="str">
            <v>=</v>
          </cell>
          <cell r="BI587" t="str">
            <v>=</v>
          </cell>
          <cell r="BJ587" t="str">
            <v>=</v>
          </cell>
          <cell r="BK587" t="str">
            <v>=</v>
          </cell>
          <cell r="BL587" t="str">
            <v>=</v>
          </cell>
          <cell r="BM587" t="str">
            <v>=</v>
          </cell>
          <cell r="BN587" t="str">
            <v>=</v>
          </cell>
          <cell r="BO587" t="str">
            <v>=</v>
          </cell>
          <cell r="BP587" t="str">
            <v>=</v>
          </cell>
          <cell r="BQ587" t="str">
            <v>=</v>
          </cell>
          <cell r="BR587" t="str">
            <v>=</v>
          </cell>
          <cell r="BS587" t="str">
            <v>=</v>
          </cell>
          <cell r="BT587" t="str">
            <v>=</v>
          </cell>
          <cell r="BU587" t="str">
            <v>=</v>
          </cell>
          <cell r="BV587" t="str">
            <v>=</v>
          </cell>
          <cell r="BW587" t="str">
            <v>=</v>
          </cell>
          <cell r="BX587" t="str">
            <v>=</v>
          </cell>
          <cell r="BY587" t="str">
            <v>=</v>
          </cell>
          <cell r="BZ587" t="str">
            <v>=</v>
          </cell>
          <cell r="CA587" t="str">
            <v>=</v>
          </cell>
          <cell r="CB587" t="str">
            <v>=</v>
          </cell>
          <cell r="CC587" t="str">
            <v>=</v>
          </cell>
          <cell r="CD587" t="str">
            <v>=</v>
          </cell>
          <cell r="CE587" t="str">
            <v>=</v>
          </cell>
          <cell r="CF587" t="str">
            <v>=</v>
          </cell>
          <cell r="CG587" t="str">
            <v>=</v>
          </cell>
          <cell r="CH587" t="str">
            <v>=</v>
          </cell>
          <cell r="CI587" t="str">
            <v>=</v>
          </cell>
          <cell r="CJ587" t="str">
            <v>=</v>
          </cell>
          <cell r="CK587" t="str">
            <v>=</v>
          </cell>
          <cell r="CL587" t="str">
            <v>=</v>
          </cell>
          <cell r="CM587" t="str">
            <v>=</v>
          </cell>
          <cell r="CN587" t="str">
            <v>=</v>
          </cell>
          <cell r="CO587" t="str">
            <v>=</v>
          </cell>
          <cell r="CP587" t="str">
            <v>=</v>
          </cell>
          <cell r="CQ587" t="str">
            <v>=</v>
          </cell>
          <cell r="CR587" t="str">
            <v>=</v>
          </cell>
          <cell r="CS587" t="str">
            <v>=</v>
          </cell>
          <cell r="CT587" t="str">
            <v>=</v>
          </cell>
          <cell r="CU587" t="str">
            <v>=</v>
          </cell>
          <cell r="CV587" t="str">
            <v>=</v>
          </cell>
          <cell r="CW587" t="str">
            <v>=</v>
          </cell>
          <cell r="CX587" t="str">
            <v>=</v>
          </cell>
          <cell r="CY587" t="str">
            <v>=</v>
          </cell>
          <cell r="CZ587" t="str">
            <v>=</v>
          </cell>
          <cell r="DA587" t="str">
            <v>=</v>
          </cell>
          <cell r="DB587" t="str">
            <v>=</v>
          </cell>
          <cell r="DC587" t="str">
            <v>=</v>
          </cell>
          <cell r="DD587" t="str">
            <v>=</v>
          </cell>
          <cell r="DE587" t="str">
            <v>=</v>
          </cell>
          <cell r="DF587" t="str">
            <v>=</v>
          </cell>
          <cell r="DG587" t="str">
            <v>=</v>
          </cell>
          <cell r="DH587" t="str">
            <v>=</v>
          </cell>
          <cell r="DI587" t="str">
            <v>=</v>
          </cell>
          <cell r="DJ587" t="str">
            <v>=</v>
          </cell>
          <cell r="DK587" t="str">
            <v>=</v>
          </cell>
          <cell r="DL587" t="str">
            <v>=</v>
          </cell>
          <cell r="DM587" t="str">
            <v>=</v>
          </cell>
          <cell r="DN587" t="str">
            <v>=</v>
          </cell>
          <cell r="DO587" t="str">
            <v>=</v>
          </cell>
          <cell r="DP587" t="str">
            <v>=</v>
          </cell>
          <cell r="DQ587" t="str">
            <v>=</v>
          </cell>
          <cell r="DR587" t="str">
            <v>=</v>
          </cell>
          <cell r="DS587" t="str">
            <v>=</v>
          </cell>
          <cell r="DT587" t="str">
            <v>=</v>
          </cell>
          <cell r="DU587" t="str">
            <v>=</v>
          </cell>
          <cell r="DV587" t="str">
            <v>=</v>
          </cell>
          <cell r="DW587" t="str">
            <v>=</v>
          </cell>
          <cell r="DX587" t="str">
            <v>=</v>
          </cell>
          <cell r="DY587" t="str">
            <v>=</v>
          </cell>
          <cell r="DZ587" t="str">
            <v>=</v>
          </cell>
          <cell r="EA587" t="str">
            <v>=</v>
          </cell>
          <cell r="EB587" t="str">
            <v>=</v>
          </cell>
          <cell r="EC587" t="str">
            <v>=</v>
          </cell>
          <cell r="ED587" t="str">
            <v>=</v>
          </cell>
        </row>
        <row r="588"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 t="str">
            <v/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 t="str">
            <v/>
          </cell>
          <cell r="BU588" t="str">
            <v/>
          </cell>
          <cell r="BV588" t="str">
            <v/>
          </cell>
          <cell r="BW588" t="str">
            <v/>
          </cell>
          <cell r="BX588" t="str">
            <v/>
          </cell>
          <cell r="BY588" t="str">
            <v/>
          </cell>
          <cell r="BZ588" t="str">
            <v/>
          </cell>
          <cell r="CA588" t="str">
            <v/>
          </cell>
          <cell r="CB588" t="str">
            <v/>
          </cell>
          <cell r="CC588" t="str">
            <v/>
          </cell>
          <cell r="CD588" t="str">
            <v/>
          </cell>
          <cell r="CE588" t="str">
            <v/>
          </cell>
          <cell r="CF588" t="str">
            <v/>
          </cell>
          <cell r="CG588" t="str">
            <v/>
          </cell>
          <cell r="CH588" t="str">
            <v/>
          </cell>
          <cell r="CI588" t="str">
            <v/>
          </cell>
          <cell r="CJ588" t="str">
            <v/>
          </cell>
          <cell r="CK588" t="str">
            <v/>
          </cell>
          <cell r="CL588" t="str">
            <v/>
          </cell>
          <cell r="CM588" t="str">
            <v/>
          </cell>
          <cell r="CN588" t="str">
            <v/>
          </cell>
          <cell r="CO588" t="str">
            <v/>
          </cell>
          <cell r="CP588" t="str">
            <v/>
          </cell>
          <cell r="CQ588" t="str">
            <v/>
          </cell>
          <cell r="CR588" t="str">
            <v/>
          </cell>
          <cell r="CS588" t="str">
            <v/>
          </cell>
          <cell r="CT588" t="str">
            <v/>
          </cell>
          <cell r="CU588" t="str">
            <v/>
          </cell>
          <cell r="CV588" t="str">
            <v/>
          </cell>
          <cell r="CW588" t="str">
            <v/>
          </cell>
          <cell r="CX588" t="str">
            <v/>
          </cell>
          <cell r="CY588" t="str">
            <v/>
          </cell>
          <cell r="CZ588" t="str">
            <v/>
          </cell>
          <cell r="DA588" t="str">
            <v/>
          </cell>
          <cell r="DB588" t="str">
            <v/>
          </cell>
          <cell r="DC588" t="str">
            <v/>
          </cell>
          <cell r="DD588" t="str">
            <v/>
          </cell>
          <cell r="DE588" t="str">
            <v/>
          </cell>
          <cell r="DF588" t="str">
            <v/>
          </cell>
          <cell r="DG588" t="str">
            <v/>
          </cell>
          <cell r="DH588" t="str">
            <v/>
          </cell>
          <cell r="DI588" t="str">
            <v/>
          </cell>
          <cell r="DJ588" t="str">
            <v/>
          </cell>
          <cell r="DK588" t="str">
            <v/>
          </cell>
          <cell r="DL588" t="str">
            <v/>
          </cell>
          <cell r="DM588" t="str">
            <v/>
          </cell>
          <cell r="DN588" t="str">
            <v/>
          </cell>
          <cell r="DO588" t="str">
            <v/>
          </cell>
          <cell r="DP588" t="str">
            <v/>
          </cell>
          <cell r="DQ588" t="str">
            <v/>
          </cell>
          <cell r="DR588" t="str">
            <v/>
          </cell>
          <cell r="DS588" t="str">
            <v/>
          </cell>
          <cell r="DT588" t="str">
            <v/>
          </cell>
          <cell r="DU588" t="str">
            <v/>
          </cell>
          <cell r="DV588" t="str">
            <v/>
          </cell>
          <cell r="DW588" t="str">
            <v/>
          </cell>
          <cell r="DX588" t="str">
            <v/>
          </cell>
          <cell r="DY588" t="str">
            <v/>
          </cell>
          <cell r="DZ588" t="str">
            <v/>
          </cell>
          <cell r="EA588" t="str">
            <v/>
          </cell>
          <cell r="EB588" t="str">
            <v/>
          </cell>
          <cell r="EC588" t="str">
            <v/>
          </cell>
          <cell r="ED588" t="str">
            <v/>
          </cell>
        </row>
        <row r="589"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  <cell r="BP589" t="str">
            <v/>
          </cell>
          <cell r="BQ589" t="str">
            <v/>
          </cell>
          <cell r="BR589" t="str">
            <v/>
          </cell>
          <cell r="BS589" t="str">
            <v/>
          </cell>
          <cell r="BT589" t="str">
            <v/>
          </cell>
          <cell r="BU589" t="str">
            <v/>
          </cell>
          <cell r="BV589" t="str">
            <v/>
          </cell>
          <cell r="BW589" t="str">
            <v/>
          </cell>
          <cell r="BX589" t="str">
            <v/>
          </cell>
          <cell r="BY589" t="str">
            <v/>
          </cell>
          <cell r="BZ589" t="str">
            <v/>
          </cell>
          <cell r="CA589" t="str">
            <v/>
          </cell>
          <cell r="CB589" t="str">
            <v/>
          </cell>
          <cell r="CC589" t="str">
            <v/>
          </cell>
          <cell r="CD589" t="str">
            <v/>
          </cell>
          <cell r="CE589" t="str">
            <v/>
          </cell>
          <cell r="CF589" t="str">
            <v/>
          </cell>
          <cell r="CG589" t="str">
            <v/>
          </cell>
          <cell r="CH589" t="str">
            <v/>
          </cell>
          <cell r="CI589" t="str">
            <v/>
          </cell>
          <cell r="CJ589" t="str">
            <v/>
          </cell>
          <cell r="CK589" t="str">
            <v/>
          </cell>
          <cell r="CL589" t="str">
            <v/>
          </cell>
          <cell r="CM589" t="str">
            <v/>
          </cell>
          <cell r="CN589" t="str">
            <v/>
          </cell>
          <cell r="CO589" t="str">
            <v/>
          </cell>
          <cell r="CP589" t="str">
            <v/>
          </cell>
          <cell r="CQ589" t="str">
            <v/>
          </cell>
          <cell r="CR589" t="str">
            <v/>
          </cell>
          <cell r="CS589" t="str">
            <v/>
          </cell>
          <cell r="CT589" t="str">
            <v/>
          </cell>
          <cell r="CU589" t="str">
            <v/>
          </cell>
          <cell r="CV589" t="str">
            <v/>
          </cell>
          <cell r="CW589" t="str">
            <v/>
          </cell>
          <cell r="CX589" t="str">
            <v/>
          </cell>
          <cell r="CY589" t="str">
            <v/>
          </cell>
          <cell r="CZ589" t="str">
            <v/>
          </cell>
          <cell r="DA589" t="str">
            <v/>
          </cell>
          <cell r="DB589" t="str">
            <v/>
          </cell>
          <cell r="DC589" t="str">
            <v/>
          </cell>
          <cell r="DD589" t="str">
            <v/>
          </cell>
          <cell r="DE589" t="str">
            <v/>
          </cell>
          <cell r="DF589" t="str">
            <v/>
          </cell>
          <cell r="DG589" t="str">
            <v/>
          </cell>
          <cell r="DH589" t="str">
            <v/>
          </cell>
          <cell r="DI589" t="str">
            <v/>
          </cell>
          <cell r="DJ589" t="str">
            <v/>
          </cell>
          <cell r="DK589" t="str">
            <v/>
          </cell>
          <cell r="DL589" t="str">
            <v/>
          </cell>
          <cell r="DM589" t="str">
            <v/>
          </cell>
          <cell r="DN589" t="str">
            <v/>
          </cell>
          <cell r="DO589" t="str">
            <v/>
          </cell>
          <cell r="DP589" t="str">
            <v/>
          </cell>
          <cell r="DQ589" t="str">
            <v/>
          </cell>
          <cell r="DR589" t="str">
            <v/>
          </cell>
          <cell r="DS589" t="str">
            <v/>
          </cell>
          <cell r="DT589" t="str">
            <v/>
          </cell>
          <cell r="DU589" t="str">
            <v/>
          </cell>
          <cell r="DV589" t="str">
            <v/>
          </cell>
          <cell r="DW589" t="str">
            <v/>
          </cell>
          <cell r="DX589" t="str">
            <v/>
          </cell>
          <cell r="DY589" t="str">
            <v/>
          </cell>
          <cell r="DZ589" t="str">
            <v/>
          </cell>
          <cell r="EA589" t="str">
            <v/>
          </cell>
          <cell r="EB589" t="str">
            <v/>
          </cell>
          <cell r="EC589" t="str">
            <v/>
          </cell>
          <cell r="ED589" t="str">
            <v/>
          </cell>
        </row>
        <row r="590">
          <cell r="J590" t="str">
            <v>"The Rack"</v>
          </cell>
          <cell r="W590" t="str">
            <v>"The Rack"</v>
          </cell>
          <cell r="AJ590" t="str">
            <v>"The Rack"</v>
          </cell>
          <cell r="AW590" t="str">
            <v>"The Rack"</v>
          </cell>
          <cell r="BJ590" t="str">
            <v>"The Rack"</v>
          </cell>
          <cell r="BW590" t="str">
            <v>"The Rack"</v>
          </cell>
          <cell r="CJ590" t="str">
            <v>"The Rack"</v>
          </cell>
          <cell r="CW590" t="str">
            <v>"The Rack"</v>
          </cell>
          <cell r="DJ590" t="str">
            <v>"The Rack"</v>
          </cell>
          <cell r="DW590" t="str">
            <v>"The Rack"</v>
          </cell>
        </row>
        <row r="592">
          <cell r="A592" t="str">
            <v>Fuel Burned  (MMBtu)</v>
          </cell>
        </row>
        <row r="593">
          <cell r="F593">
            <v>-1684.4000000001397</v>
          </cell>
          <cell r="G593">
            <v>-871.69999999995343</v>
          </cell>
          <cell r="H593">
            <v>-437</v>
          </cell>
          <cell r="I593">
            <v>-203.19999999995343</v>
          </cell>
          <cell r="J593">
            <v>-100.39999999990687</v>
          </cell>
          <cell r="K593">
            <v>-50.899999999906868</v>
          </cell>
          <cell r="L593">
            <v>-520.10000000009313</v>
          </cell>
          <cell r="M593">
            <v>-240</v>
          </cell>
          <cell r="N593">
            <v>-125.5</v>
          </cell>
          <cell r="O593">
            <v>-301.79999999981374</v>
          </cell>
          <cell r="P593">
            <v>-807</v>
          </cell>
          <cell r="Q593">
            <v>-924.30000000004657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</row>
        <row r="594">
          <cell r="F594">
            <v>0</v>
          </cell>
          <cell r="G594">
            <v>0</v>
          </cell>
          <cell r="H594">
            <v>-48.460000000079162</v>
          </cell>
          <cell r="I594">
            <v>-49.199999999953434</v>
          </cell>
          <cell r="J594">
            <v>-144.73000000009779</v>
          </cell>
          <cell r="K594">
            <v>-49.060000000055879</v>
          </cell>
          <cell r="L594">
            <v>0</v>
          </cell>
          <cell r="M594">
            <v>0</v>
          </cell>
          <cell r="N594">
            <v>0</v>
          </cell>
          <cell r="O594">
            <v>-48.310000000055879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</row>
        <row r="595">
          <cell r="F595">
            <v>-460.10000000009313</v>
          </cell>
          <cell r="G595">
            <v>-153.16999999992549</v>
          </cell>
          <cell r="H595">
            <v>0</v>
          </cell>
          <cell r="I595">
            <v>0</v>
          </cell>
          <cell r="J595">
            <v>-100.53000000002794</v>
          </cell>
          <cell r="K595">
            <v>0</v>
          </cell>
          <cell r="L595">
            <v>-90.100000000093132</v>
          </cell>
          <cell r="M595">
            <v>-56.5</v>
          </cell>
          <cell r="N595">
            <v>0</v>
          </cell>
          <cell r="O595">
            <v>-76.800000000046566</v>
          </cell>
          <cell r="P595">
            <v>-218.75</v>
          </cell>
          <cell r="Q595">
            <v>-512.71999999997206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</row>
        <row r="596">
          <cell r="F596">
            <v>0</v>
          </cell>
          <cell r="G596">
            <v>0</v>
          </cell>
          <cell r="H596">
            <v>-350</v>
          </cell>
          <cell r="I596">
            <v>-432.64999999990687</v>
          </cell>
          <cell r="J596">
            <v>-916.20999999949709</v>
          </cell>
          <cell r="K596">
            <v>-459.69000000040978</v>
          </cell>
          <cell r="L596">
            <v>0</v>
          </cell>
          <cell r="M596">
            <v>0</v>
          </cell>
          <cell r="N596">
            <v>-62</v>
          </cell>
          <cell r="O596">
            <v>-54.100000000558794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</row>
        <row r="597">
          <cell r="F597">
            <v>-523.29999999998836</v>
          </cell>
          <cell r="G597">
            <v>-176.02000000001863</v>
          </cell>
          <cell r="H597">
            <v>-78.820000000006985</v>
          </cell>
          <cell r="I597">
            <v>-50.909999999974389</v>
          </cell>
          <cell r="J597">
            <v>-51.519999999960419</v>
          </cell>
          <cell r="K597">
            <v>0</v>
          </cell>
          <cell r="L597">
            <v>-200.21999999997206</v>
          </cell>
          <cell r="M597">
            <v>-7.9799999999813735</v>
          </cell>
          <cell r="N597">
            <v>-93.179999999993015</v>
          </cell>
          <cell r="O597">
            <v>-61.5</v>
          </cell>
          <cell r="P597">
            <v>-117.44000000000233</v>
          </cell>
          <cell r="Q597">
            <v>-362.52000000001863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</row>
        <row r="598">
          <cell r="F598">
            <v>-15010.500000000931</v>
          </cell>
          <cell r="G598">
            <v>-11448.000000000931</v>
          </cell>
          <cell r="H598">
            <v>-8462.660000000149</v>
          </cell>
          <cell r="I598">
            <v>-3701.3999999999069</v>
          </cell>
          <cell r="J598">
            <v>-4778.1500000003725</v>
          </cell>
          <cell r="K598">
            <v>-4773.3599999998696</v>
          </cell>
          <cell r="L598">
            <v>-9405.4999999990687</v>
          </cell>
          <cell r="M598">
            <v>-8317.3000000007451</v>
          </cell>
          <cell r="N598">
            <v>-10313.399999999441</v>
          </cell>
          <cell r="O598">
            <v>-5457</v>
          </cell>
          <cell r="P598">
            <v>-6492.2100000004284</v>
          </cell>
          <cell r="Q598">
            <v>-12356.700000000186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</row>
        <row r="599">
          <cell r="F599">
            <v>-107</v>
          </cell>
          <cell r="G599">
            <v>-752</v>
          </cell>
          <cell r="H599">
            <v>-1672.5</v>
          </cell>
          <cell r="I599">
            <v>-2493.2999999998137</v>
          </cell>
          <cell r="J599">
            <v>-3672.4000000003725</v>
          </cell>
          <cell r="K599">
            <v>-5771.4000000003725</v>
          </cell>
          <cell r="L599">
            <v>-1026.5999999996275</v>
          </cell>
          <cell r="M599">
            <v>-145.70000000018626</v>
          </cell>
          <cell r="N599">
            <v>-403.40000000037253</v>
          </cell>
          <cell r="O599">
            <v>-2553.2000000001863</v>
          </cell>
          <cell r="P599">
            <v>-2308.3999999994412</v>
          </cell>
          <cell r="Q599">
            <v>-1390.0999999996275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</row>
        <row r="600">
          <cell r="F600">
            <v>-6215.1000000014901</v>
          </cell>
          <cell r="G600">
            <v>-7079.5999999996275</v>
          </cell>
          <cell r="H600">
            <v>-14567.900000000373</v>
          </cell>
          <cell r="I600">
            <v>-5802.0399999991059</v>
          </cell>
          <cell r="J600">
            <v>-3514.3400000007823</v>
          </cell>
          <cell r="K600">
            <v>-6615.1000000005588</v>
          </cell>
          <cell r="L600">
            <v>-10495</v>
          </cell>
          <cell r="M600">
            <v>-14091.099999999627</v>
          </cell>
          <cell r="N600">
            <v>-12688.299999999814</v>
          </cell>
          <cell r="O600">
            <v>-9693.359999999404</v>
          </cell>
          <cell r="P600">
            <v>-11165.099999999627</v>
          </cell>
          <cell r="Q600">
            <v>-12303.200000000186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</row>
        <row r="601">
          <cell r="F601">
            <v>0</v>
          </cell>
          <cell r="G601">
            <v>-414.3000000002794</v>
          </cell>
          <cell r="H601">
            <v>-450.20000000018626</v>
          </cell>
          <cell r="I601">
            <v>-874.5</v>
          </cell>
          <cell r="J601">
            <v>-1079</v>
          </cell>
          <cell r="K601">
            <v>-1095.1000000000931</v>
          </cell>
          <cell r="L601">
            <v>-97.599999999627471</v>
          </cell>
          <cell r="M601">
            <v>-50.699999999720603</v>
          </cell>
          <cell r="N601">
            <v>-57.799999999813735</v>
          </cell>
          <cell r="O601">
            <v>-585.89999999990687</v>
          </cell>
          <cell r="P601">
            <v>-106.29999999981374</v>
          </cell>
          <cell r="Q601">
            <v>-257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</row>
        <row r="602">
          <cell r="F602">
            <v>0</v>
          </cell>
          <cell r="G602">
            <v>0</v>
          </cell>
          <cell r="H602">
            <v>-58.200000000186265</v>
          </cell>
          <cell r="I602">
            <v>0</v>
          </cell>
          <cell r="J602">
            <v>-15.299999999813735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-417.30000000004657</v>
          </cell>
          <cell r="J604">
            <v>0</v>
          </cell>
          <cell r="K604">
            <v>0</v>
          </cell>
          <cell r="L604">
            <v>-247.30000000004657</v>
          </cell>
          <cell r="M604">
            <v>-553.79999999981374</v>
          </cell>
          <cell r="N604">
            <v>-1154.2999999998137</v>
          </cell>
          <cell r="O604">
            <v>-1748.5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</row>
        <row r="606">
          <cell r="F606">
            <v>-1488.5319999998901</v>
          </cell>
          <cell r="G606">
            <v>-1137.440000000177</v>
          </cell>
          <cell r="H606">
            <v>-709.0659999998752</v>
          </cell>
          <cell r="I606">
            <v>0</v>
          </cell>
          <cell r="J606">
            <v>-650.92899999977089</v>
          </cell>
          <cell r="K606">
            <v>-1249.1999999999534</v>
          </cell>
          <cell r="L606">
            <v>-482.43999999994412</v>
          </cell>
          <cell r="M606">
            <v>-334.3800000003539</v>
          </cell>
          <cell r="N606">
            <v>-264.42000000039116</v>
          </cell>
          <cell r="O606">
            <v>-2169.9049999997951</v>
          </cell>
          <cell r="P606">
            <v>0</v>
          </cell>
          <cell r="Q606">
            <v>-1930.3150000004098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</row>
        <row r="608">
          <cell r="F608">
            <v>495.87700000000768</v>
          </cell>
          <cell r="G608">
            <v>-3.819999999992433</v>
          </cell>
          <cell r="H608">
            <v>-4.885999999998603</v>
          </cell>
          <cell r="I608">
            <v>-16.324000000022352</v>
          </cell>
          <cell r="J608">
            <v>-206.99499999999534</v>
          </cell>
          <cell r="K608">
            <v>-7.3999999999941792</v>
          </cell>
          <cell r="L608">
            <v>-132.24499999999534</v>
          </cell>
          <cell r="M608">
            <v>-408.49000000004889</v>
          </cell>
          <cell r="N608">
            <v>-93.599999999976717</v>
          </cell>
          <cell r="O608">
            <v>-11.25700000001234</v>
          </cell>
          <cell r="P608">
            <v>-43.073000000033062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</row>
        <row r="609">
          <cell r="F609">
            <v>-41.850000000093132</v>
          </cell>
          <cell r="G609">
            <v>-170.5</v>
          </cell>
          <cell r="H609">
            <v>-83.419999999983702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-55.949999999953434</v>
          </cell>
          <cell r="Q609">
            <v>-190.40000000002328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</row>
        <row r="610">
          <cell r="F610">
            <v>-2169.6999999997206</v>
          </cell>
          <cell r="G610">
            <v>-1338.8100000000559</v>
          </cell>
          <cell r="H610">
            <v>-118.10000000009313</v>
          </cell>
          <cell r="I610">
            <v>-278.70000000018626</v>
          </cell>
          <cell r="J610">
            <v>-895.39999999990687</v>
          </cell>
          <cell r="K610">
            <v>-1113.7000000001863</v>
          </cell>
          <cell r="L610">
            <v>-215.79999999981374</v>
          </cell>
          <cell r="M610">
            <v>-273.29999999981374</v>
          </cell>
          <cell r="N610">
            <v>-177</v>
          </cell>
          <cell r="O610">
            <v>-1166.2999999998137</v>
          </cell>
          <cell r="P610">
            <v>-1360.2000000001863</v>
          </cell>
          <cell r="Q610">
            <v>-1176.2999999998137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</row>
        <row r="611">
          <cell r="F611">
            <v>-468.5</v>
          </cell>
          <cell r="G611">
            <v>-314.5</v>
          </cell>
          <cell r="H611">
            <v>-908.07400000002235</v>
          </cell>
          <cell r="I611">
            <v>-556.89400000008754</v>
          </cell>
          <cell r="J611">
            <v>-628.64999999990687</v>
          </cell>
          <cell r="K611">
            <v>-1329.6999999997206</v>
          </cell>
          <cell r="L611">
            <v>-669.5</v>
          </cell>
          <cell r="M611">
            <v>-909.16600000066683</v>
          </cell>
          <cell r="N611">
            <v>-2040.7800000002608</v>
          </cell>
          <cell r="O611">
            <v>-1448.3900000001304</v>
          </cell>
          <cell r="P611">
            <v>-1660.6000000000931</v>
          </cell>
          <cell r="Q611">
            <v>1594.3000000000466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</row>
        <row r="623">
          <cell r="A623" t="str">
            <v>Burn Rate (MMBtu/MWh)</v>
          </cell>
        </row>
        <row r="624">
          <cell r="F624">
            <v>1E-3</v>
          </cell>
          <cell r="G624">
            <v>1E-3</v>
          </cell>
          <cell r="H624">
            <v>1E-3</v>
          </cell>
          <cell r="I624">
            <v>0</v>
          </cell>
          <cell r="J624">
            <v>0</v>
          </cell>
          <cell r="K624">
            <v>0</v>
          </cell>
          <cell r="L624">
            <v>1E-3</v>
          </cell>
          <cell r="M624">
            <v>0</v>
          </cell>
          <cell r="N624">
            <v>0</v>
          </cell>
          <cell r="O624">
            <v>0</v>
          </cell>
          <cell r="P624">
            <v>1E-3</v>
          </cell>
          <cell r="Q624">
            <v>1E-3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E627">
            <v>0</v>
          </cell>
        </row>
        <row r="628">
          <cell r="F628">
            <v>1E-3</v>
          </cell>
          <cell r="G628">
            <v>1E-3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1E-3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1E-3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</row>
        <row r="629">
          <cell r="F629">
            <v>1E-3</v>
          </cell>
          <cell r="G629">
            <v>1E-3</v>
          </cell>
          <cell r="H629">
            <v>2E-3</v>
          </cell>
          <cell r="I629">
            <v>1E-3</v>
          </cell>
          <cell r="J629">
            <v>1E-3</v>
          </cell>
          <cell r="K629">
            <v>1E-3</v>
          </cell>
          <cell r="L629">
            <v>1E-3</v>
          </cell>
          <cell r="M629">
            <v>1E-3</v>
          </cell>
          <cell r="N629">
            <v>2E-3</v>
          </cell>
          <cell r="O629">
            <v>2E-3</v>
          </cell>
          <cell r="P629">
            <v>2E-3</v>
          </cell>
          <cell r="Q629">
            <v>2E-3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1E-3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</row>
        <row r="631">
          <cell r="F631">
            <v>0</v>
          </cell>
          <cell r="G631">
            <v>0</v>
          </cell>
          <cell r="H631">
            <v>2E-3</v>
          </cell>
          <cell r="I631">
            <v>1E-3</v>
          </cell>
          <cell r="J631">
            <v>1E-3</v>
          </cell>
          <cell r="K631">
            <v>1E-3</v>
          </cell>
          <cell r="L631">
            <v>0</v>
          </cell>
          <cell r="M631">
            <v>1E-3</v>
          </cell>
          <cell r="N631">
            <v>2E-3</v>
          </cell>
          <cell r="O631">
            <v>2E-3</v>
          </cell>
          <cell r="P631">
            <v>2E-3</v>
          </cell>
          <cell r="Q631">
            <v>2E-3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1E-3</v>
          </cell>
          <cell r="J632">
            <v>1E-3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1E-3</v>
          </cell>
          <cell r="O635">
            <v>1E-3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</row>
        <row r="637">
          <cell r="F637">
            <v>2E-3</v>
          </cell>
          <cell r="G637">
            <v>2E-3</v>
          </cell>
          <cell r="H637">
            <v>1E-3</v>
          </cell>
          <cell r="I637">
            <v>0</v>
          </cell>
          <cell r="J637">
            <v>1E-3</v>
          </cell>
          <cell r="K637">
            <v>1E-3</v>
          </cell>
          <cell r="L637">
            <v>0</v>
          </cell>
          <cell r="M637">
            <v>0</v>
          </cell>
          <cell r="N637">
            <v>0</v>
          </cell>
          <cell r="O637">
            <v>2E-3</v>
          </cell>
          <cell r="P637">
            <v>0</v>
          </cell>
          <cell r="Q637">
            <v>1E-3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</row>
        <row r="639">
          <cell r="F639">
            <v>0</v>
          </cell>
          <cell r="G639">
            <v>1E-3</v>
          </cell>
          <cell r="H639">
            <v>1E-3</v>
          </cell>
          <cell r="I639">
            <v>2E-3</v>
          </cell>
          <cell r="J639">
            <v>1.6E-2</v>
          </cell>
          <cell r="K639">
            <v>1E-3</v>
          </cell>
          <cell r="L639">
            <v>5.0000000000000001E-3</v>
          </cell>
          <cell r="M639">
            <v>1.0999999999999999E-2</v>
          </cell>
          <cell r="N639">
            <v>4.0000000000000001E-3</v>
          </cell>
          <cell r="O639">
            <v>1E-3</v>
          </cell>
          <cell r="P639">
            <v>4.0000000000000001E-3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</row>
        <row r="640">
          <cell r="F640">
            <v>0</v>
          </cell>
          <cell r="G640">
            <v>1E-3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</row>
        <row r="641">
          <cell r="F641">
            <v>2E-3</v>
          </cell>
          <cell r="G641">
            <v>2E-3</v>
          </cell>
          <cell r="H641">
            <v>0</v>
          </cell>
          <cell r="I641">
            <v>0</v>
          </cell>
          <cell r="J641">
            <v>1E-3</v>
          </cell>
          <cell r="K641">
            <v>1E-3</v>
          </cell>
          <cell r="L641">
            <v>0</v>
          </cell>
          <cell r="M641">
            <v>0</v>
          </cell>
          <cell r="N641">
            <v>0</v>
          </cell>
          <cell r="O641">
            <v>1E-3</v>
          </cell>
          <cell r="P641">
            <v>1E-3</v>
          </cell>
          <cell r="Q641">
            <v>1E-3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</row>
        <row r="642">
          <cell r="F642">
            <v>0</v>
          </cell>
          <cell r="G642">
            <v>0</v>
          </cell>
          <cell r="H642">
            <v>1E-3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1E-3</v>
          </cell>
          <cell r="P642">
            <v>1E-3</v>
          </cell>
          <cell r="Q642">
            <v>1E-3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E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E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E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T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E652">
            <v>0</v>
          </cell>
        </row>
        <row r="654">
          <cell r="A654" t="str">
            <v>Average Fuel Cost ($/MMBtu)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T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T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T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T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T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T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T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</row>
        <row r="684">
          <cell r="A684" t="str">
            <v>Peak Capacity (Nameplate)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  <cell r="DD685">
            <v>0</v>
          </cell>
          <cell r="DE685">
            <v>0</v>
          </cell>
          <cell r="DF685">
            <v>0</v>
          </cell>
          <cell r="DG685">
            <v>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T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0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T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T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T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T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T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T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  <cell r="DD701">
            <v>0</v>
          </cell>
          <cell r="DE701">
            <v>0</v>
          </cell>
          <cell r="DF701">
            <v>0</v>
          </cell>
          <cell r="DG701">
            <v>0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T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  <cell r="DD702">
            <v>0</v>
          </cell>
          <cell r="DE702">
            <v>0</v>
          </cell>
          <cell r="DF702">
            <v>0</v>
          </cell>
          <cell r="DG702">
            <v>0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T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T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</row>
        <row r="704"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E717">
            <v>0</v>
          </cell>
          <cell r="DF717">
            <v>0</v>
          </cell>
          <cell r="DG717">
            <v>0</v>
          </cell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T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  <cell r="DD722">
            <v>0</v>
          </cell>
          <cell r="DE722">
            <v>0</v>
          </cell>
          <cell r="DF722">
            <v>0</v>
          </cell>
          <cell r="DG722">
            <v>0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T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0</v>
          </cell>
          <cell r="CU723">
            <v>0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  <cell r="DD723">
            <v>0</v>
          </cell>
          <cell r="DE723">
            <v>0</v>
          </cell>
          <cell r="DF723">
            <v>0</v>
          </cell>
          <cell r="DG723">
            <v>0</v>
          </cell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T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</row>
        <row r="726">
          <cell r="A726" t="str">
            <v>Capacity Factor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0</v>
          </cell>
          <cell r="CU727">
            <v>0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0</v>
          </cell>
          <cell r="DA727">
            <v>0</v>
          </cell>
          <cell r="DB727">
            <v>0</v>
          </cell>
          <cell r="DC727">
            <v>0</v>
          </cell>
          <cell r="DD727">
            <v>0</v>
          </cell>
          <cell r="DE727">
            <v>0</v>
          </cell>
          <cell r="DF727">
            <v>0</v>
          </cell>
          <cell r="DG727">
            <v>0</v>
          </cell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T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</row>
        <row r="729">
          <cell r="F729">
            <v>-1E-3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M729">
            <v>0</v>
          </cell>
          <cell r="CN729">
            <v>0</v>
          </cell>
          <cell r="CO729">
            <v>0</v>
          </cell>
          <cell r="CP729">
            <v>0</v>
          </cell>
          <cell r="CQ729">
            <v>0</v>
          </cell>
          <cell r="CR729">
            <v>0</v>
          </cell>
          <cell r="CS729">
            <v>0</v>
          </cell>
          <cell r="CT729">
            <v>0</v>
          </cell>
          <cell r="CU729">
            <v>0</v>
          </cell>
          <cell r="CV729">
            <v>0</v>
          </cell>
          <cell r="CW729">
            <v>0</v>
          </cell>
          <cell r="CX729">
            <v>0</v>
          </cell>
          <cell r="CY729">
            <v>0</v>
          </cell>
          <cell r="CZ729">
            <v>0</v>
          </cell>
          <cell r="DA729">
            <v>0</v>
          </cell>
          <cell r="DB729">
            <v>0</v>
          </cell>
          <cell r="DC729">
            <v>0</v>
          </cell>
          <cell r="DD729">
            <v>0</v>
          </cell>
          <cell r="DE729">
            <v>0</v>
          </cell>
          <cell r="DF729">
            <v>0</v>
          </cell>
          <cell r="DG729">
            <v>0</v>
          </cell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0</v>
          </cell>
          <cell r="DQ729">
            <v>0</v>
          </cell>
          <cell r="DR729">
            <v>0</v>
          </cell>
          <cell r="DS729">
            <v>0</v>
          </cell>
          <cell r="DT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0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  <cell r="DD730">
            <v>0</v>
          </cell>
          <cell r="DE730">
            <v>0</v>
          </cell>
          <cell r="DF730">
            <v>0</v>
          </cell>
          <cell r="DG730">
            <v>0</v>
          </cell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T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  <cell r="CT731">
            <v>0</v>
          </cell>
          <cell r="CU731">
            <v>0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  <cell r="DD731">
            <v>0</v>
          </cell>
          <cell r="DE731">
            <v>0</v>
          </cell>
          <cell r="DF731">
            <v>0</v>
          </cell>
          <cell r="DG731">
            <v>0</v>
          </cell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T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0</v>
          </cell>
          <cell r="BP732">
            <v>0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0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0</v>
          </cell>
          <cell r="CU732">
            <v>0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  <cell r="DD732">
            <v>0</v>
          </cell>
          <cell r="DE732">
            <v>0</v>
          </cell>
          <cell r="DF732">
            <v>0</v>
          </cell>
          <cell r="DG732">
            <v>0</v>
          </cell>
          <cell r="DH732">
            <v>0</v>
          </cell>
          <cell r="DI732">
            <v>0</v>
          </cell>
          <cell r="DJ732">
            <v>0</v>
          </cell>
          <cell r="DK732">
            <v>0</v>
          </cell>
          <cell r="DL732">
            <v>0</v>
          </cell>
          <cell r="DM732">
            <v>0</v>
          </cell>
          <cell r="DN732">
            <v>0</v>
          </cell>
          <cell r="DO732">
            <v>0</v>
          </cell>
          <cell r="DP732">
            <v>0</v>
          </cell>
          <cell r="DQ732">
            <v>0</v>
          </cell>
          <cell r="DR732">
            <v>0</v>
          </cell>
          <cell r="DS732">
            <v>0</v>
          </cell>
          <cell r="DT732">
            <v>0</v>
          </cell>
          <cell r="DU732">
            <v>0</v>
          </cell>
          <cell r="DV732">
            <v>0</v>
          </cell>
          <cell r="DW732">
            <v>0</v>
          </cell>
          <cell r="DX732">
            <v>0</v>
          </cell>
          <cell r="DY732">
            <v>0</v>
          </cell>
          <cell r="DZ732">
            <v>0</v>
          </cell>
          <cell r="EA732">
            <v>0</v>
          </cell>
          <cell r="EB732">
            <v>0</v>
          </cell>
          <cell r="EC732">
            <v>0</v>
          </cell>
          <cell r="ED732">
            <v>0</v>
          </cell>
        </row>
        <row r="733">
          <cell r="F733">
            <v>-1E-3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-1E-3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</row>
        <row r="734">
          <cell r="F734">
            <v>-2E-3</v>
          </cell>
          <cell r="G734">
            <v>-1E-3</v>
          </cell>
          <cell r="H734">
            <v>-1E-3</v>
          </cell>
          <cell r="I734">
            <v>0</v>
          </cell>
          <cell r="J734">
            <v>-1E-3</v>
          </cell>
          <cell r="K734">
            <v>-1E-3</v>
          </cell>
          <cell r="L734">
            <v>-1E-3</v>
          </cell>
          <cell r="M734">
            <v>-1E-3</v>
          </cell>
          <cell r="N734">
            <v>-1E-3</v>
          </cell>
          <cell r="O734">
            <v>-1E-3</v>
          </cell>
          <cell r="P734">
            <v>-1E-3</v>
          </cell>
          <cell r="Q734">
            <v>-1E-3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-1E-3</v>
          </cell>
          <cell r="K735">
            <v>-1E-3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</row>
        <row r="736">
          <cell r="F736">
            <v>-1E-3</v>
          </cell>
          <cell r="G736">
            <v>-1E-3</v>
          </cell>
          <cell r="H736">
            <v>-1E-3</v>
          </cell>
          <cell r="I736">
            <v>-1E-3</v>
          </cell>
          <cell r="J736">
            <v>0</v>
          </cell>
          <cell r="K736">
            <v>-1E-3</v>
          </cell>
          <cell r="L736">
            <v>-1E-3</v>
          </cell>
          <cell r="M736">
            <v>-1E-3</v>
          </cell>
          <cell r="N736">
            <v>-1E-3</v>
          </cell>
          <cell r="O736">
            <v>-1E-3</v>
          </cell>
          <cell r="P736">
            <v>-1E-3</v>
          </cell>
          <cell r="Q736">
            <v>-1E-3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T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</row>
        <row r="740"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-1E-3</v>
          </cell>
          <cell r="O740">
            <v>-1E-3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</row>
        <row r="742">
          <cell r="F742">
            <v>-1E-3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-1E-3</v>
          </cell>
          <cell r="L742">
            <v>0</v>
          </cell>
          <cell r="M742">
            <v>0</v>
          </cell>
          <cell r="N742">
            <v>0</v>
          </cell>
          <cell r="O742">
            <v>-1E-3</v>
          </cell>
          <cell r="P742">
            <v>0</v>
          </cell>
          <cell r="Q742">
            <v>-1E-3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</row>
        <row r="744"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-1E-3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</row>
        <row r="745"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</row>
        <row r="746">
          <cell r="F746">
            <v>-1E-3</v>
          </cell>
          <cell r="G746">
            <v>-1E-3</v>
          </cell>
          <cell r="H746">
            <v>0</v>
          </cell>
          <cell r="I746">
            <v>0</v>
          </cell>
          <cell r="J746">
            <v>0</v>
          </cell>
          <cell r="K746">
            <v>-1E-3</v>
          </cell>
          <cell r="L746">
            <v>0</v>
          </cell>
          <cell r="M746">
            <v>0</v>
          </cell>
          <cell r="N746">
            <v>0</v>
          </cell>
          <cell r="O746">
            <v>-1E-3</v>
          </cell>
          <cell r="P746">
            <v>-1E-3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-1E-3</v>
          </cell>
          <cell r="O747">
            <v>0</v>
          </cell>
          <cell r="P747">
            <v>-1E-3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</row>
        <row r="762"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</row>
        <row r="764"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</row>
        <row r="766"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</row>
        <row r="769"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</row>
        <row r="772">
          <cell r="A772" t="str">
            <v>Integration Charge</v>
          </cell>
        </row>
        <row r="775"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</row>
        <row r="776"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</row>
        <row r="778"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</row>
        <row r="779"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</row>
        <row r="780"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</row>
        <row r="788"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</row>
        <row r="793"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  <cell r="CF809">
            <v>0</v>
          </cell>
          <cell r="CG809">
            <v>0</v>
          </cell>
          <cell r="CH809">
            <v>0</v>
          </cell>
          <cell r="CI809">
            <v>0</v>
          </cell>
          <cell r="CJ809">
            <v>0</v>
          </cell>
          <cell r="CK809">
            <v>0</v>
          </cell>
          <cell r="CL809">
            <v>0</v>
          </cell>
          <cell r="CM809">
            <v>0</v>
          </cell>
          <cell r="CN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0</v>
          </cell>
          <cell r="CU809">
            <v>0</v>
          </cell>
          <cell r="CV809">
            <v>0</v>
          </cell>
          <cell r="CW809">
            <v>0</v>
          </cell>
          <cell r="CX809">
            <v>0</v>
          </cell>
          <cell r="CY809">
            <v>0</v>
          </cell>
          <cell r="CZ809">
            <v>0</v>
          </cell>
          <cell r="DA809">
            <v>0</v>
          </cell>
          <cell r="DB809">
            <v>0</v>
          </cell>
          <cell r="DC809">
            <v>0</v>
          </cell>
          <cell r="DD809">
            <v>0</v>
          </cell>
          <cell r="DE809">
            <v>0</v>
          </cell>
          <cell r="DF809">
            <v>0</v>
          </cell>
          <cell r="DG809">
            <v>0</v>
          </cell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T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  <cell r="CF810">
            <v>0</v>
          </cell>
          <cell r="CG810">
            <v>0</v>
          </cell>
          <cell r="CH810">
            <v>0</v>
          </cell>
          <cell r="CI810">
            <v>0</v>
          </cell>
          <cell r="CJ810">
            <v>0</v>
          </cell>
          <cell r="CK810">
            <v>0</v>
          </cell>
          <cell r="CL810">
            <v>0</v>
          </cell>
          <cell r="CM810">
            <v>0</v>
          </cell>
          <cell r="CN810">
            <v>0</v>
          </cell>
          <cell r="CO810">
            <v>0</v>
          </cell>
          <cell r="CP810">
            <v>0</v>
          </cell>
          <cell r="CQ810">
            <v>0</v>
          </cell>
          <cell r="CR810">
            <v>0</v>
          </cell>
          <cell r="CS810">
            <v>0</v>
          </cell>
          <cell r="CT810">
            <v>0</v>
          </cell>
          <cell r="CU810">
            <v>0</v>
          </cell>
          <cell r="CV810">
            <v>0</v>
          </cell>
          <cell r="CW810">
            <v>0</v>
          </cell>
          <cell r="CX810">
            <v>0</v>
          </cell>
          <cell r="CY810">
            <v>0</v>
          </cell>
          <cell r="CZ810">
            <v>0</v>
          </cell>
          <cell r="DA810">
            <v>0</v>
          </cell>
          <cell r="DB810">
            <v>0</v>
          </cell>
          <cell r="DC810">
            <v>0</v>
          </cell>
          <cell r="DD810">
            <v>0</v>
          </cell>
          <cell r="DE810">
            <v>0</v>
          </cell>
          <cell r="DF810">
            <v>0</v>
          </cell>
          <cell r="DG810">
            <v>0</v>
          </cell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T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M813">
            <v>0</v>
          </cell>
          <cell r="CN813">
            <v>0</v>
          </cell>
          <cell r="CO813">
            <v>0</v>
          </cell>
          <cell r="CP813">
            <v>0</v>
          </cell>
          <cell r="CQ813">
            <v>0</v>
          </cell>
          <cell r="CR813">
            <v>0</v>
          </cell>
          <cell r="CS813">
            <v>0</v>
          </cell>
          <cell r="CT813">
            <v>0</v>
          </cell>
          <cell r="CU813">
            <v>0</v>
          </cell>
          <cell r="CV813">
            <v>0</v>
          </cell>
          <cell r="CW813">
            <v>0</v>
          </cell>
          <cell r="CX813">
            <v>0</v>
          </cell>
          <cell r="CY813">
            <v>0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  <cell r="DD813">
            <v>0</v>
          </cell>
          <cell r="DE813">
            <v>0</v>
          </cell>
          <cell r="DF813">
            <v>0</v>
          </cell>
          <cell r="DG813">
            <v>0</v>
          </cell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T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0</v>
          </cell>
          <cell r="CH814">
            <v>0</v>
          </cell>
          <cell r="CI814">
            <v>0</v>
          </cell>
          <cell r="CJ814">
            <v>0</v>
          </cell>
          <cell r="CK814">
            <v>0</v>
          </cell>
          <cell r="CL814">
            <v>0</v>
          </cell>
          <cell r="CM814">
            <v>0</v>
          </cell>
          <cell r="CN814">
            <v>0</v>
          </cell>
          <cell r="CO814">
            <v>0</v>
          </cell>
          <cell r="CP814">
            <v>0</v>
          </cell>
          <cell r="CQ814">
            <v>0</v>
          </cell>
          <cell r="CR814">
            <v>0</v>
          </cell>
          <cell r="CS814">
            <v>0</v>
          </cell>
          <cell r="CT814">
            <v>0</v>
          </cell>
          <cell r="CU814">
            <v>0</v>
          </cell>
          <cell r="CV814">
            <v>0</v>
          </cell>
          <cell r="CW814">
            <v>0</v>
          </cell>
          <cell r="CX814">
            <v>0</v>
          </cell>
          <cell r="CY814">
            <v>0</v>
          </cell>
          <cell r="CZ814">
            <v>0</v>
          </cell>
          <cell r="DA814">
            <v>0</v>
          </cell>
          <cell r="DB814">
            <v>0</v>
          </cell>
          <cell r="DC814">
            <v>0</v>
          </cell>
          <cell r="DD814">
            <v>0</v>
          </cell>
          <cell r="DE814">
            <v>0</v>
          </cell>
          <cell r="DF814">
            <v>0</v>
          </cell>
          <cell r="DG814">
            <v>0</v>
          </cell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T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0</v>
          </cell>
          <cell r="CH815">
            <v>0</v>
          </cell>
          <cell r="CI815">
            <v>0</v>
          </cell>
          <cell r="CJ815">
            <v>0</v>
          </cell>
          <cell r="CK815">
            <v>0</v>
          </cell>
          <cell r="CL815">
            <v>0</v>
          </cell>
          <cell r="CM815">
            <v>0</v>
          </cell>
          <cell r="CN815">
            <v>0</v>
          </cell>
          <cell r="CO815">
            <v>0</v>
          </cell>
          <cell r="CP815">
            <v>0</v>
          </cell>
          <cell r="CQ815">
            <v>0</v>
          </cell>
          <cell r="CR815">
            <v>0</v>
          </cell>
          <cell r="CS815">
            <v>0</v>
          </cell>
          <cell r="CT815">
            <v>0</v>
          </cell>
          <cell r="CU815">
            <v>0</v>
          </cell>
          <cell r="CV815">
            <v>0</v>
          </cell>
          <cell r="CW815">
            <v>0</v>
          </cell>
          <cell r="CX815">
            <v>0</v>
          </cell>
          <cell r="CY815">
            <v>0</v>
          </cell>
          <cell r="CZ815">
            <v>0</v>
          </cell>
          <cell r="DA815">
            <v>0</v>
          </cell>
          <cell r="DB815">
            <v>0</v>
          </cell>
          <cell r="DC815">
            <v>0</v>
          </cell>
          <cell r="DD815">
            <v>0</v>
          </cell>
          <cell r="DE815">
            <v>0</v>
          </cell>
          <cell r="DF815">
            <v>0</v>
          </cell>
          <cell r="DG815">
            <v>0</v>
          </cell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T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0</v>
          </cell>
          <cell r="CT816">
            <v>0</v>
          </cell>
          <cell r="CU816">
            <v>0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  <cell r="DD816">
            <v>0</v>
          </cell>
          <cell r="DE816">
            <v>0</v>
          </cell>
          <cell r="DF816">
            <v>0</v>
          </cell>
          <cell r="DG816">
            <v>0</v>
          </cell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T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0</v>
          </cell>
          <cell r="CU817">
            <v>0</v>
          </cell>
          <cell r="CV817">
            <v>0</v>
          </cell>
          <cell r="CW817">
            <v>0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  <cell r="DD817">
            <v>0</v>
          </cell>
          <cell r="DE817">
            <v>0</v>
          </cell>
          <cell r="DF817">
            <v>0</v>
          </cell>
          <cell r="DG817">
            <v>0</v>
          </cell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T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M818">
            <v>0</v>
          </cell>
          <cell r="CN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0</v>
          </cell>
          <cell r="CU818">
            <v>0</v>
          </cell>
          <cell r="CV818">
            <v>0</v>
          </cell>
          <cell r="CW818">
            <v>0</v>
          </cell>
          <cell r="CX818">
            <v>0</v>
          </cell>
          <cell r="CY818">
            <v>0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  <cell r="DD818">
            <v>0</v>
          </cell>
          <cell r="DE818">
            <v>0</v>
          </cell>
          <cell r="DF818">
            <v>0</v>
          </cell>
          <cell r="DG818">
            <v>0</v>
          </cell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T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0</v>
          </cell>
          <cell r="CM819">
            <v>0</v>
          </cell>
          <cell r="CN819">
            <v>0</v>
          </cell>
          <cell r="CO819">
            <v>0</v>
          </cell>
          <cell r="CP819">
            <v>0</v>
          </cell>
          <cell r="CQ819">
            <v>0</v>
          </cell>
          <cell r="CR819">
            <v>0</v>
          </cell>
          <cell r="CS819">
            <v>0</v>
          </cell>
          <cell r="CT819">
            <v>0</v>
          </cell>
          <cell r="CU819">
            <v>0</v>
          </cell>
          <cell r="CV819">
            <v>0</v>
          </cell>
          <cell r="CW819">
            <v>0</v>
          </cell>
          <cell r="CX819">
            <v>0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  <cell r="DD819">
            <v>0</v>
          </cell>
          <cell r="DE819">
            <v>0</v>
          </cell>
          <cell r="DF819">
            <v>0</v>
          </cell>
          <cell r="DG819">
            <v>0</v>
          </cell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T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0</v>
          </cell>
          <cell r="CR820">
            <v>0</v>
          </cell>
          <cell r="CS820">
            <v>0</v>
          </cell>
          <cell r="CT820">
            <v>0</v>
          </cell>
          <cell r="CU820">
            <v>0</v>
          </cell>
          <cell r="CV820">
            <v>0</v>
          </cell>
          <cell r="CW820">
            <v>0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  <cell r="DD820">
            <v>0</v>
          </cell>
          <cell r="DE820">
            <v>0</v>
          </cell>
          <cell r="DF820">
            <v>0</v>
          </cell>
          <cell r="DG820">
            <v>0</v>
          </cell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T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0</v>
          </cell>
          <cell r="CR822">
            <v>0</v>
          </cell>
          <cell r="CS822">
            <v>0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  <cell r="DD822">
            <v>0</v>
          </cell>
          <cell r="DE822">
            <v>0</v>
          </cell>
          <cell r="DF822">
            <v>0</v>
          </cell>
          <cell r="DG822">
            <v>0</v>
          </cell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T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0</v>
          </cell>
          <cell r="CT823">
            <v>0</v>
          </cell>
          <cell r="CU823">
            <v>0</v>
          </cell>
          <cell r="CV823">
            <v>0</v>
          </cell>
          <cell r="CW823">
            <v>0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  <cell r="DD823">
            <v>0</v>
          </cell>
          <cell r="DE823">
            <v>0</v>
          </cell>
          <cell r="DF823">
            <v>0</v>
          </cell>
          <cell r="DG823">
            <v>0</v>
          </cell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T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0</v>
          </cell>
          <cell r="CH824">
            <v>0</v>
          </cell>
          <cell r="CI824">
            <v>0</v>
          </cell>
          <cell r="CJ824">
            <v>0</v>
          </cell>
          <cell r="CK824">
            <v>0</v>
          </cell>
          <cell r="CL824">
            <v>0</v>
          </cell>
          <cell r="CM824">
            <v>0</v>
          </cell>
          <cell r="CN824">
            <v>0</v>
          </cell>
          <cell r="CO824">
            <v>0</v>
          </cell>
          <cell r="CP824">
            <v>0</v>
          </cell>
          <cell r="CQ824">
            <v>0</v>
          </cell>
          <cell r="CR824">
            <v>0</v>
          </cell>
          <cell r="CS824">
            <v>0</v>
          </cell>
          <cell r="CT824">
            <v>0</v>
          </cell>
          <cell r="CU824">
            <v>0</v>
          </cell>
          <cell r="CV824">
            <v>0</v>
          </cell>
          <cell r="CW824">
            <v>0</v>
          </cell>
          <cell r="CX824">
            <v>0</v>
          </cell>
          <cell r="CY824">
            <v>0</v>
          </cell>
          <cell r="CZ824">
            <v>0</v>
          </cell>
          <cell r="DA824">
            <v>0</v>
          </cell>
          <cell r="DB824">
            <v>0</v>
          </cell>
          <cell r="DC824">
            <v>0</v>
          </cell>
          <cell r="DD824">
            <v>0</v>
          </cell>
          <cell r="DE824">
            <v>0</v>
          </cell>
          <cell r="DF824">
            <v>0</v>
          </cell>
          <cell r="DG824">
            <v>0</v>
          </cell>
          <cell r="DH824">
            <v>0</v>
          </cell>
          <cell r="DI824">
            <v>0</v>
          </cell>
          <cell r="DJ824">
            <v>0</v>
          </cell>
          <cell r="DK824">
            <v>0</v>
          </cell>
          <cell r="DL824">
            <v>0</v>
          </cell>
          <cell r="DM824">
            <v>0</v>
          </cell>
          <cell r="DN824">
            <v>0</v>
          </cell>
          <cell r="DO824">
            <v>0</v>
          </cell>
          <cell r="DP824">
            <v>0</v>
          </cell>
          <cell r="DQ824">
            <v>0</v>
          </cell>
          <cell r="DR824">
            <v>0</v>
          </cell>
          <cell r="DS824">
            <v>0</v>
          </cell>
          <cell r="DT824">
            <v>0</v>
          </cell>
          <cell r="DU824">
            <v>0</v>
          </cell>
          <cell r="DV824">
            <v>0</v>
          </cell>
          <cell r="DW824">
            <v>0</v>
          </cell>
          <cell r="DX824">
            <v>0</v>
          </cell>
          <cell r="DY824">
            <v>0</v>
          </cell>
          <cell r="DZ824">
            <v>0</v>
          </cell>
          <cell r="EA824">
            <v>0</v>
          </cell>
          <cell r="EB824">
            <v>0</v>
          </cell>
          <cell r="EC824">
            <v>0</v>
          </cell>
          <cell r="ED824">
            <v>0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0</v>
          </cell>
          <cell r="CH825">
            <v>0</v>
          </cell>
          <cell r="CI825">
            <v>0</v>
          </cell>
          <cell r="CJ825">
            <v>0</v>
          </cell>
          <cell r="CK825">
            <v>0</v>
          </cell>
          <cell r="CL825">
            <v>0</v>
          </cell>
          <cell r="CM825">
            <v>0</v>
          </cell>
          <cell r="CN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0</v>
          </cell>
          <cell r="CU825">
            <v>0</v>
          </cell>
          <cell r="CV825">
            <v>0</v>
          </cell>
          <cell r="CW825">
            <v>0</v>
          </cell>
          <cell r="CX825">
            <v>0</v>
          </cell>
          <cell r="CY825">
            <v>0</v>
          </cell>
          <cell r="CZ825">
            <v>0</v>
          </cell>
          <cell r="DA825">
            <v>0</v>
          </cell>
          <cell r="DB825">
            <v>0</v>
          </cell>
          <cell r="DC825">
            <v>0</v>
          </cell>
          <cell r="DD825">
            <v>0</v>
          </cell>
          <cell r="DE825">
            <v>0</v>
          </cell>
          <cell r="DF825">
            <v>0</v>
          </cell>
          <cell r="DG825">
            <v>0</v>
          </cell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T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0</v>
          </cell>
          <cell r="CM826">
            <v>0</v>
          </cell>
          <cell r="CN826">
            <v>0</v>
          </cell>
          <cell r="CO826">
            <v>0</v>
          </cell>
          <cell r="CP826">
            <v>0</v>
          </cell>
          <cell r="CQ826">
            <v>0</v>
          </cell>
          <cell r="CR826">
            <v>0</v>
          </cell>
          <cell r="CS826">
            <v>0</v>
          </cell>
          <cell r="CT826">
            <v>0</v>
          </cell>
          <cell r="CU826">
            <v>0</v>
          </cell>
          <cell r="CV826">
            <v>0</v>
          </cell>
          <cell r="CW826">
            <v>0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  <cell r="DD826">
            <v>0</v>
          </cell>
          <cell r="DE826">
            <v>0</v>
          </cell>
          <cell r="DF826">
            <v>0</v>
          </cell>
          <cell r="DG826">
            <v>0</v>
          </cell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T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0</v>
          </cell>
          <cell r="CD827">
            <v>0</v>
          </cell>
          <cell r="CE827">
            <v>0</v>
          </cell>
          <cell r="CF827">
            <v>0</v>
          </cell>
          <cell r="CG827">
            <v>0</v>
          </cell>
          <cell r="CH827">
            <v>0</v>
          </cell>
          <cell r="CI827">
            <v>0</v>
          </cell>
          <cell r="CJ827">
            <v>0</v>
          </cell>
          <cell r="CK827">
            <v>0</v>
          </cell>
          <cell r="CL827">
            <v>0</v>
          </cell>
          <cell r="CM827">
            <v>0</v>
          </cell>
          <cell r="CN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0</v>
          </cell>
          <cell r="CU827">
            <v>0</v>
          </cell>
          <cell r="CV827">
            <v>0</v>
          </cell>
          <cell r="CW827">
            <v>0</v>
          </cell>
          <cell r="CX827">
            <v>0</v>
          </cell>
          <cell r="CY827">
            <v>0</v>
          </cell>
          <cell r="CZ827">
            <v>0</v>
          </cell>
          <cell r="DA827">
            <v>0</v>
          </cell>
          <cell r="DB827">
            <v>0</v>
          </cell>
          <cell r="DC827">
            <v>0</v>
          </cell>
          <cell r="DD827">
            <v>0</v>
          </cell>
          <cell r="DE827">
            <v>0</v>
          </cell>
          <cell r="DF827">
            <v>0</v>
          </cell>
          <cell r="DG827">
            <v>0</v>
          </cell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T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0</v>
          </cell>
          <cell r="CU828">
            <v>0</v>
          </cell>
          <cell r="CV828">
            <v>0</v>
          </cell>
          <cell r="CW828">
            <v>0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  <cell r="DD828">
            <v>0</v>
          </cell>
          <cell r="DE828">
            <v>0</v>
          </cell>
          <cell r="DF828">
            <v>0</v>
          </cell>
          <cell r="DG828">
            <v>0</v>
          </cell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T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0</v>
          </cell>
          <cell r="CU829">
            <v>0</v>
          </cell>
          <cell r="CV829">
            <v>0</v>
          </cell>
          <cell r="CW829">
            <v>0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  <cell r="DD829">
            <v>0</v>
          </cell>
          <cell r="DE829">
            <v>0</v>
          </cell>
          <cell r="DF829">
            <v>0</v>
          </cell>
          <cell r="DG829">
            <v>0</v>
          </cell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T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0</v>
          </cell>
          <cell r="CU830">
            <v>0</v>
          </cell>
          <cell r="CV830">
            <v>0</v>
          </cell>
          <cell r="CW830">
            <v>0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  <cell r="DD830">
            <v>0</v>
          </cell>
          <cell r="DE830">
            <v>0</v>
          </cell>
          <cell r="DF830">
            <v>0</v>
          </cell>
          <cell r="DG830">
            <v>0</v>
          </cell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T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0</v>
          </cell>
          <cell r="CH831">
            <v>0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0</v>
          </cell>
          <cell r="CY831">
            <v>0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  <cell r="DD831">
            <v>0</v>
          </cell>
          <cell r="DE831">
            <v>0</v>
          </cell>
          <cell r="DF831">
            <v>0</v>
          </cell>
          <cell r="DG831">
            <v>0</v>
          </cell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T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  <cell r="CF832">
            <v>0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M832">
            <v>0</v>
          </cell>
          <cell r="CN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0</v>
          </cell>
          <cell r="CU832">
            <v>0</v>
          </cell>
          <cell r="CV832">
            <v>0</v>
          </cell>
          <cell r="CW832">
            <v>0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  <cell r="DD832">
            <v>0</v>
          </cell>
          <cell r="DE832">
            <v>0</v>
          </cell>
          <cell r="DF832">
            <v>0</v>
          </cell>
          <cell r="DG832">
            <v>0</v>
          </cell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T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0</v>
          </cell>
          <cell r="CU833">
            <v>0</v>
          </cell>
          <cell r="CV833">
            <v>0</v>
          </cell>
          <cell r="CW833">
            <v>0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  <cell r="DD833">
            <v>0</v>
          </cell>
          <cell r="DE833">
            <v>0</v>
          </cell>
          <cell r="DF833">
            <v>0</v>
          </cell>
          <cell r="DG833">
            <v>0</v>
          </cell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T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0</v>
          </cell>
          <cell r="CU834">
            <v>0</v>
          </cell>
          <cell r="CV834">
            <v>0</v>
          </cell>
          <cell r="CW834">
            <v>0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  <cell r="DD834">
            <v>0</v>
          </cell>
          <cell r="DE834">
            <v>0</v>
          </cell>
          <cell r="DF834">
            <v>0</v>
          </cell>
          <cell r="DG834">
            <v>0</v>
          </cell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T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0</v>
          </cell>
          <cell r="CU835">
            <v>0</v>
          </cell>
          <cell r="CV835">
            <v>0</v>
          </cell>
          <cell r="CW835">
            <v>0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  <cell r="DD835">
            <v>0</v>
          </cell>
          <cell r="DE835">
            <v>0</v>
          </cell>
          <cell r="DF835">
            <v>0</v>
          </cell>
          <cell r="DG835">
            <v>0</v>
          </cell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T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M836">
            <v>0</v>
          </cell>
          <cell r="CN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0</v>
          </cell>
          <cell r="CU836">
            <v>0</v>
          </cell>
          <cell r="CV836">
            <v>0</v>
          </cell>
          <cell r="CW836">
            <v>0</v>
          </cell>
          <cell r="CX836">
            <v>0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  <cell r="DD836">
            <v>0</v>
          </cell>
          <cell r="DE836">
            <v>0</v>
          </cell>
          <cell r="DF836">
            <v>0</v>
          </cell>
          <cell r="DG836">
            <v>0</v>
          </cell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T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0</v>
          </cell>
          <cell r="CU837">
            <v>0</v>
          </cell>
          <cell r="CV837">
            <v>0</v>
          </cell>
          <cell r="CW837">
            <v>0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  <cell r="DD837">
            <v>0</v>
          </cell>
          <cell r="DE837">
            <v>0</v>
          </cell>
          <cell r="DF837">
            <v>0</v>
          </cell>
          <cell r="DG837">
            <v>0</v>
          </cell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T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</row>
        <row r="838"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  <cell r="DD839">
            <v>0</v>
          </cell>
          <cell r="DE839">
            <v>0</v>
          </cell>
          <cell r="DF839">
            <v>0</v>
          </cell>
          <cell r="DG839">
            <v>0</v>
          </cell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T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0</v>
          </cell>
          <cell r="CU840">
            <v>0</v>
          </cell>
          <cell r="CV840">
            <v>0</v>
          </cell>
          <cell r="CW840">
            <v>0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  <cell r="DD840">
            <v>0</v>
          </cell>
          <cell r="DE840">
            <v>0</v>
          </cell>
          <cell r="DF840">
            <v>0</v>
          </cell>
          <cell r="DG840">
            <v>0</v>
          </cell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T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0</v>
          </cell>
          <cell r="CU841">
            <v>0</v>
          </cell>
          <cell r="CV841">
            <v>0</v>
          </cell>
          <cell r="CW841">
            <v>0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  <cell r="DD841">
            <v>0</v>
          </cell>
          <cell r="DE841">
            <v>0</v>
          </cell>
          <cell r="DF841">
            <v>0</v>
          </cell>
          <cell r="DG841">
            <v>0</v>
          </cell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T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0</v>
          </cell>
          <cell r="CW842">
            <v>0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  <cell r="DD842">
            <v>0</v>
          </cell>
          <cell r="DE842">
            <v>0</v>
          </cell>
          <cell r="DF842">
            <v>0</v>
          </cell>
          <cell r="DG842">
            <v>0</v>
          </cell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T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0</v>
          </cell>
          <cell r="CF843">
            <v>0</v>
          </cell>
          <cell r="CG843">
            <v>0</v>
          </cell>
          <cell r="CH843">
            <v>0</v>
          </cell>
          <cell r="CI843">
            <v>0</v>
          </cell>
          <cell r="CJ843">
            <v>0</v>
          </cell>
          <cell r="CK843">
            <v>0</v>
          </cell>
          <cell r="CL843">
            <v>0</v>
          </cell>
          <cell r="CM843">
            <v>0</v>
          </cell>
          <cell r="CN843">
            <v>0</v>
          </cell>
          <cell r="CO843">
            <v>0</v>
          </cell>
          <cell r="CP843">
            <v>0</v>
          </cell>
          <cell r="CQ843">
            <v>0</v>
          </cell>
          <cell r="CR843">
            <v>0</v>
          </cell>
          <cell r="CS843">
            <v>0</v>
          </cell>
          <cell r="CT843">
            <v>0</v>
          </cell>
          <cell r="CU843">
            <v>0</v>
          </cell>
          <cell r="CV843">
            <v>0</v>
          </cell>
          <cell r="CW843">
            <v>0</v>
          </cell>
          <cell r="CX843">
            <v>0</v>
          </cell>
          <cell r="CY843">
            <v>0</v>
          </cell>
          <cell r="CZ843">
            <v>0</v>
          </cell>
          <cell r="DA843">
            <v>0</v>
          </cell>
          <cell r="DB843">
            <v>0</v>
          </cell>
          <cell r="DC843">
            <v>0</v>
          </cell>
          <cell r="DD843">
            <v>0</v>
          </cell>
          <cell r="DE843">
            <v>0</v>
          </cell>
          <cell r="DF843">
            <v>0</v>
          </cell>
          <cell r="DG843">
            <v>0</v>
          </cell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T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  <cell r="CF844">
            <v>0</v>
          </cell>
          <cell r="CG844">
            <v>0</v>
          </cell>
          <cell r="CH844">
            <v>0</v>
          </cell>
          <cell r="CI844">
            <v>0</v>
          </cell>
          <cell r="CJ844">
            <v>0</v>
          </cell>
          <cell r="CK844">
            <v>0</v>
          </cell>
          <cell r="CL844">
            <v>0</v>
          </cell>
          <cell r="CM844">
            <v>0</v>
          </cell>
          <cell r="CN844">
            <v>0</v>
          </cell>
          <cell r="CO844">
            <v>0</v>
          </cell>
          <cell r="CP844">
            <v>0</v>
          </cell>
          <cell r="CQ844">
            <v>0</v>
          </cell>
          <cell r="CR844">
            <v>0</v>
          </cell>
          <cell r="CS844">
            <v>0</v>
          </cell>
          <cell r="CT844">
            <v>0</v>
          </cell>
          <cell r="CU844">
            <v>0</v>
          </cell>
          <cell r="CV844">
            <v>0</v>
          </cell>
          <cell r="CW844">
            <v>0</v>
          </cell>
          <cell r="CX844">
            <v>0</v>
          </cell>
          <cell r="CY844">
            <v>0</v>
          </cell>
          <cell r="CZ844">
            <v>0</v>
          </cell>
          <cell r="DA844">
            <v>0</v>
          </cell>
          <cell r="DB844">
            <v>0</v>
          </cell>
          <cell r="DC844">
            <v>0</v>
          </cell>
          <cell r="DD844">
            <v>0</v>
          </cell>
          <cell r="DE844">
            <v>0</v>
          </cell>
          <cell r="DF844">
            <v>0</v>
          </cell>
          <cell r="DG844">
            <v>0</v>
          </cell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T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  <cell r="CF847">
            <v>0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M847">
            <v>0</v>
          </cell>
          <cell r="CN847">
            <v>0</v>
          </cell>
          <cell r="CO847">
            <v>0</v>
          </cell>
          <cell r="CP847">
            <v>0</v>
          </cell>
          <cell r="CQ847">
            <v>0</v>
          </cell>
          <cell r="CR847">
            <v>0</v>
          </cell>
          <cell r="CS847">
            <v>0</v>
          </cell>
          <cell r="CT847">
            <v>0</v>
          </cell>
          <cell r="CU847">
            <v>0</v>
          </cell>
          <cell r="CV847">
            <v>0</v>
          </cell>
          <cell r="CW847">
            <v>0</v>
          </cell>
          <cell r="CX847">
            <v>0</v>
          </cell>
          <cell r="CY847">
            <v>0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  <cell r="DD847">
            <v>0</v>
          </cell>
          <cell r="DE847">
            <v>0</v>
          </cell>
          <cell r="DF847">
            <v>0</v>
          </cell>
          <cell r="DG847">
            <v>0</v>
          </cell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T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  <cell r="CF848">
            <v>0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M848">
            <v>0</v>
          </cell>
          <cell r="CN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0</v>
          </cell>
          <cell r="CU848">
            <v>0</v>
          </cell>
          <cell r="CV848">
            <v>0</v>
          </cell>
          <cell r="CW848">
            <v>0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  <cell r="DD848">
            <v>0</v>
          </cell>
          <cell r="DE848">
            <v>0</v>
          </cell>
          <cell r="DF848">
            <v>0</v>
          </cell>
          <cell r="DG848">
            <v>0</v>
          </cell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T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0</v>
          </cell>
          <cell r="CU849">
            <v>0</v>
          </cell>
          <cell r="CV849">
            <v>0</v>
          </cell>
          <cell r="CW849">
            <v>0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  <cell r="DD849">
            <v>0</v>
          </cell>
          <cell r="DE849">
            <v>0</v>
          </cell>
          <cell r="DF849">
            <v>0</v>
          </cell>
          <cell r="DG849">
            <v>0</v>
          </cell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T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0</v>
          </cell>
          <cell r="CD850">
            <v>0</v>
          </cell>
          <cell r="CE850">
            <v>0</v>
          </cell>
          <cell r="CF850">
            <v>0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0</v>
          </cell>
          <cell r="CU850">
            <v>0</v>
          </cell>
          <cell r="CV850">
            <v>0</v>
          </cell>
          <cell r="CW850">
            <v>0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  <cell r="DD850">
            <v>0</v>
          </cell>
          <cell r="DE850">
            <v>0</v>
          </cell>
          <cell r="DF850">
            <v>0</v>
          </cell>
          <cell r="DG850">
            <v>0</v>
          </cell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T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  <cell r="CF851">
            <v>0</v>
          </cell>
          <cell r="CG851">
            <v>0</v>
          </cell>
          <cell r="CH851">
            <v>0</v>
          </cell>
          <cell r="CI851">
            <v>0</v>
          </cell>
          <cell r="CJ851">
            <v>0</v>
          </cell>
          <cell r="CK851">
            <v>0</v>
          </cell>
          <cell r="CL851">
            <v>0</v>
          </cell>
          <cell r="CM851">
            <v>0</v>
          </cell>
          <cell r="CN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0</v>
          </cell>
          <cell r="CU851">
            <v>0</v>
          </cell>
          <cell r="CV851">
            <v>0</v>
          </cell>
          <cell r="CW851">
            <v>0</v>
          </cell>
          <cell r="CX851">
            <v>0</v>
          </cell>
          <cell r="CY851">
            <v>0</v>
          </cell>
          <cell r="CZ851">
            <v>0</v>
          </cell>
          <cell r="DA851">
            <v>0</v>
          </cell>
          <cell r="DB851">
            <v>0</v>
          </cell>
          <cell r="DC851">
            <v>0</v>
          </cell>
          <cell r="DD851">
            <v>0</v>
          </cell>
          <cell r="DE851">
            <v>0</v>
          </cell>
          <cell r="DF851">
            <v>0</v>
          </cell>
          <cell r="DG851">
            <v>0</v>
          </cell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T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G852">
            <v>0</v>
          </cell>
          <cell r="CH852">
            <v>0</v>
          </cell>
          <cell r="CI852">
            <v>0</v>
          </cell>
          <cell r="CJ852">
            <v>0</v>
          </cell>
          <cell r="CK852">
            <v>0</v>
          </cell>
          <cell r="CL852">
            <v>0</v>
          </cell>
          <cell r="CM852">
            <v>0</v>
          </cell>
          <cell r="CN852">
            <v>0</v>
          </cell>
          <cell r="CO852">
            <v>0</v>
          </cell>
          <cell r="CP852">
            <v>0</v>
          </cell>
          <cell r="CQ852">
            <v>0</v>
          </cell>
          <cell r="CR852">
            <v>0</v>
          </cell>
          <cell r="CS852">
            <v>0</v>
          </cell>
          <cell r="CT852">
            <v>0</v>
          </cell>
          <cell r="CU852">
            <v>0</v>
          </cell>
          <cell r="CV852">
            <v>0</v>
          </cell>
          <cell r="CW852">
            <v>0</v>
          </cell>
          <cell r="CX852">
            <v>0</v>
          </cell>
          <cell r="CY852">
            <v>0</v>
          </cell>
          <cell r="CZ852">
            <v>0</v>
          </cell>
          <cell r="DA852">
            <v>0</v>
          </cell>
          <cell r="DB852">
            <v>0</v>
          </cell>
          <cell r="DC852">
            <v>0</v>
          </cell>
          <cell r="DD852">
            <v>0</v>
          </cell>
          <cell r="DE852">
            <v>0</v>
          </cell>
          <cell r="DF852">
            <v>0</v>
          </cell>
          <cell r="DG852">
            <v>0</v>
          </cell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T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0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T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0</v>
          </cell>
          <cell r="CH858">
            <v>0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0</v>
          </cell>
          <cell r="CW858">
            <v>0</v>
          </cell>
          <cell r="CX858">
            <v>0</v>
          </cell>
          <cell r="CY858">
            <v>0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  <cell r="DD858">
            <v>0</v>
          </cell>
          <cell r="DE858">
            <v>0</v>
          </cell>
          <cell r="DF858">
            <v>0</v>
          </cell>
          <cell r="DG858">
            <v>0</v>
          </cell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T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0</v>
          </cell>
          <cell r="CH859">
            <v>0</v>
          </cell>
          <cell r="CI859">
            <v>0</v>
          </cell>
          <cell r="CJ859">
            <v>0</v>
          </cell>
          <cell r="CK859">
            <v>0</v>
          </cell>
          <cell r="CL859">
            <v>0</v>
          </cell>
          <cell r="CM859">
            <v>0</v>
          </cell>
          <cell r="CN859">
            <v>0</v>
          </cell>
          <cell r="CO859">
            <v>0</v>
          </cell>
          <cell r="CP859">
            <v>0</v>
          </cell>
          <cell r="CQ859">
            <v>0</v>
          </cell>
          <cell r="CR859">
            <v>0</v>
          </cell>
          <cell r="CS859">
            <v>0</v>
          </cell>
          <cell r="CT859">
            <v>0</v>
          </cell>
          <cell r="CU859">
            <v>0</v>
          </cell>
          <cell r="CV859">
            <v>0</v>
          </cell>
          <cell r="CW859">
            <v>0</v>
          </cell>
          <cell r="CX859">
            <v>0</v>
          </cell>
          <cell r="CY859">
            <v>0</v>
          </cell>
          <cell r="CZ859">
            <v>0</v>
          </cell>
          <cell r="DA859">
            <v>0</v>
          </cell>
          <cell r="DB859">
            <v>0</v>
          </cell>
          <cell r="DC859">
            <v>0</v>
          </cell>
          <cell r="DD859">
            <v>0</v>
          </cell>
          <cell r="DE859">
            <v>0</v>
          </cell>
          <cell r="DF859">
            <v>0</v>
          </cell>
          <cell r="DG859">
            <v>0</v>
          </cell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T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0</v>
          </cell>
          <cell r="CH860">
            <v>0</v>
          </cell>
          <cell r="CI860">
            <v>0</v>
          </cell>
          <cell r="CJ860">
            <v>0</v>
          </cell>
          <cell r="CK860">
            <v>0</v>
          </cell>
          <cell r="CL860">
            <v>0</v>
          </cell>
          <cell r="CM860">
            <v>0</v>
          </cell>
          <cell r="CN860">
            <v>0</v>
          </cell>
          <cell r="CO860">
            <v>0</v>
          </cell>
          <cell r="CP860">
            <v>0</v>
          </cell>
          <cell r="CQ860">
            <v>0</v>
          </cell>
          <cell r="CR860">
            <v>0</v>
          </cell>
          <cell r="CS860">
            <v>0</v>
          </cell>
          <cell r="CT860">
            <v>0</v>
          </cell>
          <cell r="CU860">
            <v>0</v>
          </cell>
          <cell r="CV860">
            <v>0</v>
          </cell>
          <cell r="CW860">
            <v>0</v>
          </cell>
          <cell r="CX860">
            <v>0</v>
          </cell>
          <cell r="CY860">
            <v>0</v>
          </cell>
          <cell r="CZ860">
            <v>0</v>
          </cell>
          <cell r="DA860">
            <v>0</v>
          </cell>
          <cell r="DB860">
            <v>0</v>
          </cell>
          <cell r="DC860">
            <v>0</v>
          </cell>
          <cell r="DD860">
            <v>0</v>
          </cell>
          <cell r="DE860">
            <v>0</v>
          </cell>
          <cell r="DF860">
            <v>0</v>
          </cell>
          <cell r="DG860">
            <v>0</v>
          </cell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T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0</v>
          </cell>
          <cell r="CH863">
            <v>0</v>
          </cell>
          <cell r="CI863">
            <v>0</v>
          </cell>
          <cell r="CJ863">
            <v>0</v>
          </cell>
          <cell r="CK863">
            <v>0</v>
          </cell>
          <cell r="CL863">
            <v>0</v>
          </cell>
          <cell r="CM863">
            <v>0</v>
          </cell>
          <cell r="CN863">
            <v>0</v>
          </cell>
          <cell r="CO863">
            <v>0</v>
          </cell>
          <cell r="CP863">
            <v>0</v>
          </cell>
          <cell r="CQ863">
            <v>0</v>
          </cell>
          <cell r="CR863">
            <v>0</v>
          </cell>
          <cell r="CS863">
            <v>0</v>
          </cell>
          <cell r="CT863">
            <v>0</v>
          </cell>
          <cell r="CU863">
            <v>0</v>
          </cell>
          <cell r="CV863">
            <v>0</v>
          </cell>
          <cell r="CW863">
            <v>0</v>
          </cell>
          <cell r="CX863">
            <v>0</v>
          </cell>
          <cell r="CY863">
            <v>0</v>
          </cell>
          <cell r="CZ863">
            <v>0</v>
          </cell>
          <cell r="DA863">
            <v>0</v>
          </cell>
          <cell r="DB863">
            <v>0</v>
          </cell>
          <cell r="DC863">
            <v>0</v>
          </cell>
          <cell r="DD863">
            <v>0</v>
          </cell>
          <cell r="DE863">
            <v>0</v>
          </cell>
          <cell r="DF863">
            <v>0</v>
          </cell>
          <cell r="DG863">
            <v>0</v>
          </cell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T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0</v>
          </cell>
          <cell r="CH866">
            <v>0</v>
          </cell>
          <cell r="CI866">
            <v>0</v>
          </cell>
          <cell r="CJ866">
            <v>0</v>
          </cell>
          <cell r="CK866">
            <v>0</v>
          </cell>
          <cell r="CL866">
            <v>0</v>
          </cell>
          <cell r="CM866">
            <v>0</v>
          </cell>
          <cell r="CN866">
            <v>0</v>
          </cell>
          <cell r="CO866">
            <v>0</v>
          </cell>
          <cell r="CP866">
            <v>0</v>
          </cell>
          <cell r="CQ866">
            <v>0</v>
          </cell>
          <cell r="CR866">
            <v>0</v>
          </cell>
          <cell r="CS866">
            <v>0</v>
          </cell>
          <cell r="CT866">
            <v>0</v>
          </cell>
          <cell r="CU866">
            <v>0</v>
          </cell>
          <cell r="CV866">
            <v>0</v>
          </cell>
          <cell r="CW866">
            <v>0</v>
          </cell>
          <cell r="CX866">
            <v>0</v>
          </cell>
          <cell r="CY866">
            <v>0</v>
          </cell>
          <cell r="CZ866">
            <v>0</v>
          </cell>
          <cell r="DA866">
            <v>0</v>
          </cell>
          <cell r="DB866">
            <v>0</v>
          </cell>
          <cell r="DC866">
            <v>0</v>
          </cell>
          <cell r="DD866">
            <v>0</v>
          </cell>
          <cell r="DE866">
            <v>0</v>
          </cell>
          <cell r="DF866">
            <v>0</v>
          </cell>
          <cell r="DG866">
            <v>0</v>
          </cell>
          <cell r="DH866">
            <v>0</v>
          </cell>
          <cell r="DI866">
            <v>0</v>
          </cell>
          <cell r="DJ866">
            <v>0</v>
          </cell>
          <cell r="DK866">
            <v>0</v>
          </cell>
          <cell r="DL866">
            <v>0</v>
          </cell>
          <cell r="DM866">
            <v>0</v>
          </cell>
          <cell r="DN866">
            <v>0</v>
          </cell>
          <cell r="DO866">
            <v>0</v>
          </cell>
          <cell r="DP866">
            <v>0</v>
          </cell>
          <cell r="DQ866">
            <v>0</v>
          </cell>
          <cell r="DR866">
            <v>0</v>
          </cell>
          <cell r="DS866">
            <v>0</v>
          </cell>
          <cell r="DT866">
            <v>0</v>
          </cell>
          <cell r="DU866">
            <v>0</v>
          </cell>
          <cell r="DV866">
            <v>0</v>
          </cell>
          <cell r="DW866">
            <v>0</v>
          </cell>
          <cell r="DX866">
            <v>0</v>
          </cell>
          <cell r="DY866">
            <v>0</v>
          </cell>
          <cell r="DZ866">
            <v>0</v>
          </cell>
          <cell r="EA866">
            <v>0</v>
          </cell>
          <cell r="EB866">
            <v>0</v>
          </cell>
          <cell r="EC866">
            <v>0</v>
          </cell>
          <cell r="ED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0</v>
          </cell>
          <cell r="CH867">
            <v>0</v>
          </cell>
          <cell r="CI867">
            <v>0</v>
          </cell>
          <cell r="CJ867">
            <v>0</v>
          </cell>
          <cell r="CK867">
            <v>0</v>
          </cell>
          <cell r="CL867">
            <v>0</v>
          </cell>
          <cell r="CM867">
            <v>0</v>
          </cell>
          <cell r="CN867">
            <v>0</v>
          </cell>
          <cell r="CO867">
            <v>0</v>
          </cell>
          <cell r="CP867">
            <v>0</v>
          </cell>
          <cell r="CQ867">
            <v>0</v>
          </cell>
          <cell r="CR867">
            <v>0</v>
          </cell>
          <cell r="CS867">
            <v>0</v>
          </cell>
          <cell r="CT867">
            <v>0</v>
          </cell>
          <cell r="CU867">
            <v>0</v>
          </cell>
          <cell r="CV867">
            <v>0</v>
          </cell>
          <cell r="CW867">
            <v>0</v>
          </cell>
          <cell r="CX867">
            <v>0</v>
          </cell>
          <cell r="CY867">
            <v>0</v>
          </cell>
          <cell r="CZ867">
            <v>0</v>
          </cell>
          <cell r="DA867">
            <v>0</v>
          </cell>
          <cell r="DB867">
            <v>0</v>
          </cell>
          <cell r="DC867">
            <v>0</v>
          </cell>
          <cell r="DD867">
            <v>0</v>
          </cell>
          <cell r="DE867">
            <v>0</v>
          </cell>
          <cell r="DF867">
            <v>0</v>
          </cell>
          <cell r="DG867">
            <v>0</v>
          </cell>
          <cell r="DH867">
            <v>0</v>
          </cell>
          <cell r="DI867">
            <v>0</v>
          </cell>
          <cell r="DJ867">
            <v>0</v>
          </cell>
          <cell r="DK867">
            <v>0</v>
          </cell>
          <cell r="DL867">
            <v>0</v>
          </cell>
          <cell r="DM867">
            <v>0</v>
          </cell>
          <cell r="DN867">
            <v>0</v>
          </cell>
          <cell r="DO867">
            <v>0</v>
          </cell>
          <cell r="DP867">
            <v>0</v>
          </cell>
          <cell r="DQ867">
            <v>0</v>
          </cell>
          <cell r="DR867">
            <v>0</v>
          </cell>
          <cell r="DS867">
            <v>0</v>
          </cell>
          <cell r="DT867">
            <v>0</v>
          </cell>
          <cell r="DU867">
            <v>0</v>
          </cell>
          <cell r="DV867">
            <v>0</v>
          </cell>
          <cell r="DW867">
            <v>0</v>
          </cell>
          <cell r="DX867">
            <v>0</v>
          </cell>
          <cell r="DY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0</v>
          </cell>
          <cell r="CF870">
            <v>0</v>
          </cell>
          <cell r="CG870">
            <v>0</v>
          </cell>
          <cell r="CH870">
            <v>0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0</v>
          </cell>
          <cell r="CW870">
            <v>0</v>
          </cell>
          <cell r="CX870">
            <v>0</v>
          </cell>
          <cell r="CY870">
            <v>0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  <cell r="DD870">
            <v>0</v>
          </cell>
          <cell r="DE870">
            <v>0</v>
          </cell>
          <cell r="DF870">
            <v>0</v>
          </cell>
          <cell r="DG870">
            <v>0</v>
          </cell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T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</row>
        <row r="871">
          <cell r="F871">
            <v>1.8190934898203892E-2</v>
          </cell>
          <cell r="G871">
            <v>-2.2790145327686417E-2</v>
          </cell>
          <cell r="H871">
            <v>0</v>
          </cell>
          <cell r="I871">
            <v>0</v>
          </cell>
          <cell r="J871">
            <v>0</v>
          </cell>
          <cell r="K871">
            <v>-5.2614894709783755E-3</v>
          </cell>
          <cell r="L871">
            <v>-0.16639452788865583</v>
          </cell>
          <cell r="M871">
            <v>-0.31019745229102114</v>
          </cell>
          <cell r="N871">
            <v>-7.7878170804606128E-2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0</v>
          </cell>
          <cell r="CF871">
            <v>0</v>
          </cell>
          <cell r="CG871">
            <v>0</v>
          </cell>
          <cell r="CH871">
            <v>0</v>
          </cell>
          <cell r="CI871">
            <v>0</v>
          </cell>
          <cell r="CJ871">
            <v>0</v>
          </cell>
          <cell r="CK871">
            <v>0</v>
          </cell>
          <cell r="CL871">
            <v>0</v>
          </cell>
          <cell r="CM871">
            <v>0</v>
          </cell>
          <cell r="CN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0</v>
          </cell>
          <cell r="CU871">
            <v>0</v>
          </cell>
          <cell r="CV871">
            <v>0</v>
          </cell>
          <cell r="CW871">
            <v>0</v>
          </cell>
          <cell r="CX871">
            <v>0</v>
          </cell>
          <cell r="CY871">
            <v>0</v>
          </cell>
          <cell r="CZ871">
            <v>0</v>
          </cell>
          <cell r="DA871">
            <v>0</v>
          </cell>
          <cell r="DB871">
            <v>0</v>
          </cell>
          <cell r="DC871">
            <v>0</v>
          </cell>
          <cell r="DD871">
            <v>0</v>
          </cell>
          <cell r="DE871">
            <v>0</v>
          </cell>
          <cell r="DF871">
            <v>0</v>
          </cell>
          <cell r="DG871">
            <v>0</v>
          </cell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T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0</v>
          </cell>
          <cell r="CJ872">
            <v>0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0</v>
          </cell>
          <cell r="DA872">
            <v>0</v>
          </cell>
          <cell r="DB872">
            <v>0</v>
          </cell>
          <cell r="DC872">
            <v>0</v>
          </cell>
          <cell r="DD872">
            <v>0</v>
          </cell>
          <cell r="DE872">
            <v>0</v>
          </cell>
          <cell r="DF872">
            <v>0</v>
          </cell>
          <cell r="DG872">
            <v>0</v>
          </cell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T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0</v>
          </cell>
          <cell r="CF874">
            <v>0</v>
          </cell>
          <cell r="CG874">
            <v>0</v>
          </cell>
          <cell r="CH874">
            <v>0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M874">
            <v>0</v>
          </cell>
          <cell r="CN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0</v>
          </cell>
          <cell r="CU874">
            <v>0</v>
          </cell>
          <cell r="CV874">
            <v>0</v>
          </cell>
          <cell r="CW874">
            <v>0</v>
          </cell>
          <cell r="CX874">
            <v>0</v>
          </cell>
          <cell r="CY874">
            <v>0</v>
          </cell>
          <cell r="CZ874">
            <v>0</v>
          </cell>
          <cell r="DA874">
            <v>0</v>
          </cell>
          <cell r="DB874">
            <v>0</v>
          </cell>
          <cell r="DC874">
            <v>0</v>
          </cell>
          <cell r="DD874">
            <v>0</v>
          </cell>
          <cell r="DE874">
            <v>0</v>
          </cell>
          <cell r="DF874">
            <v>0</v>
          </cell>
          <cell r="DG874">
            <v>0</v>
          </cell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T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</row>
        <row r="875">
          <cell r="F875">
            <v>-8.9232291932646035E-3</v>
          </cell>
          <cell r="G875">
            <v>-1.9902611504491574E-2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4.7651926156575541E-2</v>
          </cell>
          <cell r="M875">
            <v>1.6289063859261432E-2</v>
          </cell>
          <cell r="N875">
            <v>-8.0630295627273085E-3</v>
          </cell>
          <cell r="O875">
            <v>-1.1193708674202441E-2</v>
          </cell>
          <cell r="P875">
            <v>-0.14655085397057022</v>
          </cell>
          <cell r="Q875">
            <v>-3.8330172940366225E-2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0</v>
          </cell>
          <cell r="CD876">
            <v>0</v>
          </cell>
          <cell r="CE876">
            <v>0</v>
          </cell>
          <cell r="CF876">
            <v>0</v>
          </cell>
          <cell r="CG876">
            <v>0</v>
          </cell>
          <cell r="CH876">
            <v>0</v>
          </cell>
          <cell r="CI876">
            <v>0</v>
          </cell>
          <cell r="CJ876">
            <v>0</v>
          </cell>
          <cell r="CK876">
            <v>0</v>
          </cell>
          <cell r="CL876">
            <v>0</v>
          </cell>
          <cell r="CM876">
            <v>0</v>
          </cell>
          <cell r="CN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0</v>
          </cell>
          <cell r="CU876">
            <v>0</v>
          </cell>
          <cell r="CV876">
            <v>0</v>
          </cell>
          <cell r="CW876">
            <v>0</v>
          </cell>
          <cell r="CX876">
            <v>0</v>
          </cell>
          <cell r="CY876">
            <v>0</v>
          </cell>
          <cell r="CZ876">
            <v>0</v>
          </cell>
          <cell r="DA876">
            <v>0</v>
          </cell>
          <cell r="DB876">
            <v>0</v>
          </cell>
          <cell r="DC876">
            <v>0</v>
          </cell>
          <cell r="DD876">
            <v>0</v>
          </cell>
          <cell r="DE876">
            <v>0</v>
          </cell>
          <cell r="DF876">
            <v>0</v>
          </cell>
          <cell r="DG876">
            <v>0</v>
          </cell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T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  <cell r="CF877">
            <v>0</v>
          </cell>
          <cell r="CG877">
            <v>0</v>
          </cell>
          <cell r="CH877">
            <v>0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0</v>
          </cell>
          <cell r="CW877">
            <v>0</v>
          </cell>
          <cell r="CX877">
            <v>0</v>
          </cell>
          <cell r="CY877">
            <v>0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  <cell r="DD877">
            <v>0</v>
          </cell>
          <cell r="DE877">
            <v>0</v>
          </cell>
          <cell r="DF877">
            <v>0</v>
          </cell>
          <cell r="DG877">
            <v>0</v>
          </cell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T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0</v>
          </cell>
          <cell r="CJ879">
            <v>0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0</v>
          </cell>
          <cell r="DA879">
            <v>0</v>
          </cell>
          <cell r="DB879">
            <v>0</v>
          </cell>
          <cell r="DC879">
            <v>0</v>
          </cell>
          <cell r="DD879">
            <v>0</v>
          </cell>
          <cell r="DE879">
            <v>0</v>
          </cell>
          <cell r="DF879">
            <v>0</v>
          </cell>
          <cell r="DG879">
            <v>0</v>
          </cell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T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0</v>
          </cell>
          <cell r="CF881">
            <v>0</v>
          </cell>
          <cell r="CG881">
            <v>0</v>
          </cell>
          <cell r="CH881">
            <v>0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M881">
            <v>0</v>
          </cell>
          <cell r="CN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0</v>
          </cell>
          <cell r="CU881">
            <v>0</v>
          </cell>
          <cell r="CV881">
            <v>0</v>
          </cell>
          <cell r="CW881">
            <v>0</v>
          </cell>
          <cell r="CX881">
            <v>0</v>
          </cell>
          <cell r="CY881">
            <v>0</v>
          </cell>
          <cell r="CZ881">
            <v>0</v>
          </cell>
          <cell r="DA881">
            <v>0</v>
          </cell>
          <cell r="DB881">
            <v>0</v>
          </cell>
          <cell r="DC881">
            <v>0</v>
          </cell>
          <cell r="DD881">
            <v>0</v>
          </cell>
          <cell r="DE881">
            <v>0</v>
          </cell>
          <cell r="DF881">
            <v>0</v>
          </cell>
          <cell r="DG881">
            <v>0</v>
          </cell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T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0</v>
          </cell>
          <cell r="CD882">
            <v>0</v>
          </cell>
          <cell r="CE882">
            <v>0</v>
          </cell>
          <cell r="CF882">
            <v>0</v>
          </cell>
          <cell r="CG882">
            <v>0</v>
          </cell>
          <cell r="CH882">
            <v>0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0</v>
          </cell>
          <cell r="CU882">
            <v>0</v>
          </cell>
          <cell r="CV882">
            <v>0</v>
          </cell>
          <cell r="CW882">
            <v>0</v>
          </cell>
          <cell r="CX882">
            <v>0</v>
          </cell>
          <cell r="CY882">
            <v>0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  <cell r="DD882">
            <v>0</v>
          </cell>
          <cell r="DE882">
            <v>0</v>
          </cell>
          <cell r="DF882">
            <v>0</v>
          </cell>
          <cell r="DG882">
            <v>0</v>
          </cell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T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>
            <v>0</v>
          </cell>
          <cell r="BY883">
            <v>0</v>
          </cell>
          <cell r="BZ883">
            <v>0</v>
          </cell>
          <cell r="CA883">
            <v>0</v>
          </cell>
          <cell r="CB883">
            <v>0</v>
          </cell>
          <cell r="CC883">
            <v>0</v>
          </cell>
          <cell r="CD883">
            <v>0</v>
          </cell>
          <cell r="CE883">
            <v>0</v>
          </cell>
          <cell r="CF883">
            <v>0</v>
          </cell>
          <cell r="CG883">
            <v>0</v>
          </cell>
          <cell r="CH883">
            <v>0</v>
          </cell>
          <cell r="CI883">
            <v>0</v>
          </cell>
          <cell r="CJ883">
            <v>0</v>
          </cell>
          <cell r="CK883">
            <v>0</v>
          </cell>
          <cell r="CL883">
            <v>0</v>
          </cell>
          <cell r="CM883">
            <v>0</v>
          </cell>
          <cell r="CN883">
            <v>0</v>
          </cell>
          <cell r="CO883">
            <v>0</v>
          </cell>
          <cell r="CP883">
            <v>0</v>
          </cell>
          <cell r="CQ883">
            <v>0</v>
          </cell>
          <cell r="CR883">
            <v>0</v>
          </cell>
          <cell r="CS883">
            <v>0</v>
          </cell>
          <cell r="CT883">
            <v>0</v>
          </cell>
          <cell r="CU883">
            <v>0</v>
          </cell>
          <cell r="CV883">
            <v>0</v>
          </cell>
          <cell r="CW883">
            <v>0</v>
          </cell>
          <cell r="CX883">
            <v>0</v>
          </cell>
          <cell r="CY883">
            <v>0</v>
          </cell>
          <cell r="CZ883">
            <v>0</v>
          </cell>
          <cell r="DA883">
            <v>0</v>
          </cell>
          <cell r="DB883">
            <v>0</v>
          </cell>
          <cell r="DC883">
            <v>0</v>
          </cell>
          <cell r="DD883">
            <v>0</v>
          </cell>
          <cell r="DE883">
            <v>0</v>
          </cell>
          <cell r="DF883">
            <v>0</v>
          </cell>
          <cell r="DG883">
            <v>0</v>
          </cell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T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0</v>
          </cell>
          <cell r="CH884">
            <v>0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0</v>
          </cell>
          <cell r="CU884">
            <v>0</v>
          </cell>
          <cell r="CV884">
            <v>0</v>
          </cell>
          <cell r="CW884">
            <v>0</v>
          </cell>
          <cell r="CX884">
            <v>0</v>
          </cell>
          <cell r="CY884">
            <v>0</v>
          </cell>
          <cell r="CZ884">
            <v>0</v>
          </cell>
          <cell r="DA884">
            <v>0</v>
          </cell>
          <cell r="DB884">
            <v>0</v>
          </cell>
          <cell r="DC884">
            <v>0</v>
          </cell>
          <cell r="DD884">
            <v>0</v>
          </cell>
          <cell r="DE884">
            <v>0</v>
          </cell>
          <cell r="DF884">
            <v>0</v>
          </cell>
          <cell r="DG884">
            <v>0</v>
          </cell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T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0</v>
          </cell>
          <cell r="CH886">
            <v>0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M886">
            <v>0</v>
          </cell>
          <cell r="CN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0</v>
          </cell>
          <cell r="CU886">
            <v>0</v>
          </cell>
          <cell r="CV886">
            <v>0</v>
          </cell>
          <cell r="CW886">
            <v>0</v>
          </cell>
          <cell r="CX886">
            <v>0</v>
          </cell>
          <cell r="CY886">
            <v>0</v>
          </cell>
          <cell r="CZ886">
            <v>0</v>
          </cell>
          <cell r="DA886">
            <v>0</v>
          </cell>
          <cell r="DB886">
            <v>0</v>
          </cell>
          <cell r="DC886">
            <v>0</v>
          </cell>
          <cell r="DD886">
            <v>0</v>
          </cell>
          <cell r="DE886">
            <v>0</v>
          </cell>
          <cell r="DF886">
            <v>0</v>
          </cell>
          <cell r="DG886">
            <v>0</v>
          </cell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T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</row>
        <row r="888">
          <cell r="A888" t="str">
            <v>Additional Fixed Costs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0</v>
          </cell>
          <cell r="CY889">
            <v>0</v>
          </cell>
          <cell r="CZ889">
            <v>0</v>
          </cell>
          <cell r="DA889">
            <v>0</v>
          </cell>
          <cell r="DB889">
            <v>0</v>
          </cell>
          <cell r="DC889">
            <v>0</v>
          </cell>
          <cell r="DD889">
            <v>0</v>
          </cell>
          <cell r="DE889">
            <v>0</v>
          </cell>
          <cell r="DF889">
            <v>0</v>
          </cell>
          <cell r="DG889">
            <v>0</v>
          </cell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T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0</v>
          </cell>
          <cell r="CH891">
            <v>0</v>
          </cell>
          <cell r="CI891">
            <v>0</v>
          </cell>
          <cell r="CJ891">
            <v>0</v>
          </cell>
          <cell r="CK891">
            <v>0</v>
          </cell>
          <cell r="CL891">
            <v>0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0</v>
          </cell>
          <cell r="CY891">
            <v>0</v>
          </cell>
          <cell r="CZ891">
            <v>0</v>
          </cell>
          <cell r="DA891">
            <v>0</v>
          </cell>
          <cell r="DB891">
            <v>0</v>
          </cell>
          <cell r="DC891">
            <v>0</v>
          </cell>
          <cell r="DD891">
            <v>0</v>
          </cell>
          <cell r="DE891">
            <v>0</v>
          </cell>
          <cell r="DF891">
            <v>0</v>
          </cell>
          <cell r="DG891">
            <v>0</v>
          </cell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T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0</v>
          </cell>
          <cell r="CH892">
            <v>0</v>
          </cell>
          <cell r="CI892">
            <v>0</v>
          </cell>
          <cell r="CJ892">
            <v>0</v>
          </cell>
          <cell r="CK892">
            <v>0</v>
          </cell>
          <cell r="CL892">
            <v>0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0</v>
          </cell>
          <cell r="CY892">
            <v>0</v>
          </cell>
          <cell r="CZ892">
            <v>0</v>
          </cell>
          <cell r="DA892">
            <v>0</v>
          </cell>
          <cell r="DB892">
            <v>0</v>
          </cell>
          <cell r="DC892">
            <v>0</v>
          </cell>
          <cell r="DD892">
            <v>0</v>
          </cell>
          <cell r="DE892">
            <v>0</v>
          </cell>
          <cell r="DF892">
            <v>0</v>
          </cell>
          <cell r="DG892">
            <v>0</v>
          </cell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T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  <cell r="CJ893">
            <v>0</v>
          </cell>
          <cell r="CK893">
            <v>0</v>
          </cell>
          <cell r="CL893">
            <v>0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0</v>
          </cell>
          <cell r="CU893">
            <v>0</v>
          </cell>
          <cell r="CV893">
            <v>0</v>
          </cell>
          <cell r="CW893">
            <v>0</v>
          </cell>
          <cell r="CX893">
            <v>0</v>
          </cell>
          <cell r="CY893">
            <v>0</v>
          </cell>
          <cell r="CZ893">
            <v>0</v>
          </cell>
          <cell r="DA893">
            <v>0</v>
          </cell>
          <cell r="DB893">
            <v>0</v>
          </cell>
          <cell r="DC893">
            <v>0</v>
          </cell>
          <cell r="DD893">
            <v>0</v>
          </cell>
          <cell r="DE893">
            <v>0</v>
          </cell>
          <cell r="DF893">
            <v>0</v>
          </cell>
          <cell r="DG893">
            <v>0</v>
          </cell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T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0</v>
          </cell>
          <cell r="CH894">
            <v>0</v>
          </cell>
          <cell r="CI894">
            <v>0</v>
          </cell>
          <cell r="CJ894">
            <v>0</v>
          </cell>
          <cell r="CK894">
            <v>0</v>
          </cell>
          <cell r="CL894">
            <v>0</v>
          </cell>
          <cell r="CM894">
            <v>0</v>
          </cell>
          <cell r="CN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0</v>
          </cell>
          <cell r="CU894">
            <v>0</v>
          </cell>
          <cell r="CV894">
            <v>0</v>
          </cell>
          <cell r="CW894">
            <v>0</v>
          </cell>
          <cell r="CX894">
            <v>0</v>
          </cell>
          <cell r="CY894">
            <v>0</v>
          </cell>
          <cell r="CZ894">
            <v>0</v>
          </cell>
          <cell r="DA894">
            <v>0</v>
          </cell>
          <cell r="DB894">
            <v>0</v>
          </cell>
          <cell r="DC894">
            <v>0</v>
          </cell>
          <cell r="DD894">
            <v>0</v>
          </cell>
          <cell r="DE894">
            <v>0</v>
          </cell>
          <cell r="DF894">
            <v>0</v>
          </cell>
          <cell r="DG894">
            <v>0</v>
          </cell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T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0</v>
          </cell>
          <cell r="CY895">
            <v>0</v>
          </cell>
          <cell r="CZ895">
            <v>0</v>
          </cell>
          <cell r="DA895">
            <v>0</v>
          </cell>
          <cell r="DB895">
            <v>0</v>
          </cell>
          <cell r="DC895">
            <v>0</v>
          </cell>
          <cell r="DD895">
            <v>0</v>
          </cell>
          <cell r="DE895">
            <v>0</v>
          </cell>
          <cell r="DF895">
            <v>0</v>
          </cell>
          <cell r="DG895">
            <v>0</v>
          </cell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T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0</v>
          </cell>
          <cell r="CH896">
            <v>0</v>
          </cell>
          <cell r="CI896">
            <v>0</v>
          </cell>
          <cell r="CJ896">
            <v>0</v>
          </cell>
          <cell r="CK896">
            <v>0</v>
          </cell>
          <cell r="CL896">
            <v>0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0</v>
          </cell>
          <cell r="CY896">
            <v>0</v>
          </cell>
          <cell r="CZ896">
            <v>0</v>
          </cell>
          <cell r="DA896">
            <v>0</v>
          </cell>
          <cell r="DB896">
            <v>0</v>
          </cell>
          <cell r="DC896">
            <v>0</v>
          </cell>
          <cell r="DD896">
            <v>0</v>
          </cell>
          <cell r="DE896">
            <v>0</v>
          </cell>
          <cell r="DF896">
            <v>0</v>
          </cell>
          <cell r="DG896">
            <v>0</v>
          </cell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T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0</v>
          </cell>
          <cell r="CH897">
            <v>0</v>
          </cell>
          <cell r="CI897">
            <v>0</v>
          </cell>
          <cell r="CJ897">
            <v>0</v>
          </cell>
          <cell r="CK897">
            <v>0</v>
          </cell>
          <cell r="CL897">
            <v>0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0</v>
          </cell>
          <cell r="CY897">
            <v>0</v>
          </cell>
          <cell r="CZ897">
            <v>0</v>
          </cell>
          <cell r="DA897">
            <v>0</v>
          </cell>
          <cell r="DB897">
            <v>0</v>
          </cell>
          <cell r="DC897">
            <v>0</v>
          </cell>
          <cell r="DD897">
            <v>0</v>
          </cell>
          <cell r="DE897">
            <v>0</v>
          </cell>
          <cell r="DF897">
            <v>0</v>
          </cell>
          <cell r="DG897">
            <v>0</v>
          </cell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T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G898">
            <v>0</v>
          </cell>
          <cell r="CH898">
            <v>0</v>
          </cell>
          <cell r="CI898">
            <v>0</v>
          </cell>
          <cell r="CJ898">
            <v>0</v>
          </cell>
          <cell r="CK898">
            <v>0</v>
          </cell>
          <cell r="CL898">
            <v>0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0</v>
          </cell>
          <cell r="CU898">
            <v>0</v>
          </cell>
          <cell r="CV898">
            <v>0</v>
          </cell>
          <cell r="CW898">
            <v>0</v>
          </cell>
          <cell r="CX898">
            <v>0</v>
          </cell>
          <cell r="CY898">
            <v>0</v>
          </cell>
          <cell r="CZ898">
            <v>0</v>
          </cell>
          <cell r="DA898">
            <v>0</v>
          </cell>
          <cell r="DB898">
            <v>0</v>
          </cell>
          <cell r="DC898">
            <v>0</v>
          </cell>
          <cell r="DD898">
            <v>0</v>
          </cell>
          <cell r="DE898">
            <v>0</v>
          </cell>
          <cell r="DF898">
            <v>0</v>
          </cell>
          <cell r="DG898">
            <v>0</v>
          </cell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T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0</v>
          </cell>
          <cell r="BT899">
            <v>0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0</v>
          </cell>
          <cell r="CB899">
            <v>0</v>
          </cell>
          <cell r="CC899">
            <v>0</v>
          </cell>
          <cell r="CD899">
            <v>0</v>
          </cell>
          <cell r="CE899">
            <v>0</v>
          </cell>
          <cell r="CF899">
            <v>0</v>
          </cell>
          <cell r="CG899">
            <v>0</v>
          </cell>
          <cell r="CH899">
            <v>0</v>
          </cell>
          <cell r="CI899">
            <v>0</v>
          </cell>
          <cell r="CJ899">
            <v>0</v>
          </cell>
          <cell r="CK899">
            <v>0</v>
          </cell>
          <cell r="CL899">
            <v>0</v>
          </cell>
          <cell r="CM899">
            <v>0</v>
          </cell>
          <cell r="CN899">
            <v>0</v>
          </cell>
          <cell r="CO899">
            <v>0</v>
          </cell>
          <cell r="CP899">
            <v>0</v>
          </cell>
          <cell r="CQ899">
            <v>0</v>
          </cell>
          <cell r="CR899">
            <v>0</v>
          </cell>
          <cell r="CS899">
            <v>0</v>
          </cell>
          <cell r="CT899">
            <v>0</v>
          </cell>
          <cell r="CU899">
            <v>0</v>
          </cell>
          <cell r="CV899">
            <v>0</v>
          </cell>
          <cell r="CW899">
            <v>0</v>
          </cell>
          <cell r="CX899">
            <v>0</v>
          </cell>
          <cell r="CY899">
            <v>0</v>
          </cell>
          <cell r="CZ899">
            <v>0</v>
          </cell>
          <cell r="DA899">
            <v>0</v>
          </cell>
          <cell r="DB899">
            <v>0</v>
          </cell>
          <cell r="DC899">
            <v>0</v>
          </cell>
          <cell r="DD899">
            <v>0</v>
          </cell>
          <cell r="DE899">
            <v>0</v>
          </cell>
          <cell r="DF899">
            <v>0</v>
          </cell>
          <cell r="DG899">
            <v>0</v>
          </cell>
          <cell r="DH899">
            <v>0</v>
          </cell>
          <cell r="DI899">
            <v>0</v>
          </cell>
          <cell r="DJ899">
            <v>0</v>
          </cell>
          <cell r="DK899">
            <v>0</v>
          </cell>
          <cell r="DL899">
            <v>0</v>
          </cell>
          <cell r="DM899">
            <v>0</v>
          </cell>
          <cell r="DN899">
            <v>0</v>
          </cell>
          <cell r="DO899">
            <v>0</v>
          </cell>
          <cell r="DP899">
            <v>0</v>
          </cell>
          <cell r="DQ899">
            <v>0</v>
          </cell>
          <cell r="DR899">
            <v>0</v>
          </cell>
          <cell r="DS899">
            <v>0</v>
          </cell>
          <cell r="DT899">
            <v>0</v>
          </cell>
          <cell r="DU899">
            <v>0</v>
          </cell>
          <cell r="DV899">
            <v>0</v>
          </cell>
          <cell r="DW899">
            <v>0</v>
          </cell>
          <cell r="DX899">
            <v>0</v>
          </cell>
          <cell r="DY899">
            <v>0</v>
          </cell>
          <cell r="DZ899">
            <v>0</v>
          </cell>
          <cell r="EA899">
            <v>0</v>
          </cell>
          <cell r="EB899">
            <v>0</v>
          </cell>
          <cell r="EC899">
            <v>0</v>
          </cell>
          <cell r="ED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  <cell r="CF900">
            <v>0</v>
          </cell>
          <cell r="CG900">
            <v>0</v>
          </cell>
          <cell r="CH900">
            <v>0</v>
          </cell>
          <cell r="CI900">
            <v>0</v>
          </cell>
          <cell r="CJ900">
            <v>0</v>
          </cell>
          <cell r="CK900">
            <v>0</v>
          </cell>
          <cell r="CL900">
            <v>0</v>
          </cell>
          <cell r="CM900">
            <v>0</v>
          </cell>
          <cell r="CN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0</v>
          </cell>
          <cell r="CU900">
            <v>0</v>
          </cell>
          <cell r="CV900">
            <v>0</v>
          </cell>
          <cell r="CW900">
            <v>0</v>
          </cell>
          <cell r="CX900">
            <v>0</v>
          </cell>
          <cell r="CY900">
            <v>0</v>
          </cell>
          <cell r="CZ900">
            <v>0</v>
          </cell>
          <cell r="DA900">
            <v>0</v>
          </cell>
          <cell r="DB900">
            <v>0</v>
          </cell>
          <cell r="DC900">
            <v>0</v>
          </cell>
          <cell r="DD900">
            <v>0</v>
          </cell>
          <cell r="DE900">
            <v>0</v>
          </cell>
          <cell r="DF900">
            <v>0</v>
          </cell>
          <cell r="DG900">
            <v>0</v>
          </cell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T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</row>
        <row r="901">
          <cell r="J901" t="str">
            <v>Mills / kWh</v>
          </cell>
          <cell r="W901" t="str">
            <v>Mills / kWh</v>
          </cell>
          <cell r="AJ901" t="str">
            <v>Mills / kWh</v>
          </cell>
          <cell r="AW901" t="str">
            <v>Mills / kWh</v>
          </cell>
          <cell r="BJ901" t="str">
            <v>Mills / kWh</v>
          </cell>
          <cell r="BW901" t="str">
            <v>Mills / kWh</v>
          </cell>
          <cell r="CJ901" t="str">
            <v>Mills / kWh</v>
          </cell>
          <cell r="CW901" t="str">
            <v>Mills / kWh</v>
          </cell>
          <cell r="DJ901" t="str">
            <v>Mills / kWh</v>
          </cell>
          <cell r="DW901" t="str">
            <v>Mills / kWh</v>
          </cell>
        </row>
        <row r="902">
          <cell r="A902" t="str">
            <v>Special Sales For Resale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0</v>
          </cell>
          <cell r="CJ904">
            <v>0</v>
          </cell>
          <cell r="CK904">
            <v>0</v>
          </cell>
          <cell r="CL904">
            <v>0</v>
          </cell>
          <cell r="CM904">
            <v>0</v>
          </cell>
          <cell r="CN904">
            <v>0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0</v>
          </cell>
          <cell r="CU904">
            <v>0</v>
          </cell>
          <cell r="CV904">
            <v>0</v>
          </cell>
          <cell r="CW904">
            <v>0</v>
          </cell>
          <cell r="CX904">
            <v>0</v>
          </cell>
          <cell r="CY904">
            <v>0</v>
          </cell>
          <cell r="CZ904">
            <v>0</v>
          </cell>
          <cell r="DA904">
            <v>0</v>
          </cell>
          <cell r="DB904">
            <v>0</v>
          </cell>
          <cell r="DC904">
            <v>0</v>
          </cell>
          <cell r="DD904">
            <v>0</v>
          </cell>
          <cell r="DE904">
            <v>0</v>
          </cell>
          <cell r="DF904">
            <v>0</v>
          </cell>
          <cell r="DG904">
            <v>0</v>
          </cell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T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0</v>
          </cell>
          <cell r="BQ906">
            <v>0</v>
          </cell>
          <cell r="BR906">
            <v>0</v>
          </cell>
          <cell r="BS906">
            <v>0</v>
          </cell>
          <cell r="BT906">
            <v>0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0</v>
          </cell>
          <cell r="CJ906">
            <v>0</v>
          </cell>
          <cell r="CK906">
            <v>0</v>
          </cell>
          <cell r="CL906">
            <v>0</v>
          </cell>
          <cell r="CM906">
            <v>0</v>
          </cell>
          <cell r="CN906">
            <v>0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0</v>
          </cell>
          <cell r="CU906">
            <v>0</v>
          </cell>
          <cell r="CV906">
            <v>0</v>
          </cell>
          <cell r="CW906">
            <v>0</v>
          </cell>
          <cell r="CX906">
            <v>0</v>
          </cell>
          <cell r="CY906">
            <v>0</v>
          </cell>
          <cell r="CZ906">
            <v>0</v>
          </cell>
          <cell r="DA906">
            <v>0</v>
          </cell>
          <cell r="DB906">
            <v>0</v>
          </cell>
          <cell r="DC906">
            <v>0</v>
          </cell>
          <cell r="DD906">
            <v>0</v>
          </cell>
          <cell r="DE906">
            <v>0</v>
          </cell>
          <cell r="DF906">
            <v>0</v>
          </cell>
          <cell r="DG906">
            <v>0</v>
          </cell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T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0</v>
          </cell>
          <cell r="CJ907">
            <v>0</v>
          </cell>
          <cell r="CK907">
            <v>0</v>
          </cell>
          <cell r="CL907">
            <v>0</v>
          </cell>
          <cell r="CM907">
            <v>0</v>
          </cell>
          <cell r="CN907">
            <v>0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0</v>
          </cell>
          <cell r="CU907">
            <v>0</v>
          </cell>
          <cell r="CV907">
            <v>0</v>
          </cell>
          <cell r="CW907">
            <v>0</v>
          </cell>
          <cell r="CX907">
            <v>0</v>
          </cell>
          <cell r="CY907">
            <v>0</v>
          </cell>
          <cell r="CZ907">
            <v>0</v>
          </cell>
          <cell r="DA907">
            <v>0</v>
          </cell>
          <cell r="DB907">
            <v>0</v>
          </cell>
          <cell r="DC907">
            <v>0</v>
          </cell>
          <cell r="DD907">
            <v>0</v>
          </cell>
          <cell r="DE907">
            <v>0</v>
          </cell>
          <cell r="DF907">
            <v>0</v>
          </cell>
          <cell r="DG907">
            <v>0</v>
          </cell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T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0</v>
          </cell>
          <cell r="CJ908">
            <v>0</v>
          </cell>
          <cell r="CK908">
            <v>0</v>
          </cell>
          <cell r="CL908">
            <v>0</v>
          </cell>
          <cell r="CM908">
            <v>0</v>
          </cell>
          <cell r="CN908">
            <v>0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0</v>
          </cell>
          <cell r="DA908">
            <v>0</v>
          </cell>
          <cell r="DB908">
            <v>0</v>
          </cell>
          <cell r="DC908">
            <v>0</v>
          </cell>
          <cell r="DD908">
            <v>0</v>
          </cell>
          <cell r="DE908">
            <v>0</v>
          </cell>
          <cell r="DF908">
            <v>0</v>
          </cell>
          <cell r="DG908">
            <v>0</v>
          </cell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T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  <cell r="CF909">
            <v>0</v>
          </cell>
          <cell r="CG909">
            <v>0</v>
          </cell>
          <cell r="CH909">
            <v>0</v>
          </cell>
          <cell r="CI909">
            <v>0</v>
          </cell>
          <cell r="CJ909">
            <v>0</v>
          </cell>
          <cell r="CK909">
            <v>0</v>
          </cell>
          <cell r="CL909">
            <v>0</v>
          </cell>
          <cell r="CM909">
            <v>0</v>
          </cell>
          <cell r="CN909">
            <v>0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0</v>
          </cell>
          <cell r="CU909">
            <v>0</v>
          </cell>
          <cell r="CV909">
            <v>0</v>
          </cell>
          <cell r="CW909">
            <v>0</v>
          </cell>
          <cell r="CX909">
            <v>0</v>
          </cell>
          <cell r="CY909">
            <v>0</v>
          </cell>
          <cell r="CZ909">
            <v>0</v>
          </cell>
          <cell r="DA909">
            <v>0</v>
          </cell>
          <cell r="DB909">
            <v>0</v>
          </cell>
          <cell r="DC909">
            <v>0</v>
          </cell>
          <cell r="DD909">
            <v>0</v>
          </cell>
          <cell r="DE909">
            <v>0</v>
          </cell>
          <cell r="DF909">
            <v>0</v>
          </cell>
          <cell r="DG909">
            <v>0</v>
          </cell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T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0</v>
          </cell>
          <cell r="BQ910">
            <v>0</v>
          </cell>
          <cell r="BR910">
            <v>0</v>
          </cell>
          <cell r="BS910">
            <v>0</v>
          </cell>
          <cell r="BT910">
            <v>0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0</v>
          </cell>
          <cell r="CF910">
            <v>0</v>
          </cell>
          <cell r="CG910">
            <v>0</v>
          </cell>
          <cell r="CH910">
            <v>0</v>
          </cell>
          <cell r="CI910">
            <v>0</v>
          </cell>
          <cell r="CJ910">
            <v>0</v>
          </cell>
          <cell r="CK910">
            <v>0</v>
          </cell>
          <cell r="CL910">
            <v>0</v>
          </cell>
          <cell r="CM910">
            <v>0</v>
          </cell>
          <cell r="CN910">
            <v>0</v>
          </cell>
          <cell r="CO910">
            <v>0</v>
          </cell>
          <cell r="CP910">
            <v>0</v>
          </cell>
          <cell r="CQ910">
            <v>0</v>
          </cell>
          <cell r="CR910">
            <v>0</v>
          </cell>
          <cell r="CS910">
            <v>0</v>
          </cell>
          <cell r="CT910">
            <v>0</v>
          </cell>
          <cell r="CU910">
            <v>0</v>
          </cell>
          <cell r="CV910">
            <v>0</v>
          </cell>
          <cell r="CW910">
            <v>0</v>
          </cell>
          <cell r="CX910">
            <v>0</v>
          </cell>
          <cell r="CY910">
            <v>0</v>
          </cell>
          <cell r="CZ910">
            <v>0</v>
          </cell>
          <cell r="DA910">
            <v>0</v>
          </cell>
          <cell r="DB910">
            <v>0</v>
          </cell>
          <cell r="DC910">
            <v>0</v>
          </cell>
          <cell r="DD910">
            <v>0</v>
          </cell>
          <cell r="DE910">
            <v>0</v>
          </cell>
          <cell r="DF910">
            <v>0</v>
          </cell>
          <cell r="DG910">
            <v>0</v>
          </cell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T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0</v>
          </cell>
          <cell r="CH911">
            <v>0</v>
          </cell>
          <cell r="CI911">
            <v>0</v>
          </cell>
          <cell r="CJ911">
            <v>0</v>
          </cell>
          <cell r="CK911">
            <v>0</v>
          </cell>
          <cell r="CL911">
            <v>0</v>
          </cell>
          <cell r="CM911">
            <v>0</v>
          </cell>
          <cell r="CN911">
            <v>0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0</v>
          </cell>
          <cell r="CU911">
            <v>0</v>
          </cell>
          <cell r="CV911">
            <v>0</v>
          </cell>
          <cell r="CW911">
            <v>0</v>
          </cell>
          <cell r="CX911">
            <v>0</v>
          </cell>
          <cell r="CY911">
            <v>0</v>
          </cell>
          <cell r="CZ911">
            <v>0</v>
          </cell>
          <cell r="DA911">
            <v>0</v>
          </cell>
          <cell r="DB911">
            <v>0</v>
          </cell>
          <cell r="DC911">
            <v>0</v>
          </cell>
          <cell r="DD911">
            <v>0</v>
          </cell>
          <cell r="DE911">
            <v>0</v>
          </cell>
          <cell r="DF911">
            <v>0</v>
          </cell>
          <cell r="DG911">
            <v>0</v>
          </cell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T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0</v>
          </cell>
          <cell r="CH913">
            <v>0</v>
          </cell>
          <cell r="CI913">
            <v>0</v>
          </cell>
          <cell r="CJ913">
            <v>0</v>
          </cell>
          <cell r="CK913">
            <v>0</v>
          </cell>
          <cell r="CL913">
            <v>0</v>
          </cell>
          <cell r="CM913">
            <v>0</v>
          </cell>
          <cell r="CN913">
            <v>0</v>
          </cell>
          <cell r="CO913">
            <v>0</v>
          </cell>
          <cell r="CP913">
            <v>0</v>
          </cell>
          <cell r="CQ913">
            <v>0</v>
          </cell>
          <cell r="CR913">
            <v>0</v>
          </cell>
          <cell r="CS913">
            <v>0</v>
          </cell>
          <cell r="CT913">
            <v>0</v>
          </cell>
          <cell r="CU913">
            <v>0</v>
          </cell>
          <cell r="CV913">
            <v>0</v>
          </cell>
          <cell r="CW913">
            <v>0</v>
          </cell>
          <cell r="CX913">
            <v>0</v>
          </cell>
          <cell r="CY913">
            <v>0</v>
          </cell>
          <cell r="CZ913">
            <v>0</v>
          </cell>
          <cell r="DA913">
            <v>0</v>
          </cell>
          <cell r="DB913">
            <v>0</v>
          </cell>
          <cell r="DC913">
            <v>0</v>
          </cell>
          <cell r="DD913">
            <v>0</v>
          </cell>
          <cell r="DE913">
            <v>0</v>
          </cell>
          <cell r="DF913">
            <v>0</v>
          </cell>
          <cell r="DG913">
            <v>0</v>
          </cell>
          <cell r="DH913">
            <v>0</v>
          </cell>
          <cell r="DI913">
            <v>0</v>
          </cell>
          <cell r="DJ913">
            <v>0</v>
          </cell>
          <cell r="DK913">
            <v>0</v>
          </cell>
          <cell r="DL913">
            <v>0</v>
          </cell>
          <cell r="DM913">
            <v>0</v>
          </cell>
          <cell r="DN913">
            <v>0</v>
          </cell>
          <cell r="DO913">
            <v>0</v>
          </cell>
          <cell r="DP913">
            <v>0</v>
          </cell>
          <cell r="DQ913">
            <v>0</v>
          </cell>
          <cell r="DR913">
            <v>0</v>
          </cell>
          <cell r="DS913">
            <v>0</v>
          </cell>
          <cell r="DT913">
            <v>0</v>
          </cell>
          <cell r="DU913">
            <v>0</v>
          </cell>
          <cell r="DV913">
            <v>0</v>
          </cell>
          <cell r="DW913">
            <v>0</v>
          </cell>
          <cell r="DX913">
            <v>0</v>
          </cell>
          <cell r="DY913">
            <v>0</v>
          </cell>
          <cell r="DZ913">
            <v>0</v>
          </cell>
          <cell r="EA913">
            <v>0</v>
          </cell>
          <cell r="EB913">
            <v>0</v>
          </cell>
          <cell r="EC913">
            <v>0</v>
          </cell>
          <cell r="ED913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0</v>
          </cell>
          <cell r="CH916">
            <v>0</v>
          </cell>
          <cell r="CI916">
            <v>0</v>
          </cell>
          <cell r="CJ916">
            <v>0</v>
          </cell>
          <cell r="CK916">
            <v>0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0</v>
          </cell>
          <cell r="CU916">
            <v>0</v>
          </cell>
          <cell r="CV916">
            <v>0</v>
          </cell>
          <cell r="CW916">
            <v>0</v>
          </cell>
          <cell r="CX916">
            <v>0</v>
          </cell>
          <cell r="CY916">
            <v>0</v>
          </cell>
          <cell r="CZ916">
            <v>0</v>
          </cell>
          <cell r="DA916">
            <v>0</v>
          </cell>
          <cell r="DB916">
            <v>0</v>
          </cell>
          <cell r="DC916">
            <v>0</v>
          </cell>
          <cell r="DD916">
            <v>0</v>
          </cell>
          <cell r="DE916">
            <v>0</v>
          </cell>
          <cell r="DF916">
            <v>0</v>
          </cell>
          <cell r="DG916">
            <v>0</v>
          </cell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T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0</v>
          </cell>
          <cell r="CH917">
            <v>0</v>
          </cell>
          <cell r="CI917">
            <v>0</v>
          </cell>
          <cell r="CJ917">
            <v>0</v>
          </cell>
          <cell r="CK917">
            <v>0</v>
          </cell>
          <cell r="CL917">
            <v>0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0</v>
          </cell>
          <cell r="CV917">
            <v>0</v>
          </cell>
          <cell r="CW917">
            <v>0</v>
          </cell>
          <cell r="CX917">
            <v>0</v>
          </cell>
          <cell r="CY917">
            <v>0</v>
          </cell>
          <cell r="CZ917">
            <v>0</v>
          </cell>
          <cell r="DA917">
            <v>0</v>
          </cell>
          <cell r="DB917">
            <v>0</v>
          </cell>
          <cell r="DC917">
            <v>0</v>
          </cell>
          <cell r="DD917">
            <v>0</v>
          </cell>
          <cell r="DE917">
            <v>0</v>
          </cell>
          <cell r="DF917">
            <v>0</v>
          </cell>
          <cell r="DG917">
            <v>0</v>
          </cell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T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0</v>
          </cell>
          <cell r="CL918">
            <v>0</v>
          </cell>
          <cell r="CM918">
            <v>0</v>
          </cell>
          <cell r="CN918">
            <v>0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0</v>
          </cell>
          <cell r="CU918">
            <v>0</v>
          </cell>
          <cell r="CV918">
            <v>0</v>
          </cell>
          <cell r="CW918">
            <v>0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0</v>
          </cell>
          <cell r="DC918">
            <v>0</v>
          </cell>
          <cell r="DD918">
            <v>0</v>
          </cell>
          <cell r="DE918">
            <v>0</v>
          </cell>
          <cell r="DF918">
            <v>0</v>
          </cell>
          <cell r="DG918">
            <v>0</v>
          </cell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T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O919">
            <v>0</v>
          </cell>
          <cell r="BP919">
            <v>0</v>
          </cell>
          <cell r="BQ919">
            <v>0</v>
          </cell>
          <cell r="BR919">
            <v>0</v>
          </cell>
          <cell r="BS919">
            <v>0</v>
          </cell>
          <cell r="BT919">
            <v>0</v>
          </cell>
          <cell r="BU919">
            <v>0</v>
          </cell>
          <cell r="BV919">
            <v>0</v>
          </cell>
          <cell r="BW919">
            <v>0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0</v>
          </cell>
          <cell r="CH919">
            <v>0</v>
          </cell>
          <cell r="CI919">
            <v>0</v>
          </cell>
          <cell r="CJ919">
            <v>0</v>
          </cell>
          <cell r="CK919">
            <v>0</v>
          </cell>
          <cell r="CL919">
            <v>0</v>
          </cell>
          <cell r="CM919">
            <v>0</v>
          </cell>
          <cell r="CN919">
            <v>0</v>
          </cell>
          <cell r="CO919">
            <v>0</v>
          </cell>
          <cell r="CP919">
            <v>0</v>
          </cell>
          <cell r="CQ919">
            <v>0</v>
          </cell>
          <cell r="CR919">
            <v>0</v>
          </cell>
          <cell r="CS919">
            <v>0</v>
          </cell>
          <cell r="CT919">
            <v>0</v>
          </cell>
          <cell r="CU919">
            <v>0</v>
          </cell>
          <cell r="CV919">
            <v>0</v>
          </cell>
          <cell r="CW919">
            <v>0</v>
          </cell>
          <cell r="CX919">
            <v>0</v>
          </cell>
          <cell r="CY919">
            <v>0</v>
          </cell>
          <cell r="CZ919">
            <v>0</v>
          </cell>
          <cell r="DA919">
            <v>0</v>
          </cell>
          <cell r="DB919">
            <v>0</v>
          </cell>
          <cell r="DC919">
            <v>0</v>
          </cell>
          <cell r="DD919">
            <v>0</v>
          </cell>
          <cell r="DE919">
            <v>0</v>
          </cell>
          <cell r="DF919">
            <v>0</v>
          </cell>
          <cell r="DG919">
            <v>0</v>
          </cell>
          <cell r="DH919">
            <v>0</v>
          </cell>
          <cell r="DI919">
            <v>0</v>
          </cell>
          <cell r="DJ919">
            <v>0</v>
          </cell>
          <cell r="DK919">
            <v>0</v>
          </cell>
          <cell r="DL919">
            <v>0</v>
          </cell>
          <cell r="DM919">
            <v>0</v>
          </cell>
          <cell r="DN919">
            <v>0</v>
          </cell>
          <cell r="DO919">
            <v>0</v>
          </cell>
          <cell r="DP919">
            <v>0</v>
          </cell>
          <cell r="DQ919">
            <v>0</v>
          </cell>
          <cell r="DR919">
            <v>0</v>
          </cell>
          <cell r="DS919">
            <v>0</v>
          </cell>
          <cell r="DT919">
            <v>0</v>
          </cell>
          <cell r="DU919">
            <v>0</v>
          </cell>
          <cell r="DV919">
            <v>0</v>
          </cell>
          <cell r="DW919">
            <v>0</v>
          </cell>
          <cell r="DX919">
            <v>0</v>
          </cell>
          <cell r="DY919">
            <v>0</v>
          </cell>
          <cell r="DZ919">
            <v>0</v>
          </cell>
          <cell r="EA919">
            <v>0</v>
          </cell>
          <cell r="EB919">
            <v>0</v>
          </cell>
          <cell r="EC919">
            <v>0</v>
          </cell>
          <cell r="ED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0</v>
          </cell>
          <cell r="CQ920">
            <v>0</v>
          </cell>
          <cell r="CR920">
            <v>0</v>
          </cell>
          <cell r="CS920">
            <v>0</v>
          </cell>
          <cell r="CT920">
            <v>0</v>
          </cell>
          <cell r="CU920">
            <v>0</v>
          </cell>
          <cell r="CV920">
            <v>0</v>
          </cell>
          <cell r="CW920">
            <v>0</v>
          </cell>
          <cell r="CX920">
            <v>0</v>
          </cell>
          <cell r="CY920">
            <v>0</v>
          </cell>
          <cell r="CZ920">
            <v>0</v>
          </cell>
          <cell r="DA920">
            <v>0</v>
          </cell>
          <cell r="DB920">
            <v>0</v>
          </cell>
          <cell r="DC920">
            <v>0</v>
          </cell>
          <cell r="DD920">
            <v>0</v>
          </cell>
          <cell r="DE920">
            <v>0</v>
          </cell>
          <cell r="DF920">
            <v>0</v>
          </cell>
          <cell r="DG920">
            <v>0</v>
          </cell>
          <cell r="DH920">
            <v>0</v>
          </cell>
          <cell r="DI920">
            <v>0</v>
          </cell>
          <cell r="DJ920">
            <v>0</v>
          </cell>
          <cell r="DK920">
            <v>0</v>
          </cell>
          <cell r="DL920">
            <v>0</v>
          </cell>
          <cell r="DM920">
            <v>0</v>
          </cell>
          <cell r="DN920">
            <v>0</v>
          </cell>
          <cell r="DO920">
            <v>0</v>
          </cell>
          <cell r="DP920">
            <v>0</v>
          </cell>
          <cell r="DQ920">
            <v>0</v>
          </cell>
          <cell r="DR920">
            <v>0</v>
          </cell>
          <cell r="DS920">
            <v>0</v>
          </cell>
          <cell r="DT920">
            <v>0</v>
          </cell>
          <cell r="DU920">
            <v>0</v>
          </cell>
          <cell r="DV920">
            <v>0</v>
          </cell>
          <cell r="DW920">
            <v>0</v>
          </cell>
          <cell r="DX920">
            <v>0</v>
          </cell>
          <cell r="DY920">
            <v>0</v>
          </cell>
          <cell r="DZ920">
            <v>0</v>
          </cell>
          <cell r="EA920">
            <v>0</v>
          </cell>
          <cell r="EB920">
            <v>0</v>
          </cell>
          <cell r="EC920">
            <v>0</v>
          </cell>
          <cell r="ED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>
            <v>0</v>
          </cell>
          <cell r="BF921">
            <v>0</v>
          </cell>
          <cell r="BG921">
            <v>0</v>
          </cell>
          <cell r="BH921">
            <v>0</v>
          </cell>
          <cell r="BI921">
            <v>0</v>
          </cell>
          <cell r="BJ921">
            <v>0</v>
          </cell>
          <cell r="BK921">
            <v>0</v>
          </cell>
          <cell r="BL921">
            <v>0</v>
          </cell>
          <cell r="BM921">
            <v>0</v>
          </cell>
          <cell r="BN921">
            <v>0</v>
          </cell>
          <cell r="BO921">
            <v>0</v>
          </cell>
          <cell r="BP921">
            <v>0</v>
          </cell>
          <cell r="BQ921">
            <v>0</v>
          </cell>
          <cell r="BR921">
            <v>0</v>
          </cell>
          <cell r="BS921">
            <v>0</v>
          </cell>
          <cell r="BT921">
            <v>0</v>
          </cell>
          <cell r="BU921">
            <v>0</v>
          </cell>
          <cell r="BV921">
            <v>0</v>
          </cell>
          <cell r="BW921">
            <v>0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0</v>
          </cell>
          <cell r="CH921">
            <v>0</v>
          </cell>
          <cell r="CI921">
            <v>0</v>
          </cell>
          <cell r="CJ921">
            <v>0</v>
          </cell>
          <cell r="CK921">
            <v>0</v>
          </cell>
          <cell r="CL921">
            <v>0</v>
          </cell>
          <cell r="CM921">
            <v>0</v>
          </cell>
          <cell r="CN921">
            <v>0</v>
          </cell>
          <cell r="CO921">
            <v>0</v>
          </cell>
          <cell r="CP921">
            <v>0</v>
          </cell>
          <cell r="CQ921">
            <v>0</v>
          </cell>
          <cell r="CR921">
            <v>0</v>
          </cell>
          <cell r="CS921">
            <v>0</v>
          </cell>
          <cell r="CT921">
            <v>0</v>
          </cell>
          <cell r="CU921">
            <v>0</v>
          </cell>
          <cell r="CV921">
            <v>0</v>
          </cell>
          <cell r="CW921">
            <v>0</v>
          </cell>
          <cell r="CX921">
            <v>0</v>
          </cell>
          <cell r="CY921">
            <v>0</v>
          </cell>
          <cell r="CZ921">
            <v>0</v>
          </cell>
          <cell r="DA921">
            <v>0</v>
          </cell>
          <cell r="DB921">
            <v>0</v>
          </cell>
          <cell r="DC921">
            <v>0</v>
          </cell>
          <cell r="DD921">
            <v>0</v>
          </cell>
          <cell r="DE921">
            <v>0</v>
          </cell>
          <cell r="DF921">
            <v>0</v>
          </cell>
          <cell r="DG921">
            <v>0</v>
          </cell>
          <cell r="DH921">
            <v>0</v>
          </cell>
          <cell r="DI921">
            <v>0</v>
          </cell>
          <cell r="DJ921">
            <v>0</v>
          </cell>
          <cell r="DK921">
            <v>0</v>
          </cell>
          <cell r="DL921">
            <v>0</v>
          </cell>
          <cell r="DM921">
            <v>0</v>
          </cell>
          <cell r="DN921">
            <v>0</v>
          </cell>
          <cell r="DO921">
            <v>0</v>
          </cell>
          <cell r="DP921">
            <v>0</v>
          </cell>
          <cell r="DQ921">
            <v>0</v>
          </cell>
          <cell r="DR921">
            <v>0</v>
          </cell>
          <cell r="DS921">
            <v>0</v>
          </cell>
          <cell r="DT921">
            <v>0</v>
          </cell>
          <cell r="DU921">
            <v>0</v>
          </cell>
          <cell r="DV921">
            <v>0</v>
          </cell>
          <cell r="DW921">
            <v>0</v>
          </cell>
          <cell r="DX921">
            <v>0</v>
          </cell>
          <cell r="DY921">
            <v>0</v>
          </cell>
          <cell r="DZ921">
            <v>0</v>
          </cell>
          <cell r="EA921">
            <v>0</v>
          </cell>
          <cell r="EB921">
            <v>0</v>
          </cell>
          <cell r="EC921">
            <v>0</v>
          </cell>
          <cell r="ED921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  <cell r="BO924">
            <v>0</v>
          </cell>
          <cell r="BP924">
            <v>0</v>
          </cell>
          <cell r="BQ924">
            <v>0</v>
          </cell>
          <cell r="BR924">
            <v>0</v>
          </cell>
          <cell r="BS924">
            <v>0</v>
          </cell>
          <cell r="BT924">
            <v>0</v>
          </cell>
          <cell r="BU924">
            <v>0</v>
          </cell>
          <cell r="BV924">
            <v>0</v>
          </cell>
          <cell r="BW924">
            <v>0</v>
          </cell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  <cell r="CF924">
            <v>0</v>
          </cell>
          <cell r="CG924">
            <v>0</v>
          </cell>
          <cell r="CH924">
            <v>0</v>
          </cell>
          <cell r="CI924">
            <v>0</v>
          </cell>
          <cell r="CJ924">
            <v>0</v>
          </cell>
          <cell r="CK924">
            <v>0</v>
          </cell>
          <cell r="CL924">
            <v>0</v>
          </cell>
          <cell r="CM924">
            <v>0</v>
          </cell>
          <cell r="CN924">
            <v>0</v>
          </cell>
          <cell r="CO924">
            <v>0</v>
          </cell>
          <cell r="CP924">
            <v>0</v>
          </cell>
          <cell r="CQ924">
            <v>0</v>
          </cell>
          <cell r="CR924">
            <v>0</v>
          </cell>
          <cell r="CS924">
            <v>0</v>
          </cell>
          <cell r="CT924">
            <v>0</v>
          </cell>
          <cell r="CU924">
            <v>0</v>
          </cell>
          <cell r="CV924">
            <v>0</v>
          </cell>
          <cell r="CW924">
            <v>0</v>
          </cell>
          <cell r="CX924">
            <v>0</v>
          </cell>
          <cell r="CY924">
            <v>0</v>
          </cell>
          <cell r="CZ924">
            <v>0</v>
          </cell>
          <cell r="DA924">
            <v>0</v>
          </cell>
          <cell r="DB924">
            <v>0</v>
          </cell>
          <cell r="DC924">
            <v>0</v>
          </cell>
          <cell r="DD924">
            <v>0</v>
          </cell>
          <cell r="DE924">
            <v>0</v>
          </cell>
          <cell r="DF924">
            <v>0</v>
          </cell>
          <cell r="DG924">
            <v>0</v>
          </cell>
          <cell r="DH924">
            <v>0</v>
          </cell>
          <cell r="DI924">
            <v>0</v>
          </cell>
          <cell r="DJ924">
            <v>0</v>
          </cell>
          <cell r="DK924">
            <v>0</v>
          </cell>
          <cell r="DL924">
            <v>0</v>
          </cell>
          <cell r="DM924">
            <v>0</v>
          </cell>
          <cell r="DN924">
            <v>0</v>
          </cell>
          <cell r="DO924">
            <v>0</v>
          </cell>
          <cell r="DP924">
            <v>0</v>
          </cell>
          <cell r="DQ924">
            <v>0</v>
          </cell>
          <cell r="DR924">
            <v>0</v>
          </cell>
          <cell r="DS924">
            <v>0</v>
          </cell>
          <cell r="DT924">
            <v>0</v>
          </cell>
          <cell r="DU924">
            <v>0</v>
          </cell>
          <cell r="DV924">
            <v>0</v>
          </cell>
          <cell r="DW924">
            <v>0</v>
          </cell>
          <cell r="DX924">
            <v>0</v>
          </cell>
          <cell r="DY924">
            <v>0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0.03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0</v>
          </cell>
          <cell r="BD927">
            <v>0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O927">
            <v>0</v>
          </cell>
          <cell r="BP927">
            <v>0</v>
          </cell>
          <cell r="BQ927">
            <v>0</v>
          </cell>
          <cell r="BR927">
            <v>0</v>
          </cell>
          <cell r="BS927">
            <v>0</v>
          </cell>
          <cell r="BT927">
            <v>0</v>
          </cell>
          <cell r="BU927">
            <v>0</v>
          </cell>
          <cell r="BV927">
            <v>0</v>
          </cell>
          <cell r="BW927">
            <v>0</v>
          </cell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C927">
            <v>0</v>
          </cell>
          <cell r="CD927">
            <v>0</v>
          </cell>
          <cell r="CE927">
            <v>0</v>
          </cell>
          <cell r="CF927">
            <v>0</v>
          </cell>
          <cell r="CG927">
            <v>0</v>
          </cell>
          <cell r="CH927">
            <v>0</v>
          </cell>
          <cell r="CI927">
            <v>0</v>
          </cell>
          <cell r="CJ927">
            <v>0</v>
          </cell>
          <cell r="CK927">
            <v>0</v>
          </cell>
          <cell r="CL927">
            <v>0</v>
          </cell>
          <cell r="CM927">
            <v>0</v>
          </cell>
          <cell r="CN927">
            <v>0</v>
          </cell>
          <cell r="CO927">
            <v>0</v>
          </cell>
          <cell r="CP927">
            <v>0</v>
          </cell>
          <cell r="CQ927">
            <v>0</v>
          </cell>
          <cell r="CR927">
            <v>0</v>
          </cell>
          <cell r="CS927">
            <v>0</v>
          </cell>
          <cell r="CT927">
            <v>0</v>
          </cell>
          <cell r="CU927">
            <v>0</v>
          </cell>
          <cell r="CV927">
            <v>0</v>
          </cell>
          <cell r="CW927">
            <v>0</v>
          </cell>
          <cell r="CX927">
            <v>0</v>
          </cell>
          <cell r="CY927">
            <v>0</v>
          </cell>
          <cell r="CZ927">
            <v>0</v>
          </cell>
          <cell r="DA927">
            <v>0</v>
          </cell>
          <cell r="DB927">
            <v>0</v>
          </cell>
          <cell r="DC927">
            <v>0</v>
          </cell>
          <cell r="DD927">
            <v>0</v>
          </cell>
          <cell r="DE927">
            <v>0</v>
          </cell>
          <cell r="DF927">
            <v>0</v>
          </cell>
          <cell r="DG927">
            <v>0</v>
          </cell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T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</row>
        <row r="928">
          <cell r="F928">
            <v>0.01</v>
          </cell>
          <cell r="G928">
            <v>0.01</v>
          </cell>
          <cell r="H928">
            <v>0</v>
          </cell>
          <cell r="I928">
            <v>0.01</v>
          </cell>
          <cell r="J928">
            <v>-0.01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0.04</v>
          </cell>
          <cell r="P928">
            <v>0</v>
          </cell>
          <cell r="Q928">
            <v>0.01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K928">
            <v>0</v>
          </cell>
          <cell r="CL928">
            <v>0</v>
          </cell>
          <cell r="CM928">
            <v>0</v>
          </cell>
          <cell r="CN928">
            <v>0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0</v>
          </cell>
          <cell r="CU928">
            <v>0</v>
          </cell>
          <cell r="CV928">
            <v>0</v>
          </cell>
          <cell r="CW928">
            <v>0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  <cell r="DB928">
            <v>0</v>
          </cell>
          <cell r="DC928">
            <v>0</v>
          </cell>
          <cell r="DD928">
            <v>0</v>
          </cell>
          <cell r="DE928">
            <v>0</v>
          </cell>
          <cell r="DF928">
            <v>0</v>
          </cell>
          <cell r="DG928">
            <v>0</v>
          </cell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T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-0.04</v>
          </cell>
          <cell r="J929">
            <v>-0.02</v>
          </cell>
          <cell r="K929">
            <v>0</v>
          </cell>
          <cell r="L929">
            <v>0.02</v>
          </cell>
          <cell r="M929">
            <v>0.02</v>
          </cell>
          <cell r="N929">
            <v>0.02</v>
          </cell>
          <cell r="O929">
            <v>0</v>
          </cell>
          <cell r="P929">
            <v>0.01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M929">
            <v>0</v>
          </cell>
          <cell r="CN929">
            <v>0</v>
          </cell>
          <cell r="CO929">
            <v>0</v>
          </cell>
          <cell r="CP929">
            <v>0</v>
          </cell>
          <cell r="CQ929">
            <v>0</v>
          </cell>
          <cell r="CR929">
            <v>0</v>
          </cell>
          <cell r="CS929">
            <v>0</v>
          </cell>
          <cell r="CT929">
            <v>0</v>
          </cell>
          <cell r="CU929">
            <v>0</v>
          </cell>
          <cell r="CV929">
            <v>0</v>
          </cell>
          <cell r="CW929">
            <v>0</v>
          </cell>
          <cell r="CX929">
            <v>0</v>
          </cell>
          <cell r="CY929">
            <v>0</v>
          </cell>
          <cell r="CZ929">
            <v>0</v>
          </cell>
          <cell r="DA929">
            <v>0</v>
          </cell>
          <cell r="DB929">
            <v>0</v>
          </cell>
          <cell r="DC929">
            <v>0</v>
          </cell>
          <cell r="DD929">
            <v>0</v>
          </cell>
          <cell r="DE929">
            <v>0</v>
          </cell>
          <cell r="DF929">
            <v>0</v>
          </cell>
          <cell r="DG929">
            <v>0</v>
          </cell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T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</row>
        <row r="930">
          <cell r="F930">
            <v>-0.01</v>
          </cell>
          <cell r="G930">
            <v>-0.01</v>
          </cell>
          <cell r="H930">
            <v>-0.01</v>
          </cell>
          <cell r="I930">
            <v>-0.01</v>
          </cell>
          <cell r="J930">
            <v>0</v>
          </cell>
          <cell r="K930">
            <v>0</v>
          </cell>
          <cell r="L930">
            <v>0.01</v>
          </cell>
          <cell r="M930">
            <v>0</v>
          </cell>
          <cell r="N930">
            <v>0</v>
          </cell>
          <cell r="O930">
            <v>-0.01</v>
          </cell>
          <cell r="P930">
            <v>0</v>
          </cell>
          <cell r="Q930">
            <v>-0.01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  <cell r="DD930">
            <v>0</v>
          </cell>
          <cell r="DE930">
            <v>0</v>
          </cell>
          <cell r="DF930">
            <v>0</v>
          </cell>
          <cell r="DG930">
            <v>0</v>
          </cell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T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-0.01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G931">
            <v>0</v>
          </cell>
          <cell r="CH931">
            <v>0</v>
          </cell>
          <cell r="CI931">
            <v>0</v>
          </cell>
          <cell r="CJ931">
            <v>0</v>
          </cell>
          <cell r="CK931">
            <v>0</v>
          </cell>
          <cell r="CL931">
            <v>0</v>
          </cell>
          <cell r="CM931">
            <v>0</v>
          </cell>
          <cell r="CN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0</v>
          </cell>
          <cell r="CU931">
            <v>0</v>
          </cell>
          <cell r="CV931">
            <v>0</v>
          </cell>
          <cell r="CW931">
            <v>0</v>
          </cell>
          <cell r="CX931">
            <v>0</v>
          </cell>
          <cell r="CY931">
            <v>0</v>
          </cell>
          <cell r="CZ931">
            <v>0</v>
          </cell>
          <cell r="DA931">
            <v>0</v>
          </cell>
          <cell r="DB931">
            <v>0</v>
          </cell>
          <cell r="DC931">
            <v>0</v>
          </cell>
          <cell r="DD931">
            <v>0</v>
          </cell>
          <cell r="DE931">
            <v>0</v>
          </cell>
          <cell r="DF931">
            <v>0</v>
          </cell>
          <cell r="DG931">
            <v>0</v>
          </cell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T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O932">
            <v>0</v>
          </cell>
          <cell r="BP932">
            <v>0</v>
          </cell>
          <cell r="BQ932">
            <v>0</v>
          </cell>
          <cell r="BR932">
            <v>0</v>
          </cell>
          <cell r="BS932">
            <v>0</v>
          </cell>
          <cell r="BT932">
            <v>0</v>
          </cell>
          <cell r="BU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  <cell r="CF932">
            <v>0</v>
          </cell>
          <cell r="CG932">
            <v>0</v>
          </cell>
          <cell r="CH932">
            <v>0</v>
          </cell>
          <cell r="CI932">
            <v>0</v>
          </cell>
          <cell r="CJ932">
            <v>0</v>
          </cell>
          <cell r="CK932">
            <v>0</v>
          </cell>
          <cell r="CL932">
            <v>0</v>
          </cell>
          <cell r="CM932">
            <v>0</v>
          </cell>
          <cell r="CN932">
            <v>0</v>
          </cell>
          <cell r="CO932">
            <v>0</v>
          </cell>
          <cell r="CP932">
            <v>0</v>
          </cell>
          <cell r="CQ932">
            <v>0</v>
          </cell>
          <cell r="CR932">
            <v>0</v>
          </cell>
          <cell r="CS932">
            <v>0</v>
          </cell>
          <cell r="CT932">
            <v>0</v>
          </cell>
          <cell r="CU932">
            <v>0</v>
          </cell>
          <cell r="CV932">
            <v>0</v>
          </cell>
          <cell r="CW932">
            <v>0</v>
          </cell>
          <cell r="CX932">
            <v>0</v>
          </cell>
          <cell r="CY932">
            <v>0</v>
          </cell>
          <cell r="CZ932">
            <v>0</v>
          </cell>
          <cell r="DA932">
            <v>0</v>
          </cell>
          <cell r="DB932">
            <v>0</v>
          </cell>
          <cell r="DC932">
            <v>0</v>
          </cell>
          <cell r="DD932">
            <v>0</v>
          </cell>
          <cell r="DE932">
            <v>0</v>
          </cell>
          <cell r="DF932">
            <v>0</v>
          </cell>
          <cell r="DG932">
            <v>0</v>
          </cell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T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</row>
        <row r="933"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  <cell r="BE933">
            <v>0</v>
          </cell>
          <cell r="BF933">
            <v>0</v>
          </cell>
          <cell r="BG933">
            <v>0</v>
          </cell>
          <cell r="BH933">
            <v>0</v>
          </cell>
          <cell r="BI933">
            <v>0</v>
          </cell>
          <cell r="BJ933">
            <v>0</v>
          </cell>
          <cell r="BK933">
            <v>0</v>
          </cell>
          <cell r="BL933">
            <v>0</v>
          </cell>
          <cell r="BM933">
            <v>0</v>
          </cell>
          <cell r="BN933">
            <v>0</v>
          </cell>
          <cell r="BO933">
            <v>0</v>
          </cell>
          <cell r="BP933">
            <v>0</v>
          </cell>
          <cell r="BQ933">
            <v>0</v>
          </cell>
          <cell r="BR933">
            <v>0</v>
          </cell>
          <cell r="BS933">
            <v>0</v>
          </cell>
          <cell r="BT933">
            <v>0</v>
          </cell>
          <cell r="BU933">
            <v>0</v>
          </cell>
          <cell r="BV933">
            <v>0</v>
          </cell>
          <cell r="BW933">
            <v>0</v>
          </cell>
          <cell r="BX933">
            <v>0</v>
          </cell>
          <cell r="BY933">
            <v>0</v>
          </cell>
          <cell r="BZ933">
            <v>0</v>
          </cell>
          <cell r="CA933">
            <v>0</v>
          </cell>
          <cell r="CB933">
            <v>0</v>
          </cell>
          <cell r="CC933">
            <v>0</v>
          </cell>
          <cell r="CD933">
            <v>0</v>
          </cell>
          <cell r="CE933">
            <v>0</v>
          </cell>
          <cell r="CF933">
            <v>0</v>
          </cell>
          <cell r="CG933">
            <v>0</v>
          </cell>
          <cell r="CH933">
            <v>0</v>
          </cell>
          <cell r="CI933">
            <v>0</v>
          </cell>
          <cell r="CJ933">
            <v>0</v>
          </cell>
          <cell r="CK933">
            <v>0</v>
          </cell>
          <cell r="CL933">
            <v>0</v>
          </cell>
          <cell r="CM933">
            <v>0</v>
          </cell>
          <cell r="CN933">
            <v>0</v>
          </cell>
          <cell r="CO933">
            <v>0</v>
          </cell>
          <cell r="CP933">
            <v>0</v>
          </cell>
          <cell r="CQ933">
            <v>0</v>
          </cell>
          <cell r="CR933">
            <v>0</v>
          </cell>
          <cell r="CS933">
            <v>0</v>
          </cell>
          <cell r="CT933">
            <v>0</v>
          </cell>
          <cell r="CU933">
            <v>0</v>
          </cell>
          <cell r="CV933">
            <v>0</v>
          </cell>
          <cell r="CW933">
            <v>0</v>
          </cell>
          <cell r="CX933">
            <v>0</v>
          </cell>
          <cell r="CY933">
            <v>0</v>
          </cell>
          <cell r="CZ933">
            <v>0</v>
          </cell>
          <cell r="DA933">
            <v>0</v>
          </cell>
          <cell r="DB933">
            <v>0</v>
          </cell>
          <cell r="DC933">
            <v>0</v>
          </cell>
          <cell r="DD933">
            <v>0</v>
          </cell>
          <cell r="DE933">
            <v>0</v>
          </cell>
          <cell r="DF933">
            <v>0</v>
          </cell>
          <cell r="DG933">
            <v>0</v>
          </cell>
          <cell r="DH933">
            <v>0</v>
          </cell>
          <cell r="DI933">
            <v>0</v>
          </cell>
          <cell r="DJ933">
            <v>0</v>
          </cell>
          <cell r="DK933">
            <v>0</v>
          </cell>
          <cell r="DL933">
            <v>0</v>
          </cell>
          <cell r="DM933">
            <v>0</v>
          </cell>
          <cell r="DN933">
            <v>0</v>
          </cell>
          <cell r="DO933">
            <v>0</v>
          </cell>
          <cell r="DP933">
            <v>0</v>
          </cell>
          <cell r="DQ933">
            <v>0</v>
          </cell>
          <cell r="DR933">
            <v>0</v>
          </cell>
          <cell r="DS933">
            <v>0</v>
          </cell>
          <cell r="DT933">
            <v>0</v>
          </cell>
          <cell r="DU933">
            <v>0</v>
          </cell>
          <cell r="DV933">
            <v>0</v>
          </cell>
          <cell r="DW933">
            <v>0</v>
          </cell>
          <cell r="DX933">
            <v>0</v>
          </cell>
          <cell r="DY933">
            <v>0</v>
          </cell>
          <cell r="DZ933">
            <v>0</v>
          </cell>
          <cell r="EA933">
            <v>0</v>
          </cell>
          <cell r="EB933">
            <v>0</v>
          </cell>
          <cell r="EC933">
            <v>0</v>
          </cell>
          <cell r="ED933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-0.01</v>
          </cell>
          <cell r="J935">
            <v>-0.01</v>
          </cell>
          <cell r="K935">
            <v>-0.01</v>
          </cell>
          <cell r="L935">
            <v>0.01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O935">
            <v>0</v>
          </cell>
          <cell r="BP935">
            <v>0</v>
          </cell>
          <cell r="BQ935">
            <v>0</v>
          </cell>
          <cell r="BR935">
            <v>0</v>
          </cell>
          <cell r="BS935">
            <v>0</v>
          </cell>
          <cell r="BT935">
            <v>0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  <cell r="CF935">
            <v>0</v>
          </cell>
          <cell r="CG935">
            <v>0</v>
          </cell>
          <cell r="CH935">
            <v>0</v>
          </cell>
          <cell r="CI935">
            <v>0</v>
          </cell>
          <cell r="CJ935">
            <v>0</v>
          </cell>
          <cell r="CK935">
            <v>0</v>
          </cell>
          <cell r="CL935">
            <v>0</v>
          </cell>
          <cell r="CM935">
            <v>0</v>
          </cell>
          <cell r="CN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0</v>
          </cell>
          <cell r="CU935">
            <v>0</v>
          </cell>
          <cell r="CV935">
            <v>0</v>
          </cell>
          <cell r="CW935">
            <v>0</v>
          </cell>
          <cell r="CX935">
            <v>0</v>
          </cell>
          <cell r="CY935">
            <v>0</v>
          </cell>
          <cell r="CZ935">
            <v>0</v>
          </cell>
          <cell r="DA935">
            <v>0</v>
          </cell>
          <cell r="DB935">
            <v>0</v>
          </cell>
          <cell r="DC935">
            <v>0</v>
          </cell>
          <cell r="DD935">
            <v>0</v>
          </cell>
          <cell r="DE935">
            <v>0</v>
          </cell>
          <cell r="DF935">
            <v>0</v>
          </cell>
          <cell r="DG935">
            <v>0</v>
          </cell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T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</row>
        <row r="937">
          <cell r="A937" t="str">
            <v>Total Special Sales For Resale</v>
          </cell>
          <cell r="F937">
            <v>0</v>
          </cell>
          <cell r="G937">
            <v>0</v>
          </cell>
          <cell r="H937">
            <v>0</v>
          </cell>
          <cell r="I937">
            <v>-0.01</v>
          </cell>
          <cell r="J937">
            <v>0</v>
          </cell>
          <cell r="K937">
            <v>0</v>
          </cell>
          <cell r="L937">
            <v>0.01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O937">
            <v>0</v>
          </cell>
          <cell r="BP937">
            <v>0</v>
          </cell>
          <cell r="BQ937">
            <v>0</v>
          </cell>
          <cell r="BR937">
            <v>0</v>
          </cell>
          <cell r="BS937">
            <v>0</v>
          </cell>
          <cell r="BT937">
            <v>0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M937">
            <v>0</v>
          </cell>
          <cell r="CN937">
            <v>0</v>
          </cell>
          <cell r="CO937">
            <v>0</v>
          </cell>
          <cell r="CP937">
            <v>0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CX937">
            <v>0</v>
          </cell>
          <cell r="CY937">
            <v>0</v>
          </cell>
          <cell r="CZ937">
            <v>0</v>
          </cell>
          <cell r="DA937">
            <v>0</v>
          </cell>
          <cell r="DB937">
            <v>0</v>
          </cell>
          <cell r="DC937">
            <v>0</v>
          </cell>
          <cell r="DD937">
            <v>0</v>
          </cell>
          <cell r="DE937">
            <v>0</v>
          </cell>
          <cell r="DF937">
            <v>0</v>
          </cell>
          <cell r="DG937">
            <v>0</v>
          </cell>
          <cell r="DH937">
            <v>0</v>
          </cell>
          <cell r="DI937">
            <v>0</v>
          </cell>
          <cell r="DJ937">
            <v>0</v>
          </cell>
          <cell r="DK937">
            <v>0</v>
          </cell>
          <cell r="DL937">
            <v>0</v>
          </cell>
          <cell r="DM937">
            <v>0</v>
          </cell>
          <cell r="DN937">
            <v>0</v>
          </cell>
          <cell r="DO937">
            <v>0</v>
          </cell>
          <cell r="DP937">
            <v>0</v>
          </cell>
          <cell r="DQ937">
            <v>0</v>
          </cell>
          <cell r="DR937">
            <v>0</v>
          </cell>
          <cell r="DS937">
            <v>0</v>
          </cell>
          <cell r="DT937">
            <v>0</v>
          </cell>
          <cell r="DU937">
            <v>0</v>
          </cell>
          <cell r="DV937">
            <v>0</v>
          </cell>
          <cell r="DW937">
            <v>0</v>
          </cell>
          <cell r="DX937">
            <v>0</v>
          </cell>
          <cell r="DY937">
            <v>0</v>
          </cell>
          <cell r="DZ937">
            <v>0</v>
          </cell>
          <cell r="EA937">
            <v>0</v>
          </cell>
          <cell r="EB937">
            <v>0</v>
          </cell>
          <cell r="EC937">
            <v>0</v>
          </cell>
          <cell r="ED937">
            <v>0</v>
          </cell>
        </row>
        <row r="939">
          <cell r="A939" t="str">
            <v>Purchased Power &amp; Net Interchange</v>
          </cell>
        </row>
        <row r="941"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0</v>
          </cell>
          <cell r="BO941">
            <v>0</v>
          </cell>
          <cell r="BP941">
            <v>0</v>
          </cell>
          <cell r="BQ941">
            <v>0</v>
          </cell>
          <cell r="BR941">
            <v>0</v>
          </cell>
          <cell r="BS941">
            <v>0</v>
          </cell>
          <cell r="BT941">
            <v>0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0</v>
          </cell>
          <cell r="CI941">
            <v>0</v>
          </cell>
          <cell r="CJ941">
            <v>0</v>
          </cell>
          <cell r="CK941">
            <v>0</v>
          </cell>
          <cell r="CL941">
            <v>0</v>
          </cell>
          <cell r="CM941">
            <v>0</v>
          </cell>
          <cell r="CN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0</v>
          </cell>
          <cell r="CS941">
            <v>0</v>
          </cell>
          <cell r="CT941">
            <v>0</v>
          </cell>
          <cell r="CU941">
            <v>0</v>
          </cell>
          <cell r="CV941">
            <v>0</v>
          </cell>
          <cell r="CW941">
            <v>0</v>
          </cell>
          <cell r="CX941">
            <v>0</v>
          </cell>
          <cell r="CY941">
            <v>0</v>
          </cell>
          <cell r="CZ941">
            <v>0</v>
          </cell>
          <cell r="DA941">
            <v>0</v>
          </cell>
          <cell r="DB941">
            <v>0</v>
          </cell>
          <cell r="DC941">
            <v>0</v>
          </cell>
          <cell r="DD941">
            <v>0</v>
          </cell>
          <cell r="DE941">
            <v>0</v>
          </cell>
          <cell r="DF941">
            <v>0</v>
          </cell>
          <cell r="DG941">
            <v>0</v>
          </cell>
          <cell r="DH941">
            <v>0</v>
          </cell>
          <cell r="DI941">
            <v>0</v>
          </cell>
          <cell r="DJ941">
            <v>0</v>
          </cell>
          <cell r="DK941">
            <v>0</v>
          </cell>
          <cell r="DL941">
            <v>0</v>
          </cell>
          <cell r="DM941">
            <v>0</v>
          </cell>
          <cell r="DN941">
            <v>0</v>
          </cell>
          <cell r="DO941">
            <v>0</v>
          </cell>
          <cell r="DP941">
            <v>0</v>
          </cell>
          <cell r="DQ941">
            <v>0</v>
          </cell>
          <cell r="DR941">
            <v>0</v>
          </cell>
          <cell r="DS941">
            <v>0</v>
          </cell>
          <cell r="DT941">
            <v>0</v>
          </cell>
          <cell r="DU941">
            <v>0</v>
          </cell>
          <cell r="DV941">
            <v>0</v>
          </cell>
          <cell r="DW941">
            <v>0</v>
          </cell>
          <cell r="DX941">
            <v>0</v>
          </cell>
          <cell r="DY941">
            <v>0</v>
          </cell>
          <cell r="DZ941">
            <v>0</v>
          </cell>
          <cell r="EA941">
            <v>0</v>
          </cell>
          <cell r="EB941">
            <v>0</v>
          </cell>
          <cell r="EC941">
            <v>0</v>
          </cell>
          <cell r="ED941">
            <v>0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0</v>
          </cell>
          <cell r="CH943">
            <v>0</v>
          </cell>
          <cell r="CI943">
            <v>0</v>
          </cell>
          <cell r="CJ943">
            <v>0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0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0</v>
          </cell>
          <cell r="DE943">
            <v>0</v>
          </cell>
          <cell r="DF943">
            <v>0</v>
          </cell>
          <cell r="DG943">
            <v>0</v>
          </cell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T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  <cell r="BE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  <cell r="BO944">
            <v>0</v>
          </cell>
          <cell r="BP944">
            <v>0</v>
          </cell>
          <cell r="BQ944">
            <v>0</v>
          </cell>
          <cell r="BR944">
            <v>0</v>
          </cell>
          <cell r="BS944">
            <v>0</v>
          </cell>
          <cell r="BT944">
            <v>0</v>
          </cell>
          <cell r="BU944">
            <v>0</v>
          </cell>
          <cell r="BV944">
            <v>0</v>
          </cell>
          <cell r="BW944">
            <v>0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0</v>
          </cell>
          <cell r="CH944">
            <v>0</v>
          </cell>
          <cell r="CI944">
            <v>0</v>
          </cell>
          <cell r="CJ944">
            <v>0</v>
          </cell>
          <cell r="CK944">
            <v>0</v>
          </cell>
          <cell r="CL944">
            <v>0</v>
          </cell>
          <cell r="CM944">
            <v>0</v>
          </cell>
          <cell r="CN944">
            <v>0</v>
          </cell>
          <cell r="CO944">
            <v>0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0</v>
          </cell>
          <cell r="CU944">
            <v>0</v>
          </cell>
          <cell r="CV944">
            <v>0</v>
          </cell>
          <cell r="CW944">
            <v>0</v>
          </cell>
          <cell r="CX944">
            <v>0</v>
          </cell>
          <cell r="CY944">
            <v>0</v>
          </cell>
          <cell r="CZ944">
            <v>0</v>
          </cell>
          <cell r="DA944">
            <v>0</v>
          </cell>
          <cell r="DB944">
            <v>0</v>
          </cell>
          <cell r="DC944">
            <v>0</v>
          </cell>
          <cell r="DD944">
            <v>0</v>
          </cell>
          <cell r="DE944">
            <v>0</v>
          </cell>
          <cell r="DF944">
            <v>0</v>
          </cell>
          <cell r="DG944">
            <v>0</v>
          </cell>
          <cell r="DH944">
            <v>0</v>
          </cell>
          <cell r="DI944">
            <v>0</v>
          </cell>
          <cell r="DJ944">
            <v>0</v>
          </cell>
          <cell r="DK944">
            <v>0</v>
          </cell>
          <cell r="DL944">
            <v>0</v>
          </cell>
          <cell r="DM944">
            <v>0</v>
          </cell>
          <cell r="DN944">
            <v>0</v>
          </cell>
          <cell r="DO944">
            <v>0</v>
          </cell>
          <cell r="DP944">
            <v>0</v>
          </cell>
          <cell r="DQ944">
            <v>0</v>
          </cell>
          <cell r="DR944">
            <v>0</v>
          </cell>
          <cell r="DS944">
            <v>0</v>
          </cell>
          <cell r="DT944">
            <v>0</v>
          </cell>
          <cell r="DU944">
            <v>0</v>
          </cell>
          <cell r="DV944">
            <v>0</v>
          </cell>
          <cell r="DW944">
            <v>0</v>
          </cell>
          <cell r="DX944">
            <v>0</v>
          </cell>
          <cell r="DY944">
            <v>0</v>
          </cell>
          <cell r="DZ944">
            <v>0</v>
          </cell>
          <cell r="EA944">
            <v>0</v>
          </cell>
          <cell r="EB944">
            <v>0</v>
          </cell>
          <cell r="EC944">
            <v>0</v>
          </cell>
          <cell r="ED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O945">
            <v>0</v>
          </cell>
          <cell r="BP945">
            <v>0</v>
          </cell>
          <cell r="BQ945">
            <v>0</v>
          </cell>
          <cell r="BR945">
            <v>0</v>
          </cell>
          <cell r="BS945">
            <v>0</v>
          </cell>
          <cell r="BT945">
            <v>0</v>
          </cell>
          <cell r="BU945">
            <v>0</v>
          </cell>
          <cell r="BV945">
            <v>0</v>
          </cell>
          <cell r="BW945">
            <v>0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0</v>
          </cell>
          <cell r="CH945">
            <v>0</v>
          </cell>
          <cell r="CI945">
            <v>0</v>
          </cell>
          <cell r="CJ945">
            <v>0</v>
          </cell>
          <cell r="CK945">
            <v>0</v>
          </cell>
          <cell r="CL945">
            <v>0</v>
          </cell>
          <cell r="CM945">
            <v>0</v>
          </cell>
          <cell r="CN945">
            <v>0</v>
          </cell>
          <cell r="CO945">
            <v>0</v>
          </cell>
          <cell r="CP945">
            <v>0</v>
          </cell>
          <cell r="CQ945">
            <v>0</v>
          </cell>
          <cell r="CR945">
            <v>0</v>
          </cell>
          <cell r="CS945">
            <v>0</v>
          </cell>
          <cell r="CT945">
            <v>0</v>
          </cell>
          <cell r="CU945">
            <v>0</v>
          </cell>
          <cell r="CV945">
            <v>0</v>
          </cell>
          <cell r="CW945">
            <v>0</v>
          </cell>
          <cell r="CX945">
            <v>0</v>
          </cell>
          <cell r="CY945">
            <v>0</v>
          </cell>
          <cell r="CZ945">
            <v>0</v>
          </cell>
          <cell r="DA945">
            <v>0</v>
          </cell>
          <cell r="DB945">
            <v>0</v>
          </cell>
          <cell r="DC945">
            <v>0</v>
          </cell>
          <cell r="DD945">
            <v>0</v>
          </cell>
          <cell r="DE945">
            <v>0</v>
          </cell>
          <cell r="DF945">
            <v>0</v>
          </cell>
          <cell r="DG945">
            <v>0</v>
          </cell>
          <cell r="DH945">
            <v>0</v>
          </cell>
          <cell r="DI945">
            <v>0</v>
          </cell>
          <cell r="DJ945">
            <v>0</v>
          </cell>
          <cell r="DK945">
            <v>0</v>
          </cell>
          <cell r="DL945">
            <v>0</v>
          </cell>
          <cell r="DM945">
            <v>0</v>
          </cell>
          <cell r="DN945">
            <v>0</v>
          </cell>
          <cell r="DO945">
            <v>0</v>
          </cell>
          <cell r="DP945">
            <v>0</v>
          </cell>
          <cell r="DQ945">
            <v>0</v>
          </cell>
          <cell r="DR945">
            <v>0</v>
          </cell>
          <cell r="DS945">
            <v>0</v>
          </cell>
          <cell r="DT945">
            <v>0</v>
          </cell>
          <cell r="DU945">
            <v>0</v>
          </cell>
          <cell r="DV945">
            <v>0</v>
          </cell>
          <cell r="DW945">
            <v>0</v>
          </cell>
          <cell r="DX945">
            <v>0</v>
          </cell>
          <cell r="DY945">
            <v>0</v>
          </cell>
          <cell r="DZ945">
            <v>0</v>
          </cell>
          <cell r="EA945">
            <v>0</v>
          </cell>
          <cell r="EB945">
            <v>0</v>
          </cell>
          <cell r="EC945">
            <v>0</v>
          </cell>
          <cell r="ED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  <cell r="BO946">
            <v>0</v>
          </cell>
          <cell r="BP946">
            <v>0</v>
          </cell>
          <cell r="BQ946">
            <v>0</v>
          </cell>
          <cell r="BR946">
            <v>0</v>
          </cell>
          <cell r="BS946">
            <v>0</v>
          </cell>
          <cell r="BT946">
            <v>0</v>
          </cell>
          <cell r="BU946">
            <v>0</v>
          </cell>
          <cell r="BV946">
            <v>0</v>
          </cell>
          <cell r="BW946">
            <v>0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0</v>
          </cell>
          <cell r="CH946">
            <v>0</v>
          </cell>
          <cell r="CI946">
            <v>0</v>
          </cell>
          <cell r="CJ946">
            <v>0</v>
          </cell>
          <cell r="CK946">
            <v>0</v>
          </cell>
          <cell r="CL946">
            <v>0</v>
          </cell>
          <cell r="CM946">
            <v>0</v>
          </cell>
          <cell r="CN946">
            <v>0</v>
          </cell>
          <cell r="CO946">
            <v>0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  <cell r="DD946">
            <v>0</v>
          </cell>
          <cell r="DE946">
            <v>0</v>
          </cell>
          <cell r="DF946">
            <v>0</v>
          </cell>
          <cell r="DG946">
            <v>0</v>
          </cell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T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  <cell r="BO947">
            <v>0</v>
          </cell>
          <cell r="BP947">
            <v>0</v>
          </cell>
          <cell r="BQ947">
            <v>0</v>
          </cell>
          <cell r="BR947">
            <v>0</v>
          </cell>
          <cell r="BS947">
            <v>0</v>
          </cell>
          <cell r="BT947">
            <v>0</v>
          </cell>
          <cell r="BU947">
            <v>0</v>
          </cell>
          <cell r="BV947">
            <v>0</v>
          </cell>
          <cell r="BW947">
            <v>0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0</v>
          </cell>
          <cell r="CH947">
            <v>0</v>
          </cell>
          <cell r="CI947">
            <v>0</v>
          </cell>
          <cell r="CJ947">
            <v>0</v>
          </cell>
          <cell r="CK947">
            <v>0</v>
          </cell>
          <cell r="CL947">
            <v>0</v>
          </cell>
          <cell r="CM947">
            <v>0</v>
          </cell>
          <cell r="CN947">
            <v>0</v>
          </cell>
          <cell r="CO947">
            <v>0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0</v>
          </cell>
          <cell r="CU947">
            <v>0</v>
          </cell>
          <cell r="CV947">
            <v>0</v>
          </cell>
          <cell r="CW947">
            <v>0</v>
          </cell>
          <cell r="CX947">
            <v>0</v>
          </cell>
          <cell r="CY947">
            <v>0</v>
          </cell>
          <cell r="CZ947">
            <v>0</v>
          </cell>
          <cell r="DA947">
            <v>0</v>
          </cell>
          <cell r="DB947">
            <v>0</v>
          </cell>
          <cell r="DC947">
            <v>0</v>
          </cell>
          <cell r="DD947">
            <v>0</v>
          </cell>
          <cell r="DE947">
            <v>0</v>
          </cell>
          <cell r="DF947">
            <v>0</v>
          </cell>
          <cell r="DG947">
            <v>0</v>
          </cell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T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  <cell r="BE948">
            <v>0</v>
          </cell>
          <cell r="BF948">
            <v>0</v>
          </cell>
          <cell r="BG948">
            <v>0</v>
          </cell>
          <cell r="BH948">
            <v>0</v>
          </cell>
          <cell r="BI948">
            <v>0</v>
          </cell>
          <cell r="BJ948">
            <v>0</v>
          </cell>
          <cell r="BK948">
            <v>0</v>
          </cell>
          <cell r="BL948">
            <v>0</v>
          </cell>
          <cell r="BM948">
            <v>0</v>
          </cell>
          <cell r="BN948">
            <v>0</v>
          </cell>
          <cell r="BO948">
            <v>0</v>
          </cell>
          <cell r="BP948">
            <v>0</v>
          </cell>
          <cell r="BQ948">
            <v>0</v>
          </cell>
          <cell r="BR948">
            <v>0</v>
          </cell>
          <cell r="BS948">
            <v>0</v>
          </cell>
          <cell r="BT948">
            <v>0</v>
          </cell>
          <cell r="BU948">
            <v>0</v>
          </cell>
          <cell r="BV948">
            <v>0</v>
          </cell>
          <cell r="BW948">
            <v>0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0</v>
          </cell>
          <cell r="CH948">
            <v>0</v>
          </cell>
          <cell r="CI948">
            <v>0</v>
          </cell>
          <cell r="CJ948">
            <v>0</v>
          </cell>
          <cell r="CK948">
            <v>0</v>
          </cell>
          <cell r="CL948">
            <v>0</v>
          </cell>
          <cell r="CM948">
            <v>0</v>
          </cell>
          <cell r="CN948">
            <v>0</v>
          </cell>
          <cell r="CO948">
            <v>0</v>
          </cell>
          <cell r="CP948">
            <v>0</v>
          </cell>
          <cell r="CQ948">
            <v>0</v>
          </cell>
          <cell r="CR948">
            <v>0</v>
          </cell>
          <cell r="CS948">
            <v>0</v>
          </cell>
          <cell r="CT948">
            <v>0</v>
          </cell>
          <cell r="CU948">
            <v>0</v>
          </cell>
          <cell r="CV948">
            <v>0</v>
          </cell>
          <cell r="CW948">
            <v>0</v>
          </cell>
          <cell r="CX948">
            <v>0</v>
          </cell>
          <cell r="CY948">
            <v>0</v>
          </cell>
          <cell r="CZ948">
            <v>0</v>
          </cell>
          <cell r="DA948">
            <v>0</v>
          </cell>
          <cell r="DB948">
            <v>0</v>
          </cell>
          <cell r="DC948">
            <v>0</v>
          </cell>
          <cell r="DD948">
            <v>0</v>
          </cell>
          <cell r="DE948">
            <v>0</v>
          </cell>
          <cell r="DF948">
            <v>0</v>
          </cell>
          <cell r="DG948">
            <v>0</v>
          </cell>
          <cell r="DH948">
            <v>0</v>
          </cell>
          <cell r="DI948">
            <v>0</v>
          </cell>
          <cell r="DJ948">
            <v>0</v>
          </cell>
          <cell r="DK948">
            <v>0</v>
          </cell>
          <cell r="DL948">
            <v>0</v>
          </cell>
          <cell r="DM948">
            <v>0</v>
          </cell>
          <cell r="DN948">
            <v>0</v>
          </cell>
          <cell r="DO948">
            <v>0</v>
          </cell>
          <cell r="DP948">
            <v>0</v>
          </cell>
          <cell r="DQ948">
            <v>0</v>
          </cell>
          <cell r="DR948">
            <v>0</v>
          </cell>
          <cell r="DS948">
            <v>0</v>
          </cell>
          <cell r="DT948">
            <v>0</v>
          </cell>
          <cell r="DU948">
            <v>0</v>
          </cell>
          <cell r="DV948">
            <v>0</v>
          </cell>
          <cell r="DW948">
            <v>0</v>
          </cell>
          <cell r="DX948">
            <v>0</v>
          </cell>
          <cell r="DY948">
            <v>0</v>
          </cell>
          <cell r="DZ948">
            <v>0</v>
          </cell>
          <cell r="EA948">
            <v>0</v>
          </cell>
          <cell r="EB948">
            <v>0</v>
          </cell>
          <cell r="EC948">
            <v>0</v>
          </cell>
          <cell r="ED948">
            <v>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  <cell r="BO949">
            <v>0</v>
          </cell>
          <cell r="BP949">
            <v>0</v>
          </cell>
          <cell r="BQ949">
            <v>0</v>
          </cell>
          <cell r="BR949">
            <v>0</v>
          </cell>
          <cell r="BS949">
            <v>0</v>
          </cell>
          <cell r="BT949">
            <v>0</v>
          </cell>
          <cell r="BU949">
            <v>0</v>
          </cell>
          <cell r="BV949">
            <v>0</v>
          </cell>
          <cell r="BW949">
            <v>0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0</v>
          </cell>
          <cell r="CH949">
            <v>0</v>
          </cell>
          <cell r="CI949">
            <v>0</v>
          </cell>
          <cell r="CJ949">
            <v>0</v>
          </cell>
          <cell r="CK949">
            <v>0</v>
          </cell>
          <cell r="CL949">
            <v>0</v>
          </cell>
          <cell r="CM949">
            <v>0</v>
          </cell>
          <cell r="CN949">
            <v>0</v>
          </cell>
          <cell r="CO949">
            <v>0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  <cell r="DD949">
            <v>0</v>
          </cell>
          <cell r="DE949">
            <v>0</v>
          </cell>
          <cell r="DF949">
            <v>0</v>
          </cell>
          <cell r="DG949">
            <v>0</v>
          </cell>
          <cell r="DH949">
            <v>0</v>
          </cell>
          <cell r="DI949">
            <v>0</v>
          </cell>
          <cell r="DJ949">
            <v>0</v>
          </cell>
          <cell r="DK949">
            <v>0</v>
          </cell>
          <cell r="DL949">
            <v>0</v>
          </cell>
          <cell r="DM949">
            <v>0</v>
          </cell>
          <cell r="DN949">
            <v>0</v>
          </cell>
          <cell r="DO949">
            <v>0</v>
          </cell>
          <cell r="DP949">
            <v>0</v>
          </cell>
          <cell r="DQ949">
            <v>0</v>
          </cell>
          <cell r="DR949">
            <v>0</v>
          </cell>
          <cell r="DS949">
            <v>0</v>
          </cell>
          <cell r="DT949">
            <v>0</v>
          </cell>
          <cell r="DU949">
            <v>0</v>
          </cell>
          <cell r="DV949">
            <v>0</v>
          </cell>
          <cell r="DW949">
            <v>0</v>
          </cell>
          <cell r="DX949">
            <v>0</v>
          </cell>
          <cell r="DY949">
            <v>0</v>
          </cell>
          <cell r="DZ949">
            <v>0</v>
          </cell>
          <cell r="EA949">
            <v>0</v>
          </cell>
          <cell r="EB949">
            <v>0</v>
          </cell>
          <cell r="EC949">
            <v>0</v>
          </cell>
          <cell r="ED949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0</v>
          </cell>
          <cell r="BL950">
            <v>0</v>
          </cell>
          <cell r="BM950">
            <v>0</v>
          </cell>
          <cell r="BN950">
            <v>0</v>
          </cell>
          <cell r="BO950">
            <v>0</v>
          </cell>
          <cell r="BP950">
            <v>0</v>
          </cell>
          <cell r="BQ950">
            <v>0</v>
          </cell>
          <cell r="BR950">
            <v>0</v>
          </cell>
          <cell r="BS950">
            <v>0</v>
          </cell>
          <cell r="BT950">
            <v>0</v>
          </cell>
          <cell r="BU950">
            <v>0</v>
          </cell>
          <cell r="BV950">
            <v>0</v>
          </cell>
          <cell r="BW950">
            <v>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0</v>
          </cell>
          <cell r="CH950">
            <v>0</v>
          </cell>
          <cell r="CI950">
            <v>0</v>
          </cell>
          <cell r="CJ950">
            <v>0</v>
          </cell>
          <cell r="CK950">
            <v>0</v>
          </cell>
          <cell r="CL950">
            <v>0</v>
          </cell>
          <cell r="CM950">
            <v>0</v>
          </cell>
          <cell r="CN950">
            <v>0</v>
          </cell>
          <cell r="CO950">
            <v>0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0</v>
          </cell>
          <cell r="CU950">
            <v>0</v>
          </cell>
          <cell r="CV950">
            <v>0</v>
          </cell>
          <cell r="CW950">
            <v>0</v>
          </cell>
          <cell r="CX950">
            <v>0</v>
          </cell>
          <cell r="CY950">
            <v>0</v>
          </cell>
          <cell r="CZ950">
            <v>0</v>
          </cell>
          <cell r="DA950">
            <v>0</v>
          </cell>
          <cell r="DB950">
            <v>0</v>
          </cell>
          <cell r="DC950">
            <v>0</v>
          </cell>
          <cell r="DD950">
            <v>0</v>
          </cell>
          <cell r="DE950">
            <v>0</v>
          </cell>
          <cell r="DF950">
            <v>0</v>
          </cell>
          <cell r="DG950">
            <v>0</v>
          </cell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T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  <cell r="CF951">
            <v>0</v>
          </cell>
          <cell r="CG951">
            <v>0</v>
          </cell>
          <cell r="CH951">
            <v>0</v>
          </cell>
          <cell r="CI951">
            <v>0</v>
          </cell>
          <cell r="CJ951">
            <v>0</v>
          </cell>
          <cell r="CK951">
            <v>0</v>
          </cell>
          <cell r="CL951">
            <v>0</v>
          </cell>
          <cell r="CM951">
            <v>0</v>
          </cell>
          <cell r="CN951">
            <v>0</v>
          </cell>
          <cell r="CO951">
            <v>0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  <cell r="DB951">
            <v>0</v>
          </cell>
          <cell r="DC951">
            <v>0</v>
          </cell>
          <cell r="DD951">
            <v>0</v>
          </cell>
          <cell r="DE951">
            <v>0</v>
          </cell>
          <cell r="DF951">
            <v>0</v>
          </cell>
          <cell r="DG951">
            <v>0</v>
          </cell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T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>
            <v>0</v>
          </cell>
          <cell r="BM952">
            <v>0</v>
          </cell>
          <cell r="BN952">
            <v>0</v>
          </cell>
          <cell r="BO952">
            <v>0</v>
          </cell>
          <cell r="BP952">
            <v>0</v>
          </cell>
          <cell r="BQ952">
            <v>0</v>
          </cell>
          <cell r="BR952">
            <v>0</v>
          </cell>
          <cell r="BS952">
            <v>0</v>
          </cell>
          <cell r="BT952">
            <v>0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  <cell r="CF952">
            <v>0</v>
          </cell>
          <cell r="CG952">
            <v>0</v>
          </cell>
          <cell r="CH952">
            <v>0</v>
          </cell>
          <cell r="CI952">
            <v>0</v>
          </cell>
          <cell r="CJ952">
            <v>0</v>
          </cell>
          <cell r="CK952">
            <v>0</v>
          </cell>
          <cell r="CL952">
            <v>0</v>
          </cell>
          <cell r="CM952">
            <v>0</v>
          </cell>
          <cell r="CN952">
            <v>0</v>
          </cell>
          <cell r="CO952">
            <v>0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0</v>
          </cell>
          <cell r="CU952">
            <v>0</v>
          </cell>
          <cell r="CV952">
            <v>0</v>
          </cell>
          <cell r="CW952">
            <v>0</v>
          </cell>
          <cell r="CX952">
            <v>0</v>
          </cell>
          <cell r="CY952">
            <v>0</v>
          </cell>
          <cell r="CZ952">
            <v>0</v>
          </cell>
          <cell r="DA952">
            <v>0</v>
          </cell>
          <cell r="DB952">
            <v>0</v>
          </cell>
          <cell r="DC952">
            <v>0</v>
          </cell>
          <cell r="DD952">
            <v>0</v>
          </cell>
          <cell r="DE952">
            <v>0</v>
          </cell>
          <cell r="DF952">
            <v>0</v>
          </cell>
          <cell r="DG952">
            <v>0</v>
          </cell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T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>
            <v>0</v>
          </cell>
          <cell r="BM953">
            <v>0</v>
          </cell>
          <cell r="BN953">
            <v>0</v>
          </cell>
          <cell r="BO953">
            <v>0</v>
          </cell>
          <cell r="BP953">
            <v>0</v>
          </cell>
          <cell r="BQ953">
            <v>0</v>
          </cell>
          <cell r="BR953">
            <v>0</v>
          </cell>
          <cell r="BS953">
            <v>0</v>
          </cell>
          <cell r="BT953">
            <v>0</v>
          </cell>
          <cell r="BU953">
            <v>0</v>
          </cell>
          <cell r="BV953">
            <v>0</v>
          </cell>
          <cell r="BW953">
            <v>0</v>
          </cell>
          <cell r="BX953">
            <v>0</v>
          </cell>
          <cell r="BY953">
            <v>0</v>
          </cell>
          <cell r="BZ953">
            <v>0</v>
          </cell>
          <cell r="CA953">
            <v>0</v>
          </cell>
          <cell r="CB953">
            <v>0</v>
          </cell>
          <cell r="CC953">
            <v>0</v>
          </cell>
          <cell r="CD953">
            <v>0</v>
          </cell>
          <cell r="CE953">
            <v>0</v>
          </cell>
          <cell r="CF953">
            <v>0</v>
          </cell>
          <cell r="CG953">
            <v>0</v>
          </cell>
          <cell r="CH953">
            <v>0</v>
          </cell>
          <cell r="CI953">
            <v>0</v>
          </cell>
          <cell r="CJ953">
            <v>0</v>
          </cell>
          <cell r="CK953">
            <v>0</v>
          </cell>
          <cell r="CL953">
            <v>0</v>
          </cell>
          <cell r="CM953">
            <v>0</v>
          </cell>
          <cell r="CN953">
            <v>0</v>
          </cell>
          <cell r="CO953">
            <v>0</v>
          </cell>
          <cell r="CP953">
            <v>0</v>
          </cell>
          <cell r="CQ953">
            <v>0</v>
          </cell>
          <cell r="CR953">
            <v>0</v>
          </cell>
          <cell r="CS953">
            <v>0</v>
          </cell>
          <cell r="CT953">
            <v>0</v>
          </cell>
          <cell r="CU953">
            <v>0</v>
          </cell>
          <cell r="CV953">
            <v>0</v>
          </cell>
          <cell r="CW953">
            <v>0</v>
          </cell>
          <cell r="CX953">
            <v>0</v>
          </cell>
          <cell r="CY953">
            <v>0</v>
          </cell>
          <cell r="CZ953">
            <v>0</v>
          </cell>
          <cell r="DA953">
            <v>0</v>
          </cell>
          <cell r="DB953">
            <v>0</v>
          </cell>
          <cell r="DC953">
            <v>0</v>
          </cell>
          <cell r="DD953">
            <v>0</v>
          </cell>
          <cell r="DE953">
            <v>0</v>
          </cell>
          <cell r="DF953">
            <v>0</v>
          </cell>
          <cell r="DG953">
            <v>0</v>
          </cell>
          <cell r="DH953">
            <v>0</v>
          </cell>
          <cell r="DI953">
            <v>0</v>
          </cell>
          <cell r="DJ953">
            <v>0</v>
          </cell>
          <cell r="DK953">
            <v>0</v>
          </cell>
          <cell r="DL953">
            <v>0</v>
          </cell>
          <cell r="DM953">
            <v>0</v>
          </cell>
          <cell r="DN953">
            <v>0</v>
          </cell>
          <cell r="DO953">
            <v>0</v>
          </cell>
          <cell r="DP953">
            <v>0</v>
          </cell>
          <cell r="DQ953">
            <v>0</v>
          </cell>
          <cell r="DR953">
            <v>0</v>
          </cell>
          <cell r="DS953">
            <v>0</v>
          </cell>
          <cell r="DT953">
            <v>0</v>
          </cell>
          <cell r="DU953">
            <v>0</v>
          </cell>
          <cell r="DV953">
            <v>0</v>
          </cell>
          <cell r="DW953">
            <v>0</v>
          </cell>
          <cell r="DX953">
            <v>0</v>
          </cell>
          <cell r="DY953">
            <v>0</v>
          </cell>
          <cell r="DZ953">
            <v>0</v>
          </cell>
          <cell r="EA953">
            <v>0</v>
          </cell>
          <cell r="EB953">
            <v>0</v>
          </cell>
          <cell r="EC953">
            <v>0</v>
          </cell>
          <cell r="ED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O954">
            <v>0</v>
          </cell>
          <cell r="BP954">
            <v>0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0</v>
          </cell>
          <cell r="CD954">
            <v>0</v>
          </cell>
          <cell r="CE954">
            <v>0</v>
          </cell>
          <cell r="CF954">
            <v>0</v>
          </cell>
          <cell r="CG954">
            <v>0</v>
          </cell>
          <cell r="CH954">
            <v>0</v>
          </cell>
          <cell r="CI954">
            <v>0</v>
          </cell>
          <cell r="CJ954">
            <v>0</v>
          </cell>
          <cell r="CK954">
            <v>0</v>
          </cell>
          <cell r="CL954">
            <v>0</v>
          </cell>
          <cell r="CM954">
            <v>0</v>
          </cell>
          <cell r="CN954">
            <v>0</v>
          </cell>
          <cell r="CO954">
            <v>0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0</v>
          </cell>
          <cell r="CU954">
            <v>0</v>
          </cell>
          <cell r="CV954">
            <v>0</v>
          </cell>
          <cell r="CW954">
            <v>0</v>
          </cell>
          <cell r="CX954">
            <v>0</v>
          </cell>
          <cell r="CY954">
            <v>0</v>
          </cell>
          <cell r="CZ954">
            <v>0</v>
          </cell>
          <cell r="DA954">
            <v>0</v>
          </cell>
          <cell r="DB954">
            <v>0</v>
          </cell>
          <cell r="DC954">
            <v>0</v>
          </cell>
          <cell r="DD954">
            <v>0</v>
          </cell>
          <cell r="DE954">
            <v>0</v>
          </cell>
          <cell r="DF954">
            <v>0</v>
          </cell>
          <cell r="DG954">
            <v>0</v>
          </cell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T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0</v>
          </cell>
          <cell r="CG956">
            <v>0</v>
          </cell>
          <cell r="CH956">
            <v>0</v>
          </cell>
          <cell r="CI956">
            <v>0</v>
          </cell>
          <cell r="CJ956">
            <v>0</v>
          </cell>
          <cell r="CK956">
            <v>0</v>
          </cell>
          <cell r="CL956">
            <v>0</v>
          </cell>
          <cell r="CM956">
            <v>0</v>
          </cell>
          <cell r="CN956">
            <v>0</v>
          </cell>
          <cell r="CO956">
            <v>0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0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  <cell r="DD956">
            <v>0</v>
          </cell>
          <cell r="DE956">
            <v>0</v>
          </cell>
          <cell r="DF956">
            <v>0</v>
          </cell>
          <cell r="DG956">
            <v>0</v>
          </cell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T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  <cell r="CF957">
            <v>0</v>
          </cell>
          <cell r="CG957">
            <v>0</v>
          </cell>
          <cell r="CH957">
            <v>0</v>
          </cell>
          <cell r="CI957">
            <v>0</v>
          </cell>
          <cell r="CJ957">
            <v>0</v>
          </cell>
          <cell r="CK957">
            <v>0</v>
          </cell>
          <cell r="CL957">
            <v>0</v>
          </cell>
          <cell r="CM957">
            <v>0</v>
          </cell>
          <cell r="CN957">
            <v>0</v>
          </cell>
          <cell r="CO957">
            <v>0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  <cell r="DD957">
            <v>0</v>
          </cell>
          <cell r="DE957">
            <v>0</v>
          </cell>
          <cell r="DF957">
            <v>0</v>
          </cell>
          <cell r="DG957">
            <v>0</v>
          </cell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T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</row>
        <row r="958"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F958">
            <v>0</v>
          </cell>
          <cell r="BG958">
            <v>0</v>
          </cell>
          <cell r="BH958">
            <v>0</v>
          </cell>
          <cell r="BI958">
            <v>0</v>
          </cell>
          <cell r="BJ958">
            <v>0</v>
          </cell>
          <cell r="BK958">
            <v>0</v>
          </cell>
          <cell r="BL958">
            <v>0</v>
          </cell>
          <cell r="BM958">
            <v>0</v>
          </cell>
          <cell r="BN958">
            <v>0</v>
          </cell>
          <cell r="BO958">
            <v>0</v>
          </cell>
          <cell r="BP958">
            <v>0</v>
          </cell>
          <cell r="BQ958">
            <v>0</v>
          </cell>
          <cell r="BR958">
            <v>0</v>
          </cell>
          <cell r="BS958">
            <v>0</v>
          </cell>
          <cell r="BT958">
            <v>0</v>
          </cell>
          <cell r="BU958">
            <v>0</v>
          </cell>
          <cell r="BV958">
            <v>0</v>
          </cell>
          <cell r="BW958">
            <v>0</v>
          </cell>
          <cell r="BX958">
            <v>0</v>
          </cell>
          <cell r="BY958">
            <v>0</v>
          </cell>
          <cell r="BZ958">
            <v>0</v>
          </cell>
          <cell r="CA958">
            <v>0</v>
          </cell>
          <cell r="CB958">
            <v>0</v>
          </cell>
          <cell r="CC958">
            <v>0</v>
          </cell>
          <cell r="CD958">
            <v>0</v>
          </cell>
          <cell r="CE958">
            <v>0</v>
          </cell>
          <cell r="CF958">
            <v>0</v>
          </cell>
          <cell r="CG958">
            <v>0</v>
          </cell>
          <cell r="CH958">
            <v>0</v>
          </cell>
          <cell r="CI958">
            <v>0</v>
          </cell>
          <cell r="CJ958">
            <v>0</v>
          </cell>
          <cell r="CK958">
            <v>0</v>
          </cell>
          <cell r="CL958">
            <v>0</v>
          </cell>
          <cell r="CM958">
            <v>0</v>
          </cell>
          <cell r="CN958">
            <v>0</v>
          </cell>
          <cell r="CO958">
            <v>0</v>
          </cell>
          <cell r="CP958">
            <v>0</v>
          </cell>
          <cell r="CQ958">
            <v>0</v>
          </cell>
          <cell r="CR958">
            <v>0</v>
          </cell>
          <cell r="CS958">
            <v>0</v>
          </cell>
          <cell r="CT958">
            <v>0</v>
          </cell>
          <cell r="CU958">
            <v>0</v>
          </cell>
          <cell r="CV958">
            <v>0</v>
          </cell>
          <cell r="CW958">
            <v>0</v>
          </cell>
          <cell r="CX958">
            <v>0</v>
          </cell>
          <cell r="CY958">
            <v>0</v>
          </cell>
          <cell r="CZ958">
            <v>0</v>
          </cell>
          <cell r="DA958">
            <v>0</v>
          </cell>
          <cell r="DB958">
            <v>0</v>
          </cell>
          <cell r="DC958">
            <v>0</v>
          </cell>
          <cell r="DD958">
            <v>0</v>
          </cell>
          <cell r="DE958">
            <v>0</v>
          </cell>
          <cell r="DF958">
            <v>0</v>
          </cell>
          <cell r="DG958">
            <v>0</v>
          </cell>
          <cell r="DH958">
            <v>0</v>
          </cell>
          <cell r="DI958">
            <v>0</v>
          </cell>
          <cell r="DJ958">
            <v>0</v>
          </cell>
          <cell r="DK958">
            <v>0</v>
          </cell>
          <cell r="DL958">
            <v>0</v>
          </cell>
          <cell r="DM958">
            <v>0</v>
          </cell>
          <cell r="DN958">
            <v>0</v>
          </cell>
          <cell r="DO958">
            <v>0</v>
          </cell>
          <cell r="DP958">
            <v>0</v>
          </cell>
          <cell r="DQ958">
            <v>0</v>
          </cell>
          <cell r="DR958">
            <v>0</v>
          </cell>
          <cell r="DS958">
            <v>0</v>
          </cell>
          <cell r="DT958">
            <v>0</v>
          </cell>
          <cell r="DU958">
            <v>0</v>
          </cell>
          <cell r="DV958">
            <v>0</v>
          </cell>
          <cell r="DW958">
            <v>0</v>
          </cell>
          <cell r="DX958">
            <v>0</v>
          </cell>
          <cell r="DY958">
            <v>0</v>
          </cell>
          <cell r="DZ958">
            <v>0</v>
          </cell>
          <cell r="EA958">
            <v>0</v>
          </cell>
          <cell r="EB958">
            <v>0</v>
          </cell>
          <cell r="EC958">
            <v>0</v>
          </cell>
          <cell r="ED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H959">
            <v>0</v>
          </cell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  <cell r="BO959">
            <v>0</v>
          </cell>
          <cell r="BP959">
            <v>0</v>
          </cell>
          <cell r="BQ959">
            <v>0</v>
          </cell>
          <cell r="BR959">
            <v>0</v>
          </cell>
          <cell r="BS959">
            <v>0</v>
          </cell>
          <cell r="BT959">
            <v>0</v>
          </cell>
          <cell r="BU959">
            <v>0</v>
          </cell>
          <cell r="BV959">
            <v>0</v>
          </cell>
          <cell r="BW959">
            <v>0</v>
          </cell>
          <cell r="BX959">
            <v>0</v>
          </cell>
          <cell r="BY959">
            <v>0</v>
          </cell>
          <cell r="BZ959">
            <v>0</v>
          </cell>
          <cell r="CA959">
            <v>0</v>
          </cell>
          <cell r="CB959">
            <v>0</v>
          </cell>
          <cell r="CC959">
            <v>0</v>
          </cell>
          <cell r="CD959">
            <v>0</v>
          </cell>
          <cell r="CE959">
            <v>0</v>
          </cell>
          <cell r="CF959">
            <v>0</v>
          </cell>
          <cell r="CG959">
            <v>0</v>
          </cell>
          <cell r="CH959">
            <v>0</v>
          </cell>
          <cell r="CI959">
            <v>0</v>
          </cell>
          <cell r="CJ959">
            <v>0</v>
          </cell>
          <cell r="CK959">
            <v>0</v>
          </cell>
          <cell r="CL959">
            <v>0</v>
          </cell>
          <cell r="CM959">
            <v>0</v>
          </cell>
          <cell r="CN959">
            <v>0</v>
          </cell>
          <cell r="CO959">
            <v>0</v>
          </cell>
          <cell r="CP959">
            <v>0</v>
          </cell>
          <cell r="CQ959">
            <v>0</v>
          </cell>
          <cell r="CR959">
            <v>0</v>
          </cell>
          <cell r="CS959">
            <v>0</v>
          </cell>
          <cell r="CT959">
            <v>0</v>
          </cell>
          <cell r="CU959">
            <v>0</v>
          </cell>
          <cell r="CV959">
            <v>0</v>
          </cell>
          <cell r="CW959">
            <v>0</v>
          </cell>
          <cell r="CX959">
            <v>0</v>
          </cell>
          <cell r="CY959">
            <v>0</v>
          </cell>
          <cell r="CZ959">
            <v>0</v>
          </cell>
          <cell r="DA959">
            <v>0</v>
          </cell>
          <cell r="DB959">
            <v>0</v>
          </cell>
          <cell r="DC959">
            <v>0</v>
          </cell>
          <cell r="DD959">
            <v>0</v>
          </cell>
          <cell r="DE959">
            <v>0</v>
          </cell>
          <cell r="DF959">
            <v>0</v>
          </cell>
          <cell r="DG959">
            <v>0</v>
          </cell>
          <cell r="DH959">
            <v>0</v>
          </cell>
          <cell r="DI959">
            <v>0</v>
          </cell>
          <cell r="DJ959">
            <v>0</v>
          </cell>
          <cell r="DK959">
            <v>0</v>
          </cell>
          <cell r="DL959">
            <v>0</v>
          </cell>
          <cell r="DM959">
            <v>0</v>
          </cell>
          <cell r="DN959">
            <v>0</v>
          </cell>
          <cell r="DO959">
            <v>0</v>
          </cell>
          <cell r="DP959">
            <v>0</v>
          </cell>
          <cell r="DQ959">
            <v>0</v>
          </cell>
          <cell r="DR959">
            <v>0</v>
          </cell>
          <cell r="DS959">
            <v>0</v>
          </cell>
          <cell r="DT959">
            <v>0</v>
          </cell>
          <cell r="DU959">
            <v>0</v>
          </cell>
          <cell r="DV959">
            <v>0</v>
          </cell>
          <cell r="DW959">
            <v>0</v>
          </cell>
          <cell r="DX959">
            <v>0</v>
          </cell>
          <cell r="DY959">
            <v>0</v>
          </cell>
          <cell r="DZ959">
            <v>0</v>
          </cell>
          <cell r="EA959">
            <v>0</v>
          </cell>
          <cell r="EB959">
            <v>0</v>
          </cell>
          <cell r="EC959">
            <v>0</v>
          </cell>
          <cell r="ED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0</v>
          </cell>
          <cell r="AQ960">
            <v>0</v>
          </cell>
          <cell r="AR960">
            <v>0</v>
          </cell>
          <cell r="AS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  <cell r="BE960">
            <v>0</v>
          </cell>
          <cell r="BF960">
            <v>0</v>
          </cell>
          <cell r="BG960">
            <v>0</v>
          </cell>
          <cell r="BH960">
            <v>0</v>
          </cell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  <cell r="BO960">
            <v>0</v>
          </cell>
          <cell r="BP960">
            <v>0</v>
          </cell>
          <cell r="BQ960">
            <v>0</v>
          </cell>
          <cell r="BR960">
            <v>0</v>
          </cell>
          <cell r="BS960">
            <v>0</v>
          </cell>
          <cell r="BT960">
            <v>0</v>
          </cell>
          <cell r="BU960">
            <v>0</v>
          </cell>
          <cell r="BV960">
            <v>0</v>
          </cell>
          <cell r="BW960">
            <v>0</v>
          </cell>
          <cell r="BX960">
            <v>0</v>
          </cell>
          <cell r="BY960">
            <v>0</v>
          </cell>
          <cell r="BZ960">
            <v>0</v>
          </cell>
          <cell r="CA960">
            <v>0</v>
          </cell>
          <cell r="CB960">
            <v>0</v>
          </cell>
          <cell r="CC960">
            <v>0</v>
          </cell>
          <cell r="CD960">
            <v>0</v>
          </cell>
          <cell r="CE960">
            <v>0</v>
          </cell>
          <cell r="CF960">
            <v>0</v>
          </cell>
          <cell r="CG960">
            <v>0</v>
          </cell>
          <cell r="CH960">
            <v>0</v>
          </cell>
          <cell r="CI960">
            <v>0</v>
          </cell>
          <cell r="CJ960">
            <v>0</v>
          </cell>
          <cell r="CK960">
            <v>0</v>
          </cell>
          <cell r="CL960">
            <v>0</v>
          </cell>
          <cell r="CM960">
            <v>0</v>
          </cell>
          <cell r="CN960">
            <v>0</v>
          </cell>
          <cell r="CO960">
            <v>0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  <cell r="DD960">
            <v>0</v>
          </cell>
          <cell r="DE960">
            <v>0</v>
          </cell>
          <cell r="DF960">
            <v>0</v>
          </cell>
          <cell r="DG960">
            <v>0</v>
          </cell>
          <cell r="DH960">
            <v>0</v>
          </cell>
          <cell r="DI960">
            <v>0</v>
          </cell>
          <cell r="DJ960">
            <v>0</v>
          </cell>
          <cell r="DK960">
            <v>0</v>
          </cell>
          <cell r="DL960">
            <v>0</v>
          </cell>
          <cell r="DM960">
            <v>0</v>
          </cell>
          <cell r="DN960">
            <v>0</v>
          </cell>
          <cell r="DO960">
            <v>0</v>
          </cell>
          <cell r="DP960">
            <v>0</v>
          </cell>
          <cell r="DQ960">
            <v>0</v>
          </cell>
          <cell r="DR960">
            <v>0</v>
          </cell>
          <cell r="DS960">
            <v>0</v>
          </cell>
          <cell r="DT960">
            <v>0</v>
          </cell>
          <cell r="DU960">
            <v>0</v>
          </cell>
          <cell r="DV960">
            <v>0</v>
          </cell>
          <cell r="DW960">
            <v>0</v>
          </cell>
          <cell r="DX960">
            <v>0</v>
          </cell>
          <cell r="DY960">
            <v>0</v>
          </cell>
          <cell r="DZ960">
            <v>0</v>
          </cell>
          <cell r="EA960">
            <v>0</v>
          </cell>
          <cell r="EB960">
            <v>0</v>
          </cell>
          <cell r="EC960">
            <v>0</v>
          </cell>
          <cell r="ED960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  <cell r="CF961">
            <v>0</v>
          </cell>
          <cell r="CG961">
            <v>0</v>
          </cell>
          <cell r="CH961">
            <v>0</v>
          </cell>
          <cell r="CI961">
            <v>0</v>
          </cell>
          <cell r="CJ961">
            <v>0</v>
          </cell>
          <cell r="CK961">
            <v>0</v>
          </cell>
          <cell r="CL961">
            <v>0</v>
          </cell>
          <cell r="CM961">
            <v>0</v>
          </cell>
          <cell r="CN961">
            <v>0</v>
          </cell>
          <cell r="CO961">
            <v>0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0</v>
          </cell>
          <cell r="CU961">
            <v>0</v>
          </cell>
          <cell r="CV961">
            <v>0</v>
          </cell>
          <cell r="CW961">
            <v>0</v>
          </cell>
          <cell r="CX961">
            <v>0</v>
          </cell>
          <cell r="CY961">
            <v>0</v>
          </cell>
          <cell r="CZ961">
            <v>0</v>
          </cell>
          <cell r="DA961">
            <v>0</v>
          </cell>
          <cell r="DB961">
            <v>0</v>
          </cell>
          <cell r="DC961">
            <v>0</v>
          </cell>
          <cell r="DD961">
            <v>0</v>
          </cell>
          <cell r="DE961">
            <v>0</v>
          </cell>
          <cell r="DF961">
            <v>0</v>
          </cell>
          <cell r="DG961">
            <v>0</v>
          </cell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T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0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  <cell r="CF962">
            <v>0</v>
          </cell>
          <cell r="CG962">
            <v>0</v>
          </cell>
          <cell r="CH962">
            <v>0</v>
          </cell>
          <cell r="CI962">
            <v>0</v>
          </cell>
          <cell r="CJ962">
            <v>0</v>
          </cell>
          <cell r="CK962">
            <v>0</v>
          </cell>
          <cell r="CL962">
            <v>0</v>
          </cell>
          <cell r="CM962">
            <v>0</v>
          </cell>
          <cell r="CN962">
            <v>0</v>
          </cell>
          <cell r="CO962">
            <v>0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0</v>
          </cell>
          <cell r="CU962">
            <v>0</v>
          </cell>
          <cell r="CV962">
            <v>0</v>
          </cell>
          <cell r="CW962">
            <v>0</v>
          </cell>
          <cell r="CX962">
            <v>0</v>
          </cell>
          <cell r="CY962">
            <v>0</v>
          </cell>
          <cell r="CZ962">
            <v>0</v>
          </cell>
          <cell r="DA962">
            <v>0</v>
          </cell>
          <cell r="DB962">
            <v>0</v>
          </cell>
          <cell r="DC962">
            <v>0</v>
          </cell>
          <cell r="DD962">
            <v>0</v>
          </cell>
          <cell r="DE962">
            <v>0</v>
          </cell>
          <cell r="DF962">
            <v>0</v>
          </cell>
          <cell r="DG962">
            <v>0</v>
          </cell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T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  <cell r="BO964">
            <v>0</v>
          </cell>
          <cell r="BP964">
            <v>0</v>
          </cell>
          <cell r="BQ964">
            <v>0</v>
          </cell>
          <cell r="BR964">
            <v>0</v>
          </cell>
          <cell r="BS964">
            <v>0</v>
          </cell>
          <cell r="BT964">
            <v>0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  <cell r="CF964">
            <v>0</v>
          </cell>
          <cell r="CG964">
            <v>0</v>
          </cell>
          <cell r="CH964">
            <v>0</v>
          </cell>
          <cell r="CI964">
            <v>0</v>
          </cell>
          <cell r="CJ964">
            <v>0</v>
          </cell>
          <cell r="CK964">
            <v>0</v>
          </cell>
          <cell r="CL964">
            <v>0</v>
          </cell>
          <cell r="CM964">
            <v>0</v>
          </cell>
          <cell r="CN964">
            <v>0</v>
          </cell>
          <cell r="CO964">
            <v>0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0</v>
          </cell>
          <cell r="CU964">
            <v>0</v>
          </cell>
          <cell r="CV964">
            <v>0</v>
          </cell>
          <cell r="CW964">
            <v>0</v>
          </cell>
          <cell r="CX964">
            <v>0</v>
          </cell>
          <cell r="CY964">
            <v>0</v>
          </cell>
          <cell r="CZ964">
            <v>0</v>
          </cell>
          <cell r="DA964">
            <v>0</v>
          </cell>
          <cell r="DB964">
            <v>0</v>
          </cell>
          <cell r="DC964">
            <v>0</v>
          </cell>
          <cell r="DD964">
            <v>0</v>
          </cell>
          <cell r="DE964">
            <v>0</v>
          </cell>
          <cell r="DF964">
            <v>0</v>
          </cell>
          <cell r="DG964">
            <v>0</v>
          </cell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T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0</v>
          </cell>
          <cell r="BQ965">
            <v>0</v>
          </cell>
          <cell r="BR965">
            <v>0</v>
          </cell>
          <cell r="BS965">
            <v>0</v>
          </cell>
          <cell r="BT965">
            <v>0</v>
          </cell>
          <cell r="BU965">
            <v>0</v>
          </cell>
          <cell r="BV965">
            <v>0</v>
          </cell>
          <cell r="BW965">
            <v>0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0</v>
          </cell>
          <cell r="CH965">
            <v>0</v>
          </cell>
          <cell r="CI965">
            <v>0</v>
          </cell>
          <cell r="CJ965">
            <v>0</v>
          </cell>
          <cell r="CK965">
            <v>0</v>
          </cell>
          <cell r="CL965">
            <v>0</v>
          </cell>
          <cell r="CM965">
            <v>0</v>
          </cell>
          <cell r="CN965">
            <v>0</v>
          </cell>
          <cell r="CO965">
            <v>0</v>
          </cell>
          <cell r="CP965">
            <v>0</v>
          </cell>
          <cell r="CQ965">
            <v>0</v>
          </cell>
          <cell r="CR965">
            <v>0</v>
          </cell>
          <cell r="CS965">
            <v>0</v>
          </cell>
          <cell r="CT965">
            <v>0</v>
          </cell>
          <cell r="CU965">
            <v>0</v>
          </cell>
          <cell r="CV965">
            <v>0</v>
          </cell>
          <cell r="CW965">
            <v>0</v>
          </cell>
          <cell r="CX965">
            <v>0</v>
          </cell>
          <cell r="CY965">
            <v>0</v>
          </cell>
          <cell r="CZ965">
            <v>0</v>
          </cell>
          <cell r="DA965">
            <v>0</v>
          </cell>
          <cell r="DB965">
            <v>0</v>
          </cell>
          <cell r="DC965">
            <v>0</v>
          </cell>
          <cell r="DD965">
            <v>0</v>
          </cell>
          <cell r="DE965">
            <v>0</v>
          </cell>
          <cell r="DF965">
            <v>0</v>
          </cell>
          <cell r="DG965">
            <v>0</v>
          </cell>
          <cell r="DH965">
            <v>0</v>
          </cell>
          <cell r="DI965">
            <v>0</v>
          </cell>
          <cell r="DJ965">
            <v>0</v>
          </cell>
          <cell r="DK965">
            <v>0</v>
          </cell>
          <cell r="DL965">
            <v>0</v>
          </cell>
          <cell r="DM965">
            <v>0</v>
          </cell>
          <cell r="DN965">
            <v>0</v>
          </cell>
          <cell r="DO965">
            <v>0</v>
          </cell>
          <cell r="DP965">
            <v>0</v>
          </cell>
          <cell r="DQ965">
            <v>0</v>
          </cell>
          <cell r="DR965">
            <v>0</v>
          </cell>
          <cell r="DS965">
            <v>0</v>
          </cell>
          <cell r="DT965">
            <v>0</v>
          </cell>
          <cell r="DU965">
            <v>0</v>
          </cell>
          <cell r="DV965">
            <v>0</v>
          </cell>
          <cell r="DW965">
            <v>0</v>
          </cell>
          <cell r="DX965">
            <v>0</v>
          </cell>
          <cell r="DY965">
            <v>0</v>
          </cell>
          <cell r="DZ965">
            <v>0</v>
          </cell>
          <cell r="EA965">
            <v>0</v>
          </cell>
          <cell r="EB965">
            <v>0</v>
          </cell>
          <cell r="EC965">
            <v>0</v>
          </cell>
          <cell r="ED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0</v>
          </cell>
          <cell r="CH966">
            <v>0</v>
          </cell>
          <cell r="CI966">
            <v>0</v>
          </cell>
          <cell r="CJ966">
            <v>0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  <cell r="DD966">
            <v>0</v>
          </cell>
          <cell r="DE966">
            <v>0</v>
          </cell>
          <cell r="DF966">
            <v>0</v>
          </cell>
          <cell r="DG966">
            <v>0</v>
          </cell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T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0</v>
          </cell>
          <cell r="BR967">
            <v>0</v>
          </cell>
          <cell r="BS967">
            <v>0</v>
          </cell>
          <cell r="BT967">
            <v>0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0</v>
          </cell>
          <cell r="CH967">
            <v>0</v>
          </cell>
          <cell r="CI967">
            <v>0</v>
          </cell>
          <cell r="CJ967">
            <v>0</v>
          </cell>
          <cell r="CK967">
            <v>0</v>
          </cell>
          <cell r="CL967">
            <v>0</v>
          </cell>
          <cell r="CM967">
            <v>0</v>
          </cell>
          <cell r="CN967">
            <v>0</v>
          </cell>
          <cell r="CO967">
            <v>0</v>
          </cell>
          <cell r="CP967">
            <v>0</v>
          </cell>
          <cell r="CQ967">
            <v>0</v>
          </cell>
          <cell r="CR967">
            <v>0</v>
          </cell>
          <cell r="CS967">
            <v>0</v>
          </cell>
          <cell r="CT967">
            <v>0</v>
          </cell>
          <cell r="CU967">
            <v>0</v>
          </cell>
          <cell r="CV967">
            <v>0</v>
          </cell>
          <cell r="CW967">
            <v>0</v>
          </cell>
          <cell r="CX967">
            <v>0</v>
          </cell>
          <cell r="CY967">
            <v>0</v>
          </cell>
          <cell r="CZ967">
            <v>0</v>
          </cell>
          <cell r="DA967">
            <v>0</v>
          </cell>
          <cell r="DB967">
            <v>0</v>
          </cell>
          <cell r="DC967">
            <v>0</v>
          </cell>
          <cell r="DD967">
            <v>0</v>
          </cell>
          <cell r="DE967">
            <v>0</v>
          </cell>
          <cell r="DF967">
            <v>0</v>
          </cell>
          <cell r="DG967">
            <v>0</v>
          </cell>
          <cell r="DH967">
            <v>0</v>
          </cell>
          <cell r="DI967">
            <v>0</v>
          </cell>
          <cell r="DJ967">
            <v>0</v>
          </cell>
          <cell r="DK967">
            <v>0</v>
          </cell>
          <cell r="DL967">
            <v>0</v>
          </cell>
          <cell r="DM967">
            <v>0</v>
          </cell>
          <cell r="DN967">
            <v>0</v>
          </cell>
          <cell r="DO967">
            <v>0</v>
          </cell>
          <cell r="DP967">
            <v>0</v>
          </cell>
          <cell r="DQ967">
            <v>0</v>
          </cell>
          <cell r="DR967">
            <v>0</v>
          </cell>
          <cell r="DS967">
            <v>0</v>
          </cell>
          <cell r="DT967">
            <v>0</v>
          </cell>
          <cell r="DU967">
            <v>0</v>
          </cell>
          <cell r="DV967">
            <v>0</v>
          </cell>
          <cell r="DW967">
            <v>0</v>
          </cell>
          <cell r="DX967">
            <v>0</v>
          </cell>
          <cell r="DY967">
            <v>0</v>
          </cell>
          <cell r="DZ967">
            <v>0</v>
          </cell>
          <cell r="EA967">
            <v>0</v>
          </cell>
          <cell r="EB967">
            <v>0</v>
          </cell>
          <cell r="EC967">
            <v>0</v>
          </cell>
          <cell r="ED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H968">
            <v>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0</v>
          </cell>
          <cell r="BP968">
            <v>0</v>
          </cell>
          <cell r="BQ968">
            <v>0</v>
          </cell>
          <cell r="BR968">
            <v>0</v>
          </cell>
          <cell r="BS968">
            <v>0</v>
          </cell>
          <cell r="BT968">
            <v>0</v>
          </cell>
          <cell r="BU968">
            <v>0</v>
          </cell>
          <cell r="BV968">
            <v>0</v>
          </cell>
          <cell r="BW968">
            <v>0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0</v>
          </cell>
          <cell r="CH968">
            <v>0</v>
          </cell>
          <cell r="CI968">
            <v>0</v>
          </cell>
          <cell r="CJ968">
            <v>0</v>
          </cell>
          <cell r="CK968">
            <v>0</v>
          </cell>
          <cell r="CL968">
            <v>0</v>
          </cell>
          <cell r="CM968">
            <v>0</v>
          </cell>
          <cell r="CN968">
            <v>0</v>
          </cell>
          <cell r="CO968">
            <v>0</v>
          </cell>
          <cell r="CP968">
            <v>0</v>
          </cell>
          <cell r="CQ968">
            <v>0</v>
          </cell>
          <cell r="CR968">
            <v>0</v>
          </cell>
          <cell r="CS968">
            <v>0</v>
          </cell>
          <cell r="CT968">
            <v>0</v>
          </cell>
          <cell r="CU968">
            <v>0</v>
          </cell>
          <cell r="CV968">
            <v>0</v>
          </cell>
          <cell r="CW968">
            <v>0</v>
          </cell>
          <cell r="CX968">
            <v>0</v>
          </cell>
          <cell r="CY968">
            <v>0</v>
          </cell>
          <cell r="CZ968">
            <v>0</v>
          </cell>
          <cell r="DA968">
            <v>0</v>
          </cell>
          <cell r="DB968">
            <v>0</v>
          </cell>
          <cell r="DC968">
            <v>0</v>
          </cell>
          <cell r="DD968">
            <v>0</v>
          </cell>
          <cell r="DE968">
            <v>0</v>
          </cell>
          <cell r="DF968">
            <v>0</v>
          </cell>
          <cell r="DG968">
            <v>0</v>
          </cell>
          <cell r="DH968">
            <v>0</v>
          </cell>
          <cell r="DI968">
            <v>0</v>
          </cell>
          <cell r="DJ968">
            <v>0</v>
          </cell>
          <cell r="DK968">
            <v>0</v>
          </cell>
          <cell r="DL968">
            <v>0</v>
          </cell>
          <cell r="DM968">
            <v>0</v>
          </cell>
          <cell r="DN968">
            <v>0</v>
          </cell>
          <cell r="DO968">
            <v>0</v>
          </cell>
          <cell r="DP968">
            <v>0</v>
          </cell>
          <cell r="DQ968">
            <v>0</v>
          </cell>
          <cell r="DR968">
            <v>0</v>
          </cell>
          <cell r="DS968">
            <v>0</v>
          </cell>
          <cell r="DT968">
            <v>0</v>
          </cell>
          <cell r="DU968">
            <v>0</v>
          </cell>
          <cell r="DV968">
            <v>0</v>
          </cell>
          <cell r="DW968">
            <v>0</v>
          </cell>
          <cell r="DX968">
            <v>0</v>
          </cell>
          <cell r="DY968">
            <v>0</v>
          </cell>
          <cell r="DZ968">
            <v>0</v>
          </cell>
          <cell r="EA968">
            <v>0</v>
          </cell>
          <cell r="EB968">
            <v>0</v>
          </cell>
          <cell r="EC968">
            <v>0</v>
          </cell>
          <cell r="ED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0</v>
          </cell>
          <cell r="CH969">
            <v>0</v>
          </cell>
          <cell r="CI969">
            <v>0</v>
          </cell>
          <cell r="CJ969">
            <v>0</v>
          </cell>
          <cell r="CK969">
            <v>0</v>
          </cell>
          <cell r="CL969">
            <v>0</v>
          </cell>
          <cell r="CM969">
            <v>0</v>
          </cell>
          <cell r="CN969">
            <v>0</v>
          </cell>
          <cell r="CO969">
            <v>0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0</v>
          </cell>
          <cell r="CU969">
            <v>0</v>
          </cell>
          <cell r="CV969">
            <v>0</v>
          </cell>
          <cell r="CW969">
            <v>0</v>
          </cell>
          <cell r="CX969">
            <v>0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  <cell r="DD969">
            <v>0</v>
          </cell>
          <cell r="DE969">
            <v>0</v>
          </cell>
          <cell r="DF969">
            <v>0</v>
          </cell>
          <cell r="DG969">
            <v>0</v>
          </cell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T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O970">
            <v>0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  <cell r="BE970">
            <v>0</v>
          </cell>
          <cell r="BF970">
            <v>0</v>
          </cell>
          <cell r="BG970">
            <v>0</v>
          </cell>
          <cell r="BH970">
            <v>0</v>
          </cell>
          <cell r="BI970">
            <v>0</v>
          </cell>
          <cell r="BJ970">
            <v>0</v>
          </cell>
          <cell r="BK970">
            <v>0</v>
          </cell>
          <cell r="BL970">
            <v>0</v>
          </cell>
          <cell r="BM970">
            <v>0</v>
          </cell>
          <cell r="BN970">
            <v>0</v>
          </cell>
          <cell r="BO970">
            <v>0</v>
          </cell>
          <cell r="BP970">
            <v>0</v>
          </cell>
          <cell r="BQ970">
            <v>0</v>
          </cell>
          <cell r="BR970">
            <v>0</v>
          </cell>
          <cell r="BS970">
            <v>0</v>
          </cell>
          <cell r="BT970">
            <v>0</v>
          </cell>
          <cell r="BU970">
            <v>0</v>
          </cell>
          <cell r="BV970">
            <v>0</v>
          </cell>
          <cell r="BW970">
            <v>0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0</v>
          </cell>
          <cell r="CH970">
            <v>0</v>
          </cell>
          <cell r="CI970">
            <v>0</v>
          </cell>
          <cell r="CJ970">
            <v>0</v>
          </cell>
          <cell r="CK970">
            <v>0</v>
          </cell>
          <cell r="CL970">
            <v>0</v>
          </cell>
          <cell r="CM970">
            <v>0</v>
          </cell>
          <cell r="CN970">
            <v>0</v>
          </cell>
          <cell r="CO970">
            <v>0</v>
          </cell>
          <cell r="CP970">
            <v>0</v>
          </cell>
          <cell r="CQ970">
            <v>0</v>
          </cell>
          <cell r="CR970">
            <v>0</v>
          </cell>
          <cell r="CS970">
            <v>0</v>
          </cell>
          <cell r="CT970">
            <v>0</v>
          </cell>
          <cell r="CU970">
            <v>0</v>
          </cell>
          <cell r="CV970">
            <v>0</v>
          </cell>
          <cell r="CW970">
            <v>0</v>
          </cell>
          <cell r="CX970">
            <v>0</v>
          </cell>
          <cell r="CY970">
            <v>0</v>
          </cell>
          <cell r="CZ970">
            <v>0</v>
          </cell>
          <cell r="DA970">
            <v>0</v>
          </cell>
          <cell r="DB970">
            <v>0</v>
          </cell>
          <cell r="DC970">
            <v>0</v>
          </cell>
          <cell r="DD970">
            <v>0</v>
          </cell>
          <cell r="DE970">
            <v>0</v>
          </cell>
          <cell r="DF970">
            <v>0</v>
          </cell>
          <cell r="DG970">
            <v>0</v>
          </cell>
          <cell r="DH970">
            <v>0</v>
          </cell>
          <cell r="DI970">
            <v>0</v>
          </cell>
          <cell r="DJ970">
            <v>0</v>
          </cell>
          <cell r="DK970">
            <v>0</v>
          </cell>
          <cell r="DL970">
            <v>0</v>
          </cell>
          <cell r="DM970">
            <v>0</v>
          </cell>
          <cell r="DN970">
            <v>0</v>
          </cell>
          <cell r="DO970">
            <v>0</v>
          </cell>
          <cell r="DP970">
            <v>0</v>
          </cell>
          <cell r="DQ970">
            <v>0</v>
          </cell>
          <cell r="DR970">
            <v>0</v>
          </cell>
          <cell r="DS970">
            <v>0</v>
          </cell>
          <cell r="DT970">
            <v>0</v>
          </cell>
          <cell r="DU970">
            <v>0</v>
          </cell>
          <cell r="DV970">
            <v>0</v>
          </cell>
          <cell r="DW970">
            <v>0</v>
          </cell>
          <cell r="DX970">
            <v>0</v>
          </cell>
          <cell r="DY970">
            <v>0</v>
          </cell>
          <cell r="DZ970">
            <v>0</v>
          </cell>
          <cell r="EA970">
            <v>0</v>
          </cell>
          <cell r="EB970">
            <v>0</v>
          </cell>
          <cell r="EC970">
            <v>0</v>
          </cell>
          <cell r="ED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  <cell r="BI971">
            <v>0</v>
          </cell>
          <cell r="BJ971">
            <v>0</v>
          </cell>
          <cell r="BK971">
            <v>0</v>
          </cell>
          <cell r="BL971">
            <v>0</v>
          </cell>
          <cell r="BM971">
            <v>0</v>
          </cell>
          <cell r="BN971">
            <v>0</v>
          </cell>
          <cell r="BO971">
            <v>0</v>
          </cell>
          <cell r="BP971">
            <v>0</v>
          </cell>
          <cell r="BQ971">
            <v>0</v>
          </cell>
          <cell r="BR971">
            <v>0</v>
          </cell>
          <cell r="BS971">
            <v>0</v>
          </cell>
          <cell r="BT971">
            <v>0</v>
          </cell>
          <cell r="BU971">
            <v>0</v>
          </cell>
          <cell r="BV971">
            <v>0</v>
          </cell>
          <cell r="BW971">
            <v>0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0</v>
          </cell>
          <cell r="CH971">
            <v>0</v>
          </cell>
          <cell r="CI971">
            <v>0</v>
          </cell>
          <cell r="CJ971">
            <v>0</v>
          </cell>
          <cell r="CK971">
            <v>0</v>
          </cell>
          <cell r="CL971">
            <v>0</v>
          </cell>
          <cell r="CM971">
            <v>0</v>
          </cell>
          <cell r="CN971">
            <v>0</v>
          </cell>
          <cell r="CO971">
            <v>0</v>
          </cell>
          <cell r="CP971">
            <v>0</v>
          </cell>
          <cell r="CQ971">
            <v>0</v>
          </cell>
          <cell r="CR971">
            <v>0</v>
          </cell>
          <cell r="CS971">
            <v>0</v>
          </cell>
          <cell r="CT971">
            <v>0</v>
          </cell>
          <cell r="CU971">
            <v>0</v>
          </cell>
          <cell r="CV971">
            <v>0</v>
          </cell>
          <cell r="CW971">
            <v>0</v>
          </cell>
          <cell r="CX971">
            <v>0</v>
          </cell>
          <cell r="CY971">
            <v>0</v>
          </cell>
          <cell r="CZ971">
            <v>0</v>
          </cell>
          <cell r="DA971">
            <v>0</v>
          </cell>
          <cell r="DB971">
            <v>0</v>
          </cell>
          <cell r="DC971">
            <v>0</v>
          </cell>
          <cell r="DD971">
            <v>0</v>
          </cell>
          <cell r="DE971">
            <v>0</v>
          </cell>
          <cell r="DF971">
            <v>0</v>
          </cell>
          <cell r="DG971">
            <v>0</v>
          </cell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T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  <cell r="BO974">
            <v>0</v>
          </cell>
          <cell r="BP974">
            <v>0</v>
          </cell>
          <cell r="BQ974">
            <v>0</v>
          </cell>
          <cell r="BR974">
            <v>0</v>
          </cell>
          <cell r="BS974">
            <v>0</v>
          </cell>
          <cell r="BT974">
            <v>0</v>
          </cell>
          <cell r="BU974">
            <v>0</v>
          </cell>
          <cell r="BV974">
            <v>0</v>
          </cell>
          <cell r="BW974">
            <v>0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0</v>
          </cell>
          <cell r="CH974">
            <v>0</v>
          </cell>
          <cell r="CI974">
            <v>0</v>
          </cell>
          <cell r="CJ974">
            <v>0</v>
          </cell>
          <cell r="CK974">
            <v>0</v>
          </cell>
          <cell r="CL974">
            <v>0</v>
          </cell>
          <cell r="CM974">
            <v>0</v>
          </cell>
          <cell r="CN974">
            <v>0</v>
          </cell>
          <cell r="CO974">
            <v>0</v>
          </cell>
          <cell r="CP974">
            <v>0</v>
          </cell>
          <cell r="CQ974">
            <v>0</v>
          </cell>
          <cell r="CR974">
            <v>0</v>
          </cell>
          <cell r="CS974">
            <v>0</v>
          </cell>
          <cell r="CT974">
            <v>0</v>
          </cell>
          <cell r="CU974">
            <v>0</v>
          </cell>
          <cell r="CV974">
            <v>0</v>
          </cell>
          <cell r="CW974">
            <v>0</v>
          </cell>
          <cell r="CX974">
            <v>0</v>
          </cell>
          <cell r="CY974">
            <v>0</v>
          </cell>
          <cell r="CZ974">
            <v>0</v>
          </cell>
          <cell r="DA974">
            <v>0</v>
          </cell>
          <cell r="DB974">
            <v>0</v>
          </cell>
          <cell r="DC974">
            <v>0</v>
          </cell>
          <cell r="DD974">
            <v>0</v>
          </cell>
          <cell r="DE974">
            <v>0</v>
          </cell>
          <cell r="DF974">
            <v>0</v>
          </cell>
          <cell r="DG974">
            <v>0</v>
          </cell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T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0</v>
          </cell>
          <cell r="BI977">
            <v>0</v>
          </cell>
          <cell r="BJ977">
            <v>0</v>
          </cell>
          <cell r="BK977">
            <v>0</v>
          </cell>
          <cell r="BL977">
            <v>0</v>
          </cell>
          <cell r="BM977">
            <v>0</v>
          </cell>
          <cell r="BN977">
            <v>0</v>
          </cell>
          <cell r="BO977">
            <v>0</v>
          </cell>
          <cell r="BP977">
            <v>0</v>
          </cell>
          <cell r="BQ977">
            <v>0</v>
          </cell>
          <cell r="BR977">
            <v>0</v>
          </cell>
          <cell r="BS977">
            <v>0</v>
          </cell>
          <cell r="BT977">
            <v>0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0</v>
          </cell>
          <cell r="CH977">
            <v>0</v>
          </cell>
          <cell r="CI977">
            <v>0</v>
          </cell>
          <cell r="CJ977">
            <v>0</v>
          </cell>
          <cell r="CK977">
            <v>0</v>
          </cell>
          <cell r="CL977">
            <v>0</v>
          </cell>
          <cell r="CM977">
            <v>0</v>
          </cell>
          <cell r="CN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0</v>
          </cell>
          <cell r="CU977">
            <v>0</v>
          </cell>
          <cell r="CV977">
            <v>0</v>
          </cell>
          <cell r="CW977">
            <v>0</v>
          </cell>
          <cell r="CX977">
            <v>0</v>
          </cell>
          <cell r="CY977">
            <v>0</v>
          </cell>
          <cell r="CZ977">
            <v>0</v>
          </cell>
          <cell r="DA977">
            <v>0</v>
          </cell>
          <cell r="DB977">
            <v>0</v>
          </cell>
          <cell r="DC977">
            <v>0</v>
          </cell>
          <cell r="DD977">
            <v>0</v>
          </cell>
          <cell r="DE977">
            <v>0</v>
          </cell>
          <cell r="DF977">
            <v>0</v>
          </cell>
          <cell r="DG977">
            <v>0</v>
          </cell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T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  <cell r="DE978">
            <v>0</v>
          </cell>
          <cell r="DF978">
            <v>0</v>
          </cell>
          <cell r="DG978">
            <v>0</v>
          </cell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T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0</v>
          </cell>
          <cell r="BP979">
            <v>0</v>
          </cell>
          <cell r="BQ979">
            <v>0</v>
          </cell>
          <cell r="BR979">
            <v>0</v>
          </cell>
          <cell r="BS979">
            <v>0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  <cell r="DD979">
            <v>0</v>
          </cell>
          <cell r="DE979">
            <v>0</v>
          </cell>
          <cell r="DF979">
            <v>0</v>
          </cell>
          <cell r="DG979">
            <v>0</v>
          </cell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0</v>
          </cell>
          <cell r="BR980">
            <v>0</v>
          </cell>
          <cell r="BS980">
            <v>0</v>
          </cell>
          <cell r="BT980">
            <v>0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  <cell r="CF980">
            <v>0</v>
          </cell>
          <cell r="CG980">
            <v>0</v>
          </cell>
          <cell r="CH980">
            <v>0</v>
          </cell>
          <cell r="CI980">
            <v>0</v>
          </cell>
          <cell r="CJ980">
            <v>0</v>
          </cell>
          <cell r="CK980">
            <v>0</v>
          </cell>
          <cell r="CL980">
            <v>0</v>
          </cell>
          <cell r="CM980">
            <v>0</v>
          </cell>
          <cell r="CN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0</v>
          </cell>
          <cell r="CU980">
            <v>0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  <cell r="DD980">
            <v>0</v>
          </cell>
          <cell r="DE980">
            <v>0</v>
          </cell>
          <cell r="DF980">
            <v>0</v>
          </cell>
          <cell r="DG980">
            <v>0</v>
          </cell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T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0</v>
          </cell>
          <cell r="BJ981">
            <v>0</v>
          </cell>
          <cell r="BK981">
            <v>0</v>
          </cell>
          <cell r="BL981">
            <v>0</v>
          </cell>
          <cell r="BM981">
            <v>0</v>
          </cell>
          <cell r="BN981">
            <v>0</v>
          </cell>
          <cell r="BO981">
            <v>0</v>
          </cell>
          <cell r="BP981">
            <v>0</v>
          </cell>
          <cell r="BQ981">
            <v>0</v>
          </cell>
          <cell r="BR981">
            <v>0</v>
          </cell>
          <cell r="BS981">
            <v>0</v>
          </cell>
          <cell r="BT981">
            <v>0</v>
          </cell>
          <cell r="BU981">
            <v>0</v>
          </cell>
          <cell r="BV981">
            <v>0</v>
          </cell>
          <cell r="BW981">
            <v>0</v>
          </cell>
          <cell r="BX981">
            <v>0</v>
          </cell>
          <cell r="BY981">
            <v>0</v>
          </cell>
          <cell r="BZ981">
            <v>0</v>
          </cell>
          <cell r="CA981">
            <v>0</v>
          </cell>
          <cell r="CB981">
            <v>0</v>
          </cell>
          <cell r="CC981">
            <v>0</v>
          </cell>
          <cell r="CD981">
            <v>0</v>
          </cell>
          <cell r="CE981">
            <v>0</v>
          </cell>
          <cell r="CF981">
            <v>0</v>
          </cell>
          <cell r="CG981">
            <v>0</v>
          </cell>
          <cell r="CH981">
            <v>0</v>
          </cell>
          <cell r="CI981">
            <v>0</v>
          </cell>
          <cell r="CJ981">
            <v>0</v>
          </cell>
          <cell r="CK981">
            <v>0</v>
          </cell>
          <cell r="CL981">
            <v>0</v>
          </cell>
          <cell r="CM981">
            <v>0</v>
          </cell>
          <cell r="CN981">
            <v>0</v>
          </cell>
          <cell r="CO981">
            <v>0</v>
          </cell>
          <cell r="CP981">
            <v>0</v>
          </cell>
          <cell r="CQ981">
            <v>0</v>
          </cell>
          <cell r="CR981">
            <v>0</v>
          </cell>
          <cell r="CS981">
            <v>0</v>
          </cell>
          <cell r="CT981">
            <v>0</v>
          </cell>
          <cell r="CU981">
            <v>0</v>
          </cell>
          <cell r="CV981">
            <v>0</v>
          </cell>
          <cell r="CW981">
            <v>0</v>
          </cell>
          <cell r="CX981">
            <v>0</v>
          </cell>
          <cell r="CY981">
            <v>0</v>
          </cell>
          <cell r="CZ981">
            <v>0</v>
          </cell>
          <cell r="DA981">
            <v>0</v>
          </cell>
          <cell r="DB981">
            <v>0</v>
          </cell>
          <cell r="DC981">
            <v>0</v>
          </cell>
          <cell r="DD981">
            <v>0</v>
          </cell>
          <cell r="DE981">
            <v>0</v>
          </cell>
          <cell r="DF981">
            <v>0</v>
          </cell>
          <cell r="DG981">
            <v>0</v>
          </cell>
          <cell r="DH981">
            <v>0</v>
          </cell>
          <cell r="DI981">
            <v>0</v>
          </cell>
          <cell r="DJ981">
            <v>0</v>
          </cell>
          <cell r="DK981">
            <v>0</v>
          </cell>
          <cell r="DL981">
            <v>0</v>
          </cell>
          <cell r="DM981">
            <v>0</v>
          </cell>
          <cell r="DN981">
            <v>0</v>
          </cell>
          <cell r="DO981">
            <v>0</v>
          </cell>
          <cell r="DP981">
            <v>0</v>
          </cell>
          <cell r="DQ981">
            <v>0</v>
          </cell>
          <cell r="DR981">
            <v>0</v>
          </cell>
          <cell r="DS981">
            <v>0</v>
          </cell>
          <cell r="DT981">
            <v>0</v>
          </cell>
          <cell r="DU981">
            <v>0</v>
          </cell>
          <cell r="DV981">
            <v>0</v>
          </cell>
          <cell r="DW981">
            <v>0</v>
          </cell>
          <cell r="DX981">
            <v>0</v>
          </cell>
          <cell r="DY981">
            <v>0</v>
          </cell>
          <cell r="DZ981">
            <v>0</v>
          </cell>
          <cell r="EA981">
            <v>0</v>
          </cell>
          <cell r="EB981">
            <v>0</v>
          </cell>
          <cell r="EC981">
            <v>0</v>
          </cell>
          <cell r="ED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0</v>
          </cell>
          <cell r="BJ982">
            <v>0</v>
          </cell>
          <cell r="BK982">
            <v>0</v>
          </cell>
          <cell r="BL982">
            <v>0</v>
          </cell>
          <cell r="BM982">
            <v>0</v>
          </cell>
          <cell r="BN982">
            <v>0</v>
          </cell>
          <cell r="BO982">
            <v>0</v>
          </cell>
          <cell r="BP982">
            <v>0</v>
          </cell>
          <cell r="BQ982">
            <v>0</v>
          </cell>
          <cell r="BR982">
            <v>0</v>
          </cell>
          <cell r="BS982">
            <v>0</v>
          </cell>
          <cell r="BT982">
            <v>0</v>
          </cell>
          <cell r="BU982">
            <v>0</v>
          </cell>
          <cell r="BV982">
            <v>0</v>
          </cell>
          <cell r="BW982">
            <v>0</v>
          </cell>
          <cell r="BX982">
            <v>0</v>
          </cell>
          <cell r="BY982">
            <v>0</v>
          </cell>
          <cell r="BZ982">
            <v>0</v>
          </cell>
          <cell r="CA982">
            <v>0</v>
          </cell>
          <cell r="CB982">
            <v>0</v>
          </cell>
          <cell r="CC982">
            <v>0</v>
          </cell>
          <cell r="CD982">
            <v>0</v>
          </cell>
          <cell r="CE982">
            <v>0</v>
          </cell>
          <cell r="CF982">
            <v>0</v>
          </cell>
          <cell r="CG982">
            <v>0</v>
          </cell>
          <cell r="CH982">
            <v>0</v>
          </cell>
          <cell r="CI982">
            <v>0</v>
          </cell>
          <cell r="CJ982">
            <v>0</v>
          </cell>
          <cell r="CK982">
            <v>0</v>
          </cell>
          <cell r="CL982">
            <v>0</v>
          </cell>
          <cell r="CM982">
            <v>0</v>
          </cell>
          <cell r="CN982">
            <v>0</v>
          </cell>
          <cell r="CO982">
            <v>0</v>
          </cell>
          <cell r="CP982">
            <v>0</v>
          </cell>
          <cell r="CQ982">
            <v>0</v>
          </cell>
          <cell r="CR982">
            <v>0</v>
          </cell>
          <cell r="CS982">
            <v>0</v>
          </cell>
          <cell r="CT982">
            <v>0</v>
          </cell>
          <cell r="CU982">
            <v>0</v>
          </cell>
          <cell r="CV982">
            <v>0</v>
          </cell>
          <cell r="CW982">
            <v>0</v>
          </cell>
          <cell r="CX982">
            <v>0</v>
          </cell>
          <cell r="CY982">
            <v>0</v>
          </cell>
          <cell r="CZ982">
            <v>0</v>
          </cell>
          <cell r="DA982">
            <v>0</v>
          </cell>
          <cell r="DB982">
            <v>0</v>
          </cell>
          <cell r="DC982">
            <v>0</v>
          </cell>
          <cell r="DD982">
            <v>0</v>
          </cell>
          <cell r="DE982">
            <v>0</v>
          </cell>
          <cell r="DF982">
            <v>0</v>
          </cell>
          <cell r="DG982">
            <v>0</v>
          </cell>
          <cell r="DH982">
            <v>0</v>
          </cell>
          <cell r="DI982">
            <v>0</v>
          </cell>
          <cell r="DJ982">
            <v>0</v>
          </cell>
          <cell r="DK982">
            <v>0</v>
          </cell>
          <cell r="DL982">
            <v>0</v>
          </cell>
          <cell r="DM982">
            <v>0</v>
          </cell>
          <cell r="DN982">
            <v>0</v>
          </cell>
          <cell r="DO982">
            <v>0</v>
          </cell>
          <cell r="DP982">
            <v>0</v>
          </cell>
          <cell r="DQ982">
            <v>0</v>
          </cell>
          <cell r="DR982">
            <v>0</v>
          </cell>
          <cell r="DS982">
            <v>0</v>
          </cell>
          <cell r="DT982">
            <v>0</v>
          </cell>
          <cell r="DU982">
            <v>0</v>
          </cell>
          <cell r="DV982">
            <v>0</v>
          </cell>
          <cell r="DW982">
            <v>0</v>
          </cell>
          <cell r="DX982">
            <v>0</v>
          </cell>
          <cell r="DY982">
            <v>0</v>
          </cell>
          <cell r="DZ982">
            <v>0</v>
          </cell>
          <cell r="EA982">
            <v>0</v>
          </cell>
          <cell r="EB982">
            <v>0</v>
          </cell>
          <cell r="EC982">
            <v>0</v>
          </cell>
          <cell r="ED982">
            <v>0</v>
          </cell>
        </row>
        <row r="984"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  <cell r="CF984">
            <v>0</v>
          </cell>
          <cell r="CG984">
            <v>0</v>
          </cell>
          <cell r="CH984">
            <v>0</v>
          </cell>
          <cell r="CI984">
            <v>0</v>
          </cell>
          <cell r="CJ984">
            <v>0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0</v>
          </cell>
          <cell r="CU984">
            <v>0</v>
          </cell>
          <cell r="CV984">
            <v>0</v>
          </cell>
          <cell r="CW984">
            <v>0</v>
          </cell>
          <cell r="CX984">
            <v>0</v>
          </cell>
          <cell r="CY984">
            <v>0</v>
          </cell>
          <cell r="CZ984">
            <v>0</v>
          </cell>
          <cell r="DA984">
            <v>0</v>
          </cell>
          <cell r="DB984">
            <v>0</v>
          </cell>
          <cell r="DC984">
            <v>0</v>
          </cell>
          <cell r="DD984">
            <v>0</v>
          </cell>
          <cell r="DE984">
            <v>0</v>
          </cell>
          <cell r="DF984">
            <v>0</v>
          </cell>
          <cell r="DG984">
            <v>0</v>
          </cell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T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  <cell r="CF985">
            <v>0</v>
          </cell>
          <cell r="CG985">
            <v>0</v>
          </cell>
          <cell r="CH985">
            <v>0</v>
          </cell>
          <cell r="CI985">
            <v>0</v>
          </cell>
          <cell r="CJ985">
            <v>0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0</v>
          </cell>
          <cell r="CU985">
            <v>0</v>
          </cell>
          <cell r="CV985">
            <v>0</v>
          </cell>
          <cell r="CW985">
            <v>0</v>
          </cell>
          <cell r="CX985">
            <v>0</v>
          </cell>
          <cell r="CY985">
            <v>0</v>
          </cell>
          <cell r="CZ985">
            <v>0</v>
          </cell>
          <cell r="DA985">
            <v>0</v>
          </cell>
          <cell r="DB985">
            <v>0</v>
          </cell>
          <cell r="DC985">
            <v>0</v>
          </cell>
          <cell r="DD985">
            <v>0</v>
          </cell>
          <cell r="DE985">
            <v>0</v>
          </cell>
          <cell r="DF985">
            <v>0</v>
          </cell>
          <cell r="DG985">
            <v>0</v>
          </cell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T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  <cell r="BO986">
            <v>0</v>
          </cell>
          <cell r="BP986">
            <v>0</v>
          </cell>
          <cell r="BQ986">
            <v>0</v>
          </cell>
          <cell r="BR986">
            <v>0</v>
          </cell>
          <cell r="BS986">
            <v>0</v>
          </cell>
          <cell r="BT986">
            <v>0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  <cell r="CF986">
            <v>0</v>
          </cell>
          <cell r="CG986">
            <v>0</v>
          </cell>
          <cell r="CH986">
            <v>0</v>
          </cell>
          <cell r="CI986">
            <v>0</v>
          </cell>
          <cell r="CJ986">
            <v>0</v>
          </cell>
          <cell r="CK986">
            <v>0</v>
          </cell>
          <cell r="CL986">
            <v>0</v>
          </cell>
          <cell r="CM986">
            <v>0</v>
          </cell>
          <cell r="CN986">
            <v>0</v>
          </cell>
          <cell r="CO986">
            <v>0</v>
          </cell>
          <cell r="CP986">
            <v>0</v>
          </cell>
          <cell r="CQ986">
            <v>0</v>
          </cell>
          <cell r="CR986">
            <v>0</v>
          </cell>
          <cell r="CS986">
            <v>0</v>
          </cell>
          <cell r="CT986">
            <v>0</v>
          </cell>
          <cell r="CU986">
            <v>0</v>
          </cell>
          <cell r="CV986">
            <v>0</v>
          </cell>
          <cell r="CW986">
            <v>0</v>
          </cell>
          <cell r="CX986">
            <v>0</v>
          </cell>
          <cell r="CY986">
            <v>0</v>
          </cell>
          <cell r="CZ986">
            <v>0</v>
          </cell>
          <cell r="DA986">
            <v>0</v>
          </cell>
          <cell r="DB986">
            <v>0</v>
          </cell>
          <cell r="DC986">
            <v>0</v>
          </cell>
          <cell r="DD986">
            <v>0</v>
          </cell>
          <cell r="DE986">
            <v>0</v>
          </cell>
          <cell r="DF986">
            <v>0</v>
          </cell>
          <cell r="DG986">
            <v>0</v>
          </cell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T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0</v>
          </cell>
          <cell r="BJ987">
            <v>0</v>
          </cell>
          <cell r="BK987">
            <v>0</v>
          </cell>
          <cell r="BL987">
            <v>0</v>
          </cell>
          <cell r="BM987">
            <v>0</v>
          </cell>
          <cell r="BN987">
            <v>0</v>
          </cell>
          <cell r="BO987">
            <v>0</v>
          </cell>
          <cell r="BP987">
            <v>0</v>
          </cell>
          <cell r="BQ987">
            <v>0</v>
          </cell>
          <cell r="BR987">
            <v>0</v>
          </cell>
          <cell r="BS987">
            <v>0</v>
          </cell>
          <cell r="BT987">
            <v>0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G987">
            <v>0</v>
          </cell>
          <cell r="CH987">
            <v>0</v>
          </cell>
          <cell r="CI987">
            <v>0</v>
          </cell>
          <cell r="CJ987">
            <v>0</v>
          </cell>
          <cell r="CK987">
            <v>0</v>
          </cell>
          <cell r="CL987">
            <v>0</v>
          </cell>
          <cell r="CM987">
            <v>0</v>
          </cell>
          <cell r="CN987">
            <v>0</v>
          </cell>
          <cell r="CO987">
            <v>0</v>
          </cell>
          <cell r="CP987">
            <v>0</v>
          </cell>
          <cell r="CQ987">
            <v>0</v>
          </cell>
          <cell r="CR987">
            <v>0</v>
          </cell>
          <cell r="CS987">
            <v>0</v>
          </cell>
          <cell r="CT987">
            <v>0</v>
          </cell>
          <cell r="CU987">
            <v>0</v>
          </cell>
          <cell r="CV987">
            <v>0</v>
          </cell>
          <cell r="CW987">
            <v>0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  <cell r="DD987">
            <v>0</v>
          </cell>
          <cell r="DE987">
            <v>0</v>
          </cell>
          <cell r="DF987">
            <v>0</v>
          </cell>
          <cell r="DG987">
            <v>0</v>
          </cell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T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0</v>
          </cell>
          <cell r="BJ988">
            <v>0</v>
          </cell>
          <cell r="BK988">
            <v>0</v>
          </cell>
          <cell r="BL988">
            <v>0</v>
          </cell>
          <cell r="BM988">
            <v>0</v>
          </cell>
          <cell r="BN988">
            <v>0</v>
          </cell>
          <cell r="BO988">
            <v>0</v>
          </cell>
          <cell r="BP988">
            <v>0</v>
          </cell>
          <cell r="BQ988">
            <v>0</v>
          </cell>
          <cell r="BR988">
            <v>0</v>
          </cell>
          <cell r="BS988">
            <v>0</v>
          </cell>
          <cell r="BT988">
            <v>0</v>
          </cell>
          <cell r="BU988">
            <v>0</v>
          </cell>
          <cell r="BV988">
            <v>0</v>
          </cell>
          <cell r="BW988">
            <v>0</v>
          </cell>
          <cell r="BX988">
            <v>0</v>
          </cell>
          <cell r="BY988">
            <v>0</v>
          </cell>
          <cell r="BZ988">
            <v>0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  <cell r="CF988">
            <v>0</v>
          </cell>
          <cell r="CG988">
            <v>0</v>
          </cell>
          <cell r="CH988">
            <v>0</v>
          </cell>
          <cell r="CI988">
            <v>0</v>
          </cell>
          <cell r="CJ988">
            <v>0</v>
          </cell>
          <cell r="CK988">
            <v>0</v>
          </cell>
          <cell r="CL988">
            <v>0</v>
          </cell>
          <cell r="CM988">
            <v>0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0</v>
          </cell>
          <cell r="CX988">
            <v>0</v>
          </cell>
          <cell r="CY988">
            <v>0</v>
          </cell>
          <cell r="CZ988">
            <v>0</v>
          </cell>
          <cell r="DA988">
            <v>0</v>
          </cell>
          <cell r="DB988">
            <v>0</v>
          </cell>
          <cell r="DC988">
            <v>0</v>
          </cell>
          <cell r="DD988">
            <v>0</v>
          </cell>
          <cell r="DE988">
            <v>0</v>
          </cell>
          <cell r="DF988">
            <v>0</v>
          </cell>
          <cell r="DG988">
            <v>0</v>
          </cell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T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  <cell r="DD990">
            <v>0</v>
          </cell>
          <cell r="DE990">
            <v>0</v>
          </cell>
          <cell r="DF990">
            <v>0</v>
          </cell>
          <cell r="DG990">
            <v>0</v>
          </cell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T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  <cell r="DD991">
            <v>0</v>
          </cell>
          <cell r="DE991">
            <v>0</v>
          </cell>
          <cell r="DF991">
            <v>0</v>
          </cell>
          <cell r="DG991">
            <v>0</v>
          </cell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T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0</v>
          </cell>
          <cell r="BT992">
            <v>0</v>
          </cell>
          <cell r="BU992">
            <v>0</v>
          </cell>
          <cell r="BV992">
            <v>0</v>
          </cell>
          <cell r="BW992">
            <v>0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0</v>
          </cell>
          <cell r="CH992">
            <v>0</v>
          </cell>
          <cell r="CI992">
            <v>0</v>
          </cell>
          <cell r="CJ992">
            <v>0</v>
          </cell>
          <cell r="CK992">
            <v>0</v>
          </cell>
          <cell r="CL992">
            <v>0</v>
          </cell>
          <cell r="CM992">
            <v>0</v>
          </cell>
          <cell r="CN992">
            <v>0</v>
          </cell>
          <cell r="CO992">
            <v>0</v>
          </cell>
          <cell r="CP992">
            <v>0</v>
          </cell>
          <cell r="CQ992">
            <v>0</v>
          </cell>
          <cell r="CR992">
            <v>0</v>
          </cell>
          <cell r="CS992">
            <v>0</v>
          </cell>
          <cell r="CT992">
            <v>0</v>
          </cell>
          <cell r="CU992">
            <v>0</v>
          </cell>
          <cell r="CV992">
            <v>0</v>
          </cell>
          <cell r="CW992">
            <v>0</v>
          </cell>
          <cell r="CX992">
            <v>0</v>
          </cell>
          <cell r="CY992">
            <v>0</v>
          </cell>
          <cell r="CZ992">
            <v>0</v>
          </cell>
          <cell r="DA992">
            <v>0</v>
          </cell>
          <cell r="DB992">
            <v>0</v>
          </cell>
          <cell r="DC992">
            <v>0</v>
          </cell>
          <cell r="DD992">
            <v>0</v>
          </cell>
          <cell r="DE992">
            <v>0</v>
          </cell>
          <cell r="DF992">
            <v>0</v>
          </cell>
          <cell r="DG992">
            <v>0</v>
          </cell>
          <cell r="DH992">
            <v>0</v>
          </cell>
          <cell r="DI992">
            <v>0</v>
          </cell>
          <cell r="DJ992">
            <v>0</v>
          </cell>
          <cell r="DK992">
            <v>0</v>
          </cell>
          <cell r="DL992">
            <v>0</v>
          </cell>
          <cell r="DM992">
            <v>0</v>
          </cell>
          <cell r="DN992">
            <v>0</v>
          </cell>
          <cell r="DO992">
            <v>0</v>
          </cell>
          <cell r="DP992">
            <v>0</v>
          </cell>
          <cell r="DQ992">
            <v>0</v>
          </cell>
          <cell r="DR992">
            <v>0</v>
          </cell>
          <cell r="DS992">
            <v>0</v>
          </cell>
          <cell r="DT992">
            <v>0</v>
          </cell>
          <cell r="DU992">
            <v>0</v>
          </cell>
          <cell r="DV992">
            <v>0</v>
          </cell>
          <cell r="DW992">
            <v>0</v>
          </cell>
          <cell r="DX992">
            <v>0</v>
          </cell>
          <cell r="DY992">
            <v>0</v>
          </cell>
          <cell r="DZ992">
            <v>0</v>
          </cell>
          <cell r="EA992">
            <v>0</v>
          </cell>
          <cell r="EB992">
            <v>0</v>
          </cell>
          <cell r="EC992">
            <v>0</v>
          </cell>
          <cell r="ED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0</v>
          </cell>
          <cell r="BQ993">
            <v>0</v>
          </cell>
          <cell r="BR993">
            <v>0</v>
          </cell>
          <cell r="BS993">
            <v>0</v>
          </cell>
          <cell r="BT993">
            <v>0</v>
          </cell>
          <cell r="BU993">
            <v>0</v>
          </cell>
          <cell r="BV993">
            <v>0</v>
          </cell>
          <cell r="BW993">
            <v>0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  <cell r="DD993">
            <v>0</v>
          </cell>
          <cell r="DE993">
            <v>0</v>
          </cell>
          <cell r="DF993">
            <v>0</v>
          </cell>
          <cell r="DG993">
            <v>0</v>
          </cell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T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0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0</v>
          </cell>
          <cell r="BQ994">
            <v>0</v>
          </cell>
          <cell r="BR994">
            <v>0</v>
          </cell>
          <cell r="BS994">
            <v>0</v>
          </cell>
          <cell r="BT994">
            <v>0</v>
          </cell>
          <cell r="BU994">
            <v>0</v>
          </cell>
          <cell r="BV994">
            <v>0</v>
          </cell>
          <cell r="BW994">
            <v>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0</v>
          </cell>
          <cell r="CH994">
            <v>0</v>
          </cell>
          <cell r="CI994">
            <v>0</v>
          </cell>
          <cell r="CJ994">
            <v>0</v>
          </cell>
          <cell r="CK994">
            <v>0</v>
          </cell>
          <cell r="CL994">
            <v>0</v>
          </cell>
          <cell r="CM994">
            <v>0</v>
          </cell>
          <cell r="CN994">
            <v>0</v>
          </cell>
          <cell r="CO994">
            <v>0</v>
          </cell>
          <cell r="CP994">
            <v>0</v>
          </cell>
          <cell r="CQ994">
            <v>0</v>
          </cell>
          <cell r="CR994">
            <v>0</v>
          </cell>
          <cell r="CS994">
            <v>0</v>
          </cell>
          <cell r="CT994">
            <v>0</v>
          </cell>
          <cell r="CU994">
            <v>0</v>
          </cell>
          <cell r="CV994">
            <v>0</v>
          </cell>
          <cell r="CW994">
            <v>0</v>
          </cell>
          <cell r="CX994">
            <v>0</v>
          </cell>
          <cell r="CY994">
            <v>0</v>
          </cell>
          <cell r="CZ994">
            <v>0</v>
          </cell>
          <cell r="DA994">
            <v>0</v>
          </cell>
          <cell r="DB994">
            <v>0</v>
          </cell>
          <cell r="DC994">
            <v>0</v>
          </cell>
          <cell r="DD994">
            <v>0</v>
          </cell>
          <cell r="DE994">
            <v>0</v>
          </cell>
          <cell r="DF994">
            <v>0</v>
          </cell>
          <cell r="DG994">
            <v>0</v>
          </cell>
          <cell r="DH994">
            <v>0</v>
          </cell>
          <cell r="DI994">
            <v>0</v>
          </cell>
          <cell r="DJ994">
            <v>0</v>
          </cell>
          <cell r="DK994">
            <v>0</v>
          </cell>
          <cell r="DL994">
            <v>0</v>
          </cell>
          <cell r="DM994">
            <v>0</v>
          </cell>
          <cell r="DN994">
            <v>0</v>
          </cell>
          <cell r="DO994">
            <v>0</v>
          </cell>
          <cell r="DP994">
            <v>0</v>
          </cell>
          <cell r="DQ994">
            <v>0</v>
          </cell>
          <cell r="DR994">
            <v>0</v>
          </cell>
          <cell r="DS994">
            <v>0</v>
          </cell>
          <cell r="DT994">
            <v>0</v>
          </cell>
          <cell r="DU994">
            <v>0</v>
          </cell>
          <cell r="DV994">
            <v>0</v>
          </cell>
          <cell r="DW994">
            <v>0</v>
          </cell>
          <cell r="DX994">
            <v>0</v>
          </cell>
          <cell r="DY994">
            <v>0</v>
          </cell>
          <cell r="DZ994">
            <v>0</v>
          </cell>
          <cell r="EA994">
            <v>0</v>
          </cell>
          <cell r="EB994">
            <v>0</v>
          </cell>
          <cell r="EC994">
            <v>0</v>
          </cell>
          <cell r="ED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0</v>
          </cell>
          <cell r="AP995">
            <v>0</v>
          </cell>
          <cell r="AQ995">
            <v>0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  <cell r="BD995">
            <v>0</v>
          </cell>
          <cell r="BE995">
            <v>0</v>
          </cell>
          <cell r="BF995">
            <v>0</v>
          </cell>
          <cell r="BG995">
            <v>0</v>
          </cell>
          <cell r="BH995">
            <v>0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0</v>
          </cell>
          <cell r="BN995">
            <v>0</v>
          </cell>
          <cell r="BO995">
            <v>0</v>
          </cell>
          <cell r="BP995">
            <v>0</v>
          </cell>
          <cell r="BQ995">
            <v>0</v>
          </cell>
          <cell r="BR995">
            <v>0</v>
          </cell>
          <cell r="BS995">
            <v>0</v>
          </cell>
          <cell r="BT995">
            <v>0</v>
          </cell>
          <cell r="BU995">
            <v>0</v>
          </cell>
          <cell r="BV995">
            <v>0</v>
          </cell>
          <cell r="BW995">
            <v>0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0</v>
          </cell>
          <cell r="CH995">
            <v>0</v>
          </cell>
          <cell r="CI995">
            <v>0</v>
          </cell>
          <cell r="CJ995">
            <v>0</v>
          </cell>
          <cell r="CK995">
            <v>0</v>
          </cell>
          <cell r="CL995">
            <v>0</v>
          </cell>
          <cell r="CM995">
            <v>0</v>
          </cell>
          <cell r="CN995">
            <v>0</v>
          </cell>
          <cell r="CO995">
            <v>0</v>
          </cell>
          <cell r="CP995">
            <v>0</v>
          </cell>
          <cell r="CQ995">
            <v>0</v>
          </cell>
          <cell r="CR995">
            <v>0</v>
          </cell>
          <cell r="CS995">
            <v>0</v>
          </cell>
          <cell r="CT995">
            <v>0</v>
          </cell>
          <cell r="CU995">
            <v>0</v>
          </cell>
          <cell r="CV995">
            <v>0</v>
          </cell>
          <cell r="CW995">
            <v>0</v>
          </cell>
          <cell r="CX995">
            <v>0</v>
          </cell>
          <cell r="CY995">
            <v>0</v>
          </cell>
          <cell r="CZ995">
            <v>0</v>
          </cell>
          <cell r="DA995">
            <v>0</v>
          </cell>
          <cell r="DB995">
            <v>0</v>
          </cell>
          <cell r="DC995">
            <v>0</v>
          </cell>
          <cell r="DD995">
            <v>0</v>
          </cell>
          <cell r="DE995">
            <v>0</v>
          </cell>
          <cell r="DF995">
            <v>0</v>
          </cell>
          <cell r="DG995">
            <v>0</v>
          </cell>
          <cell r="DH995">
            <v>0</v>
          </cell>
          <cell r="DI995">
            <v>0</v>
          </cell>
          <cell r="DJ995">
            <v>0</v>
          </cell>
          <cell r="DK995">
            <v>0</v>
          </cell>
          <cell r="DL995">
            <v>0</v>
          </cell>
          <cell r="DM995">
            <v>0</v>
          </cell>
          <cell r="DN995">
            <v>0</v>
          </cell>
          <cell r="DO995">
            <v>0</v>
          </cell>
          <cell r="DP995">
            <v>0</v>
          </cell>
          <cell r="DQ995">
            <v>0</v>
          </cell>
          <cell r="DR995">
            <v>0</v>
          </cell>
          <cell r="DS995">
            <v>0</v>
          </cell>
          <cell r="DT995">
            <v>0</v>
          </cell>
          <cell r="DU995">
            <v>0</v>
          </cell>
          <cell r="DV995">
            <v>0</v>
          </cell>
          <cell r="DW995">
            <v>0</v>
          </cell>
          <cell r="DX995">
            <v>0</v>
          </cell>
          <cell r="DY995">
            <v>0</v>
          </cell>
          <cell r="DZ995">
            <v>0</v>
          </cell>
          <cell r="EA995">
            <v>0</v>
          </cell>
          <cell r="EB995">
            <v>0</v>
          </cell>
          <cell r="EC995">
            <v>0</v>
          </cell>
          <cell r="ED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  <cell r="DD996">
            <v>0</v>
          </cell>
          <cell r="DE996">
            <v>0</v>
          </cell>
          <cell r="DF996">
            <v>0</v>
          </cell>
          <cell r="DG996">
            <v>0</v>
          </cell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T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0</v>
          </cell>
          <cell r="BJ997">
            <v>0</v>
          </cell>
          <cell r="BK997">
            <v>0</v>
          </cell>
          <cell r="BL997">
            <v>0</v>
          </cell>
          <cell r="BM997">
            <v>0</v>
          </cell>
          <cell r="BN997">
            <v>0</v>
          </cell>
          <cell r="BO997">
            <v>0</v>
          </cell>
          <cell r="BP997">
            <v>0</v>
          </cell>
          <cell r="BQ997">
            <v>0</v>
          </cell>
          <cell r="BR997">
            <v>0</v>
          </cell>
          <cell r="BS997">
            <v>0</v>
          </cell>
          <cell r="BT997">
            <v>0</v>
          </cell>
          <cell r="BU997">
            <v>0</v>
          </cell>
          <cell r="BV997">
            <v>0</v>
          </cell>
          <cell r="BW997">
            <v>0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0</v>
          </cell>
          <cell r="CH997">
            <v>0</v>
          </cell>
          <cell r="CI997">
            <v>0</v>
          </cell>
          <cell r="CJ997">
            <v>0</v>
          </cell>
          <cell r="CK997">
            <v>0</v>
          </cell>
          <cell r="CL997">
            <v>0</v>
          </cell>
          <cell r="CM997">
            <v>0</v>
          </cell>
          <cell r="CN997">
            <v>0</v>
          </cell>
          <cell r="CO997">
            <v>0</v>
          </cell>
          <cell r="CP997">
            <v>0</v>
          </cell>
          <cell r="CQ997">
            <v>0</v>
          </cell>
          <cell r="CR997">
            <v>0</v>
          </cell>
          <cell r="CS997">
            <v>0</v>
          </cell>
          <cell r="CT997">
            <v>0</v>
          </cell>
          <cell r="CU997">
            <v>0</v>
          </cell>
          <cell r="CV997">
            <v>0</v>
          </cell>
          <cell r="CW997">
            <v>0</v>
          </cell>
          <cell r="CX997">
            <v>0</v>
          </cell>
          <cell r="CY997">
            <v>0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  <cell r="DD997">
            <v>0</v>
          </cell>
          <cell r="DE997">
            <v>0</v>
          </cell>
          <cell r="DF997">
            <v>0</v>
          </cell>
          <cell r="DG997">
            <v>0</v>
          </cell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T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</row>
      </sheetData>
      <sheetData sheetId="5">
        <row r="3">
          <cell r="F3">
            <v>43831</v>
          </cell>
        </row>
        <row r="84">
          <cell r="EI84" t="str">
            <v>QF - 434 - UT - Gas</v>
          </cell>
          <cell r="EK84" t="str">
            <v>Not Used</v>
          </cell>
          <cell r="EM84" t="str">
            <v>Not Used</v>
          </cell>
          <cell r="EO84" t="str">
            <v>Not Used</v>
          </cell>
          <cell r="EQ84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Y72"/>
  <sheetViews>
    <sheetView tabSelected="1" view="pageBreakPreview" topLeftCell="A2" zoomScale="80" zoomScaleNormal="80" zoomScaleSheetLayoutView="80" workbookViewId="0">
      <selection activeCell="A3" sqref="A3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6" width="17.6640625" customWidth="1"/>
    <col min="17" max="17" width="12.83203125" customWidth="1"/>
    <col min="18" max="18" width="12.5" customWidth="1"/>
    <col min="22" max="22" width="13.1640625" customWidth="1"/>
    <col min="26" max="26" width="10.83203125" customWidth="1"/>
    <col min="27" max="27" width="10.1640625" customWidth="1"/>
    <col min="28" max="28" width="11.1640625" customWidth="1"/>
    <col min="29" max="31" width="10.83203125" customWidth="1"/>
    <col min="32" max="32" width="12.5" customWidth="1"/>
    <col min="33" max="33" width="10.83203125" customWidth="1"/>
    <col min="34" max="34" width="14" customWidth="1"/>
    <col min="35" max="35" width="12.5" customWidth="1"/>
    <col min="37" max="37" width="10" customWidth="1"/>
    <col min="38" max="38" width="12.5" customWidth="1"/>
    <col min="47" max="52" width="10.83203125" customWidth="1"/>
    <col min="53" max="53" width="9.83203125" customWidth="1"/>
    <col min="54" max="54" width="10.83203125" customWidth="1"/>
    <col min="55" max="55" width="11.1640625" customWidth="1"/>
    <col min="56" max="56" width="12.83203125" customWidth="1"/>
    <col min="57" max="57" width="5.83203125" customWidth="1"/>
    <col min="58" max="59" width="16.1640625" customWidth="1"/>
    <col min="60" max="60" width="12.5" customWidth="1"/>
    <col min="61" max="62" width="11.83203125" customWidth="1"/>
    <col min="63" max="63" width="11.6640625" customWidth="1"/>
    <col min="64" max="64" width="9.6640625" customWidth="1"/>
    <col min="68" max="68" width="12.5" customWidth="1"/>
    <col min="69" max="69" width="10.5" customWidth="1"/>
    <col min="70" max="70" width="11.83203125" customWidth="1"/>
    <col min="71" max="72" width="12.83203125" customWidth="1"/>
    <col min="73" max="73" width="11.83203125" customWidth="1"/>
    <col min="74" max="74" width="11.33203125" customWidth="1"/>
    <col min="75" max="75" width="11.6640625" customWidth="1"/>
    <col min="76" max="76" width="13.33203125" customWidth="1"/>
    <col min="77" max="77" width="12.1640625" customWidth="1"/>
    <col min="89" max="89" width="11.5" customWidth="1"/>
    <col min="90" max="90" width="11.33203125" customWidth="1"/>
    <col min="91" max="91" width="11.5" customWidth="1"/>
    <col min="92" max="92" width="10.6640625" customWidth="1"/>
    <col min="93" max="93" width="10.83203125" customWidth="1"/>
    <col min="94" max="94" width="11.5" customWidth="1"/>
    <col min="95" max="95" width="11.83203125" customWidth="1"/>
    <col min="96" max="96" width="11.1640625" customWidth="1"/>
    <col min="97" max="97" width="12" customWidth="1"/>
    <col min="98" max="98" width="12.5" customWidth="1"/>
    <col min="99" max="99" width="11" customWidth="1"/>
    <col min="102" max="102" width="17.33203125" customWidth="1"/>
    <col min="103" max="103" width="16.6640625" customWidth="1"/>
    <col min="104" max="104" width="15" customWidth="1"/>
  </cols>
  <sheetData>
    <row r="1" spans="2:103" customFormat="1" ht="15.75" hidden="1">
      <c r="B1" s="1" t="s">
        <v>37</v>
      </c>
      <c r="C1" s="2"/>
      <c r="D1" s="2"/>
      <c r="E1" s="2"/>
      <c r="F1" s="2"/>
      <c r="G1" s="11"/>
      <c r="H1" s="36"/>
      <c r="I1" s="5"/>
    </row>
    <row r="2" spans="2:103" customFormat="1" ht="5.25" customHeight="1">
      <c r="B2" s="1"/>
      <c r="C2" s="2"/>
      <c r="D2" s="2"/>
      <c r="E2" s="2"/>
      <c r="F2" s="3"/>
      <c r="G2" s="11"/>
      <c r="H2" s="36"/>
      <c r="I2" s="5"/>
    </row>
    <row r="3" spans="2:103" customFormat="1" ht="15.75">
      <c r="B3" s="1" t="s">
        <v>21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CX3" s="215">
        <v>0</v>
      </c>
      <c r="CY3" t="s">
        <v>109</v>
      </c>
    </row>
    <row r="4" spans="2:103" customFormat="1" ht="15.75">
      <c r="B4" s="4" t="s">
        <v>18</v>
      </c>
      <c r="C4" s="4"/>
      <c r="D4" s="4"/>
      <c r="E4" s="4"/>
      <c r="F4" s="4"/>
      <c r="G4" s="1"/>
      <c r="H4" s="36"/>
      <c r="I4" s="3"/>
      <c r="K4">
        <v>252</v>
      </c>
      <c r="P4" s="182" t="s">
        <v>60</v>
      </c>
      <c r="Q4" s="182"/>
      <c r="CX4">
        <v>750</v>
      </c>
      <c r="CY4" t="s">
        <v>110</v>
      </c>
    </row>
    <row r="5" spans="2:103" customFormat="1" ht="15.75">
      <c r="B5" s="4" t="str">
        <f ca="1">'Table 5'!M4&amp; " - "&amp;TEXT(Study_MW,"#.0")&amp;" MW and "&amp;TEXT(Study_CF,"#.0%")&amp;" CF"</f>
        <v>Kennecott Refinery Non Firm - 6.2 MW and 85.0% CF</v>
      </c>
      <c r="C5" s="4"/>
      <c r="D5" s="4"/>
      <c r="E5" s="4"/>
      <c r="F5" s="4"/>
      <c r="G5" s="1"/>
      <c r="H5" s="36"/>
      <c r="I5" s="5"/>
      <c r="P5" s="183">
        <v>0.158</v>
      </c>
      <c r="Q5" s="183">
        <v>0.158</v>
      </c>
      <c r="R5" s="183">
        <v>0.158</v>
      </c>
      <c r="S5" s="183">
        <v>0.158</v>
      </c>
      <c r="T5" s="183">
        <v>0.158</v>
      </c>
      <c r="U5" s="183">
        <v>0.11776428835036618</v>
      </c>
      <c r="V5" s="183">
        <v>0.11776428835036618</v>
      </c>
      <c r="W5" s="183">
        <v>0.11776428835036618</v>
      </c>
      <c r="X5" s="183">
        <v>0.158</v>
      </c>
      <c r="Y5" s="183">
        <v>0.158</v>
      </c>
      <c r="Z5" s="183">
        <v>0.53861399146353772</v>
      </c>
      <c r="AA5" s="183">
        <v>0.53861399146353772</v>
      </c>
      <c r="AB5" s="183">
        <v>0.53861399146353772</v>
      </c>
      <c r="AC5" s="183">
        <v>0.59672377662708742</v>
      </c>
      <c r="AD5" s="183">
        <v>0.59672377662708742</v>
      </c>
      <c r="AE5" s="183">
        <v>0.37912293315598289</v>
      </c>
      <c r="AF5" s="183">
        <v>0.64803174039612643</v>
      </c>
      <c r="AG5" s="183">
        <v>0.64803174039612643</v>
      </c>
      <c r="AH5" s="183">
        <v>0.64803174039612643</v>
      </c>
      <c r="AI5" s="183">
        <v>0.64803174039612643</v>
      </c>
      <c r="AJ5" s="183"/>
      <c r="CX5" s="193">
        <f>$CX$3*$CX$4</f>
        <v>0</v>
      </c>
      <c r="CY5" t="s">
        <v>105</v>
      </c>
    </row>
    <row r="6" spans="2:103" customFormat="1" ht="14.25" hidden="1">
      <c r="B6" s="20"/>
      <c r="C6" s="4"/>
      <c r="D6" s="4"/>
      <c r="E6" s="4"/>
      <c r="F6" s="4"/>
      <c r="G6" s="11"/>
      <c r="H6" s="36"/>
      <c r="I6" s="5"/>
    </row>
    <row r="7" spans="2:103" customFormat="1">
      <c r="B7" s="3"/>
      <c r="C7" s="7"/>
      <c r="D7" s="7"/>
      <c r="E7" s="3"/>
      <c r="F7" s="3"/>
      <c r="G7" s="3"/>
      <c r="H7" s="36"/>
      <c r="I7" s="49"/>
    </row>
    <row r="8" spans="2:103" s="240" customFormat="1" ht="40.5" customHeight="1">
      <c r="B8" s="228"/>
      <c r="C8" s="228"/>
      <c r="D8" s="228"/>
      <c r="E8" s="230"/>
      <c r="F8" s="231"/>
      <c r="G8" s="229" t="s">
        <v>14</v>
      </c>
      <c r="H8" s="233"/>
      <c r="I8" s="243"/>
      <c r="K8" s="244" t="s">
        <v>60</v>
      </c>
      <c r="L8" s="244"/>
      <c r="P8" s="245" t="s">
        <v>91</v>
      </c>
      <c r="Q8" s="245"/>
      <c r="S8" s="247" t="s">
        <v>162</v>
      </c>
      <c r="T8" s="247" t="s">
        <v>163</v>
      </c>
      <c r="X8" s="247" t="s">
        <v>160</v>
      </c>
      <c r="Y8" s="247" t="s">
        <v>161</v>
      </c>
      <c r="Z8" s="240" t="s">
        <v>153</v>
      </c>
      <c r="AA8" s="240" t="s">
        <v>144</v>
      </c>
      <c r="AB8" s="240" t="s">
        <v>145</v>
      </c>
      <c r="AC8" s="240" t="s">
        <v>146</v>
      </c>
      <c r="AD8" s="240" t="s">
        <v>147</v>
      </c>
      <c r="AE8" s="240" t="s">
        <v>148</v>
      </c>
      <c r="AF8" s="240" t="s">
        <v>156</v>
      </c>
      <c r="AG8" s="240" t="s">
        <v>150</v>
      </c>
      <c r="AH8" s="240" t="s">
        <v>151</v>
      </c>
      <c r="AI8" s="240" t="s">
        <v>152</v>
      </c>
      <c r="AK8" s="245" t="s">
        <v>92</v>
      </c>
      <c r="AL8" s="245"/>
      <c r="AN8" s="247" t="s">
        <v>162</v>
      </c>
      <c r="AO8" s="247" t="s">
        <v>163</v>
      </c>
      <c r="AS8" s="247" t="s">
        <v>160</v>
      </c>
      <c r="AT8" s="247" t="s">
        <v>161</v>
      </c>
      <c r="AU8" s="240" t="str">
        <f t="shared" ref="AU8:BD9" si="0">Z8</f>
        <v>IRP17 Yakima Solar2030</v>
      </c>
      <c r="AV8" s="240" t="str">
        <f t="shared" si="0"/>
        <v>IRP17 Yakima Solar2032</v>
      </c>
      <c r="AW8" s="240" t="str">
        <f t="shared" si="0"/>
        <v>IRP17 Yakima Solar2033</v>
      </c>
      <c r="AX8" s="240" t="str">
        <f t="shared" si="0"/>
        <v>IRP17 Utah South Solar T2033</v>
      </c>
      <c r="AY8" s="240" t="str">
        <f t="shared" si="0"/>
        <v>IRP17 Utah South Solar T2035</v>
      </c>
      <c r="AZ8" s="240" t="str">
        <f t="shared" si="0"/>
        <v>IRP17 Utah South Solar F2035</v>
      </c>
      <c r="BA8" s="240" t="str">
        <f t="shared" si="0"/>
        <v>IRP17 SOregonCal Solar2030</v>
      </c>
      <c r="BB8" s="240" t="str">
        <f t="shared" si="0"/>
        <v>IRP17 SOregonCal Solar2031</v>
      </c>
      <c r="BC8" s="240" t="str">
        <f t="shared" si="0"/>
        <v>IRP17 SOregonCal Solar2032</v>
      </c>
      <c r="BD8" s="240" t="str">
        <f t="shared" si="0"/>
        <v>IRP17 SOregonCal Solar2033</v>
      </c>
      <c r="BF8" s="245" t="s">
        <v>93</v>
      </c>
      <c r="BG8" s="245"/>
      <c r="BJ8" s="247"/>
      <c r="BO8" s="247"/>
      <c r="CA8" s="245" t="s">
        <v>94</v>
      </c>
      <c r="CB8" s="245"/>
      <c r="CE8" s="249"/>
      <c r="CJ8" s="249"/>
      <c r="CX8" s="208" t="s">
        <v>93</v>
      </c>
      <c r="CY8" s="209" t="s">
        <v>94</v>
      </c>
    </row>
    <row r="9" spans="2:103" s="219" customFormat="1" ht="76.5" customHeight="1">
      <c r="B9" s="228"/>
      <c r="C9" s="229" t="s">
        <v>6</v>
      </c>
      <c r="D9" s="229"/>
      <c r="E9" s="230" t="s">
        <v>19</v>
      </c>
      <c r="F9" s="231"/>
      <c r="G9" s="232">
        <f ca="1">Study_CF</f>
        <v>0.85000000000000009</v>
      </c>
      <c r="H9" s="233"/>
      <c r="I9" s="234"/>
      <c r="K9" s="235" t="s">
        <v>61</v>
      </c>
      <c r="L9" s="235" t="s">
        <v>54</v>
      </c>
      <c r="M9" s="236" t="s">
        <v>95</v>
      </c>
      <c r="P9" s="219" t="s">
        <v>90</v>
      </c>
      <c r="Q9" s="219" t="s">
        <v>134</v>
      </c>
      <c r="R9" s="219" t="s">
        <v>86</v>
      </c>
      <c r="S9" s="219" t="s">
        <v>87</v>
      </c>
      <c r="T9" s="247" t="s">
        <v>87</v>
      </c>
      <c r="U9" s="219" t="s">
        <v>137</v>
      </c>
      <c r="V9" s="219" t="s">
        <v>138</v>
      </c>
      <c r="W9" s="219" t="s">
        <v>139</v>
      </c>
      <c r="X9" s="219" t="s">
        <v>136</v>
      </c>
      <c r="Y9" s="247" t="s">
        <v>136</v>
      </c>
      <c r="Z9" s="219" t="s">
        <v>89</v>
      </c>
      <c r="AA9" s="240" t="s">
        <v>89</v>
      </c>
      <c r="AB9" s="240" t="s">
        <v>89</v>
      </c>
      <c r="AC9" s="219" t="s">
        <v>141</v>
      </c>
      <c r="AD9" s="240" t="s">
        <v>141</v>
      </c>
      <c r="AE9" s="240" t="s">
        <v>155</v>
      </c>
      <c r="AF9" s="240" t="s">
        <v>135</v>
      </c>
      <c r="AG9" s="240" t="s">
        <v>135</v>
      </c>
      <c r="AH9" s="240" t="s">
        <v>135</v>
      </c>
      <c r="AI9" s="219" t="s">
        <v>135</v>
      </c>
      <c r="AJ9" s="238"/>
      <c r="AK9" s="219" t="str">
        <f t="shared" ref="AK9:AT9" si="1">P9</f>
        <v>IRP17 Aeolus Wind</v>
      </c>
      <c r="AL9" s="219" t="str">
        <f t="shared" si="1"/>
        <v>IRP17 WYAE WindCDR2021</v>
      </c>
      <c r="AM9" s="219" t="str">
        <f t="shared" si="1"/>
        <v>IRP17 Dave Johnston Wind</v>
      </c>
      <c r="AN9" s="219" t="str">
        <f t="shared" si="1"/>
        <v>IRP17 Goshen Wind 2</v>
      </c>
      <c r="AO9" s="247" t="str">
        <f t="shared" si="1"/>
        <v>IRP17 Goshen Wind 2</v>
      </c>
      <c r="AP9" s="219" t="str">
        <f t="shared" si="1"/>
        <v>IRP17 WallaW Wind</v>
      </c>
      <c r="AQ9" s="219" t="str">
        <f t="shared" si="1"/>
        <v>IRP17 Yakima Wind</v>
      </c>
      <c r="AR9" s="219" t="str">
        <f t="shared" si="1"/>
        <v>IRP17 S Oregon Wind</v>
      </c>
      <c r="AS9" s="219" t="str">
        <f t="shared" si="1"/>
        <v>IRP17 UT Wind</v>
      </c>
      <c r="AT9" s="247" t="str">
        <f t="shared" si="1"/>
        <v>IRP17 UT Wind</v>
      </c>
      <c r="AU9" s="219" t="str">
        <f t="shared" si="0"/>
        <v>IRP17 Yakima Solar</v>
      </c>
      <c r="AV9" s="240" t="str">
        <f t="shared" si="0"/>
        <v>IRP17 Yakima Solar</v>
      </c>
      <c r="AW9" s="240" t="str">
        <f t="shared" si="0"/>
        <v>IRP17 Yakima Solar</v>
      </c>
      <c r="AX9" s="240" t="str">
        <f t="shared" si="0"/>
        <v>IRP17 Utah South Solar T</v>
      </c>
      <c r="AY9" s="240" t="str">
        <f t="shared" si="0"/>
        <v>IRP17 Utah South Solar T</v>
      </c>
      <c r="AZ9" s="240" t="str">
        <f t="shared" si="0"/>
        <v>IRP17 Utah South Solar F</v>
      </c>
      <c r="BA9" s="240" t="str">
        <f t="shared" si="0"/>
        <v>IRP17 SOregonCal Solar</v>
      </c>
      <c r="BB9" s="240" t="str">
        <f t="shared" si="0"/>
        <v>IRP17 SOregonCal Solar</v>
      </c>
      <c r="BC9" s="240" t="str">
        <f t="shared" si="0"/>
        <v>IRP17 SOregonCal Solar</v>
      </c>
      <c r="BD9" s="240" t="str">
        <f t="shared" si="0"/>
        <v>IRP17 SOregonCal Solar</v>
      </c>
      <c r="BF9" s="219" t="str">
        <f>P9</f>
        <v>IRP17 Aeolus Wind</v>
      </c>
      <c r="BG9" s="219" t="str">
        <f>Q9</f>
        <v>IRP17 WYAE WindCDR2021</v>
      </c>
      <c r="BH9" s="219" t="str">
        <f>R9</f>
        <v>IRP17 Dave Johnston Wind</v>
      </c>
      <c r="BI9" s="248" t="str">
        <f>S8</f>
        <v>IRP17 Goshen Wind 2 2030</v>
      </c>
      <c r="BJ9" s="248" t="str">
        <f>T8</f>
        <v>IRP17 Goshen Wind 2 2033</v>
      </c>
      <c r="BK9" s="219" t="str">
        <f>U9</f>
        <v>IRP17 WallaW Wind</v>
      </c>
      <c r="BL9" s="219" t="str">
        <f>V9</f>
        <v>IRP17 Yakima Wind</v>
      </c>
      <c r="BM9" s="219" t="str">
        <f>W9</f>
        <v>IRP17 S Oregon Wind</v>
      </c>
      <c r="BN9" s="248" t="str">
        <f>X8</f>
        <v>IRP17 UT Wind 2030</v>
      </c>
      <c r="BO9" s="248" t="str">
        <f>Y8</f>
        <v>IRP17 UT Wind 2036</v>
      </c>
      <c r="BP9" s="242" t="s">
        <v>143</v>
      </c>
      <c r="BQ9" s="242" t="s">
        <v>144</v>
      </c>
      <c r="BR9" s="242" t="s">
        <v>145</v>
      </c>
      <c r="BS9" s="242" t="s">
        <v>146</v>
      </c>
      <c r="BT9" s="242" t="s">
        <v>147</v>
      </c>
      <c r="BU9" s="242" t="s">
        <v>148</v>
      </c>
      <c r="BV9" s="242" t="s">
        <v>149</v>
      </c>
      <c r="BW9" s="242" t="s">
        <v>150</v>
      </c>
      <c r="BX9" s="242" t="s">
        <v>151</v>
      </c>
      <c r="BY9" s="242" t="s">
        <v>152</v>
      </c>
      <c r="CA9" s="219" t="str">
        <f t="shared" ref="CA9:CT9" si="2">BF9</f>
        <v>IRP17 Aeolus Wind</v>
      </c>
      <c r="CB9" s="240" t="str">
        <f t="shared" si="2"/>
        <v>IRP17 WYAE WindCDR2021</v>
      </c>
      <c r="CC9" s="240" t="str">
        <f t="shared" si="2"/>
        <v>IRP17 Dave Johnston Wind</v>
      </c>
      <c r="CD9" s="240" t="str">
        <f t="shared" si="2"/>
        <v>IRP17 Goshen Wind 2 2030</v>
      </c>
      <c r="CE9" s="248" t="str">
        <f t="shared" si="2"/>
        <v>IRP17 Goshen Wind 2 2033</v>
      </c>
      <c r="CF9" s="240" t="str">
        <f t="shared" si="2"/>
        <v>IRP17 WallaW Wind</v>
      </c>
      <c r="CG9" s="240" t="str">
        <f t="shared" si="2"/>
        <v>IRP17 Yakima Wind</v>
      </c>
      <c r="CH9" s="240" t="str">
        <f t="shared" si="2"/>
        <v>IRP17 S Oregon Wind</v>
      </c>
      <c r="CI9" s="240" t="str">
        <f t="shared" si="2"/>
        <v>IRP17 UT Wind 2030</v>
      </c>
      <c r="CJ9" s="248" t="str">
        <f t="shared" si="2"/>
        <v>IRP17 UT Wind 2036</v>
      </c>
      <c r="CK9" s="240" t="str">
        <f t="shared" si="2"/>
        <v xml:space="preserve">IRP17 Yakima Solar2030 </v>
      </c>
      <c r="CL9" s="240" t="str">
        <f t="shared" si="2"/>
        <v>IRP17 Yakima Solar2032</v>
      </c>
      <c r="CM9" s="240" t="str">
        <f t="shared" si="2"/>
        <v>IRP17 Yakima Solar2033</v>
      </c>
      <c r="CN9" s="240" t="str">
        <f t="shared" si="2"/>
        <v>IRP17 Utah South Solar T2033</v>
      </c>
      <c r="CO9" s="240" t="str">
        <f t="shared" si="2"/>
        <v>IRP17 Utah South Solar T2035</v>
      </c>
      <c r="CP9" s="240" t="str">
        <f t="shared" si="2"/>
        <v>IRP17 Utah South Solar F2035</v>
      </c>
      <c r="CQ9" s="240" t="str">
        <f t="shared" si="2"/>
        <v>IRP17 SOregonCal Solar2030'</v>
      </c>
      <c r="CR9" s="240" t="str">
        <f t="shared" si="2"/>
        <v>IRP17 SOregonCal Solar2031</v>
      </c>
      <c r="CS9" s="240" t="str">
        <f t="shared" si="2"/>
        <v>IRP17 SOregonCal Solar2032</v>
      </c>
      <c r="CT9" s="240" t="str">
        <f t="shared" si="2"/>
        <v>IRP17 SOregonCal Solar2033</v>
      </c>
      <c r="CU9" s="219" t="s">
        <v>96</v>
      </c>
      <c r="CX9" s="219" t="s">
        <v>106</v>
      </c>
      <c r="CY9" s="219" t="s">
        <v>106</v>
      </c>
    </row>
    <row r="10" spans="2:103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20</v>
      </c>
      <c r="F10" s="39"/>
      <c r="G10" s="12" t="s">
        <v>15</v>
      </c>
      <c r="H10" s="36"/>
      <c r="I10" s="89"/>
      <c r="K10" s="112"/>
      <c r="L10" s="112"/>
      <c r="M10" s="184"/>
    </row>
    <row r="11" spans="2:103" customFormat="1" ht="13.5">
      <c r="B11" s="6"/>
      <c r="C11" s="6" t="s">
        <v>17</v>
      </c>
      <c r="D11" s="6"/>
      <c r="E11" s="84" t="s">
        <v>56</v>
      </c>
      <c r="F11" s="39"/>
      <c r="G11" s="12" t="s">
        <v>33</v>
      </c>
      <c r="H11" s="36"/>
      <c r="I11" s="89"/>
      <c r="K11" s="113" t="s">
        <v>62</v>
      </c>
      <c r="L11" s="114">
        <v>0.158</v>
      </c>
      <c r="M11" s="114">
        <v>0.11776428835036618</v>
      </c>
      <c r="P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34</v>
      </c>
      <c r="W11" t="s">
        <v>34</v>
      </c>
      <c r="X11" t="s">
        <v>34</v>
      </c>
      <c r="Y11" t="s">
        <v>34</v>
      </c>
      <c r="Z11" t="s">
        <v>34</v>
      </c>
      <c r="AA11" t="s">
        <v>34</v>
      </c>
      <c r="AB11" t="s">
        <v>34</v>
      </c>
      <c r="AC11" t="s">
        <v>34</v>
      </c>
      <c r="AD11" t="s">
        <v>34</v>
      </c>
      <c r="AE11" t="s">
        <v>34</v>
      </c>
      <c r="AF11" t="s">
        <v>34</v>
      </c>
      <c r="AG11" t="s">
        <v>34</v>
      </c>
      <c r="AH11" t="s">
        <v>34</v>
      </c>
      <c r="AI11" t="s">
        <v>34</v>
      </c>
      <c r="AK11" t="s">
        <v>34</v>
      </c>
      <c r="AL11" t="s">
        <v>34</v>
      </c>
      <c r="AM11" t="s">
        <v>34</v>
      </c>
      <c r="AN11" t="s">
        <v>34</v>
      </c>
      <c r="AO11" t="s">
        <v>34</v>
      </c>
      <c r="AP11" t="s">
        <v>34</v>
      </c>
      <c r="AQ11" t="s">
        <v>34</v>
      </c>
      <c r="AR11" t="s">
        <v>34</v>
      </c>
      <c r="AS11" t="s">
        <v>34</v>
      </c>
      <c r="AT11" t="s">
        <v>34</v>
      </c>
      <c r="AU11" t="s">
        <v>34</v>
      </c>
      <c r="AV11" t="s">
        <v>34</v>
      </c>
      <c r="AW11" t="s">
        <v>34</v>
      </c>
      <c r="AX11" t="s">
        <v>34</v>
      </c>
      <c r="AY11" t="s">
        <v>34</v>
      </c>
      <c r="AZ11" t="s">
        <v>34</v>
      </c>
      <c r="BA11" t="s">
        <v>34</v>
      </c>
      <c r="BB11" t="s">
        <v>34</v>
      </c>
      <c r="BC11" t="s">
        <v>34</v>
      </c>
      <c r="BD11" t="s">
        <v>34</v>
      </c>
      <c r="BF11" t="s">
        <v>97</v>
      </c>
      <c r="BG11" t="s">
        <v>97</v>
      </c>
      <c r="BH11" t="s">
        <v>97</v>
      </c>
      <c r="BI11" t="s">
        <v>97</v>
      </c>
      <c r="BK11" t="s">
        <v>97</v>
      </c>
      <c r="BL11" t="s">
        <v>97</v>
      </c>
      <c r="BM11" t="s">
        <v>97</v>
      </c>
      <c r="BN11" t="s">
        <v>97</v>
      </c>
      <c r="BP11" t="s">
        <v>97</v>
      </c>
      <c r="BQ11" t="s">
        <v>97</v>
      </c>
      <c r="BR11" t="s">
        <v>97</v>
      </c>
      <c r="BS11" t="s">
        <v>97</v>
      </c>
      <c r="BT11" t="s">
        <v>97</v>
      </c>
      <c r="BU11" t="s">
        <v>97</v>
      </c>
      <c r="BV11" t="s">
        <v>97</v>
      </c>
      <c r="BW11" t="s">
        <v>97</v>
      </c>
      <c r="BX11" t="s">
        <v>97</v>
      </c>
      <c r="BY11" t="s">
        <v>97</v>
      </c>
      <c r="CA11" t="s">
        <v>98</v>
      </c>
      <c r="CB11" t="s">
        <v>98</v>
      </c>
      <c r="CC11" t="s">
        <v>98</v>
      </c>
      <c r="CD11" t="s">
        <v>98</v>
      </c>
      <c r="CE11" t="s">
        <v>98</v>
      </c>
      <c r="CF11" t="s">
        <v>98</v>
      </c>
      <c r="CG11" t="s">
        <v>98</v>
      </c>
      <c r="CH11" t="s">
        <v>98</v>
      </c>
      <c r="CI11" t="s">
        <v>98</v>
      </c>
      <c r="CJ11" t="s">
        <v>98</v>
      </c>
      <c r="CK11" t="s">
        <v>98</v>
      </c>
      <c r="CL11" t="s">
        <v>98</v>
      </c>
      <c r="CM11" t="s">
        <v>98</v>
      </c>
      <c r="CN11" t="s">
        <v>98</v>
      </c>
      <c r="CO11" t="s">
        <v>98</v>
      </c>
      <c r="CP11" t="s">
        <v>98</v>
      </c>
      <c r="CQ11" t="s">
        <v>98</v>
      </c>
      <c r="CR11" t="s">
        <v>98</v>
      </c>
      <c r="CS11" t="s">
        <v>98</v>
      </c>
      <c r="CT11" t="s">
        <v>98</v>
      </c>
      <c r="CU11" t="s">
        <v>98</v>
      </c>
      <c r="CX11" t="s">
        <v>97</v>
      </c>
      <c r="CY11" t="s">
        <v>98</v>
      </c>
    </row>
    <row r="12" spans="2:103" customFormat="1">
      <c r="B12" s="188"/>
      <c r="C12" s="189"/>
      <c r="D12" s="188"/>
      <c r="E12" s="12"/>
      <c r="F12" s="12"/>
      <c r="G12" s="3"/>
      <c r="H12" s="36"/>
      <c r="I12" s="89"/>
      <c r="K12" s="113" t="s">
        <v>35</v>
      </c>
      <c r="L12" s="114">
        <v>0.37912293315598289</v>
      </c>
      <c r="M12" s="114">
        <v>0.53861399146353772</v>
      </c>
    </row>
    <row r="13" spans="2:103" customFormat="1">
      <c r="B13" s="15">
        <f>'Table 5'!J13</f>
        <v>2020</v>
      </c>
      <c r="C13" s="9">
        <f t="shared" ref="C13:C34" si="3">(INDEX($CU:$CU,MATCH(B13,$O:$O,0),1)+INDEX($CY:$CY,MATCH(B13,$O:$O,0),1))*1000/Study_MW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20.28557382230823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20.28557382230823</v>
      </c>
      <c r="H13" s="36"/>
      <c r="I13" s="193"/>
      <c r="J13" s="193"/>
      <c r="K13" s="113" t="s">
        <v>63</v>
      </c>
      <c r="L13" s="114">
        <v>0.59672377662708742</v>
      </c>
      <c r="M13" s="114">
        <v>0.64803174039612643</v>
      </c>
      <c r="O13">
        <f t="shared" ref="O13:O32" si="4">B13</f>
        <v>2020</v>
      </c>
      <c r="P13">
        <v>0</v>
      </c>
      <c r="Q13">
        <v>0</v>
      </c>
      <c r="R13">
        <v>0</v>
      </c>
      <c r="S13" s="193">
        <v>0</v>
      </c>
      <c r="T13" s="19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f t="shared" ref="AK13:AK33" si="5">P13/P$5</f>
        <v>0</v>
      </c>
      <c r="AL13">
        <f t="shared" ref="AL13:AL33" si="6">Q13/Q$5</f>
        <v>0</v>
      </c>
      <c r="AM13">
        <f t="shared" ref="AM13:AM33" si="7">R13/R$5</f>
        <v>0</v>
      </c>
      <c r="AN13">
        <f t="shared" ref="AN13:AO33" si="8">S13/S$5</f>
        <v>0</v>
      </c>
      <c r="AO13">
        <f t="shared" si="8"/>
        <v>0</v>
      </c>
      <c r="AP13">
        <f t="shared" ref="AP13:AP33" si="9">U13/U$5</f>
        <v>0</v>
      </c>
      <c r="AQ13">
        <f t="shared" ref="AQ13:AQ33" si="10">V13/V$5</f>
        <v>0</v>
      </c>
      <c r="AR13">
        <f t="shared" ref="AR13:AR33" si="11">W13/W$5</f>
        <v>0</v>
      </c>
      <c r="AS13">
        <f t="shared" ref="AS13:AT33" si="12">X13/X$5</f>
        <v>0</v>
      </c>
      <c r="AT13">
        <f t="shared" si="12"/>
        <v>0</v>
      </c>
      <c r="AU13">
        <f t="shared" ref="AU13:AU33" si="13">Z13/Z$5</f>
        <v>0</v>
      </c>
      <c r="AV13">
        <f t="shared" ref="AV13:AV33" si="14">AA13/AA$5</f>
        <v>0</v>
      </c>
      <c r="AW13">
        <f t="shared" ref="AW13:AW33" si="15">AB13/AB$5</f>
        <v>0</v>
      </c>
      <c r="AX13">
        <f t="shared" ref="AX13:AX33" si="16">AC13/AC$5</f>
        <v>0</v>
      </c>
      <c r="AY13">
        <f t="shared" ref="AY13:AY33" si="17">AD13/AD$5</f>
        <v>0</v>
      </c>
      <c r="AZ13">
        <f t="shared" ref="AZ13:AZ33" si="18">AE13/AE$5</f>
        <v>0</v>
      </c>
      <c r="BA13">
        <f t="shared" ref="BA13:BA33" si="19">AF13/AF$5</f>
        <v>0</v>
      </c>
      <c r="BB13">
        <f t="shared" ref="BB13:BB33" si="20">AG13/AG$5</f>
        <v>0</v>
      </c>
      <c r="BC13">
        <f t="shared" ref="BC13:BC33" si="21">AH13/AH$5</f>
        <v>0</v>
      </c>
      <c r="BD13">
        <f t="shared" ref="BD13:BD33" si="22">AI13/AI$5</f>
        <v>0</v>
      </c>
      <c r="BF13">
        <f>VLOOKUP($O13,'Table 3 EV2020 Wind_2020'!$B$10:$K$36,10,FALSE)</f>
        <v>-0.91</v>
      </c>
      <c r="BG13">
        <f>VLOOKUP($O13,'Table 3 EV2020 Wind_2021'!$B$10:$K$36,10,FALSE)</f>
        <v>38.85</v>
      </c>
      <c r="BH13">
        <f>VLOOKUP($O13,'Table 3 DJ Wind 2030'!$B$10:$J$36,9,FALSE)</f>
        <v>42.52</v>
      </c>
      <c r="BI13">
        <f>VLOOKUP($O13,'Table 3 ID Wind 2030'!$B$10:$J$36,9,FALSE)</f>
        <v>40.06</v>
      </c>
      <c r="BJ13">
        <f>VLOOKUP($O13,'Table 3 ID Wind 2033'!$B$10:$J$36,9,FALSE)</f>
        <v>40.06</v>
      </c>
      <c r="BK13">
        <f>VLOOKUP($O13,'Table 3 WW Wind 2035'!$B$10:$J$36,9,FALSE)</f>
        <v>40.06</v>
      </c>
      <c r="BL13">
        <f>VLOOKUP($O13,'Table 3 YK Wind 2035'!$B$10:$J$36,9,FALSE)</f>
        <v>40.06</v>
      </c>
      <c r="BM13">
        <f>VLOOKUP($O13,'Table 3 OR Wind 2035'!$B$10:$J$36,9,FALSE)</f>
        <v>40.06</v>
      </c>
      <c r="BN13">
        <f>VLOOKUP($O13,'Table 3 UT Wind 2030'!$B$10:$J$36,9,FALSE)</f>
        <v>40.06</v>
      </c>
      <c r="BO13">
        <f>VLOOKUP($O13,'Table 3 UT Wind 2036'!$B$10:$J$36,9,FALSE)</f>
        <v>40.06</v>
      </c>
      <c r="BP13">
        <f>VLOOKUP($O13,'Table 3 YK Solar 2030'!$B$10:$J$36,9,FALSE)</f>
        <v>19.98</v>
      </c>
      <c r="BQ13">
        <f>VLOOKUP($O13,'Table 3 YK Solar 2032'!$B$10:$J$36,9,FALSE)</f>
        <v>19.98</v>
      </c>
      <c r="BR13">
        <f>VLOOKUP($O13,'Table 3 YK Solar 2033'!$B$10:$J$36,9,FALSE)</f>
        <v>19.98</v>
      </c>
      <c r="BS13">
        <f>VLOOKUP($O13,'Table 3 UT Solar 2033 ST'!$B$10:$J$36,9,FALSE)</f>
        <v>20.99</v>
      </c>
      <c r="BT13">
        <f>VLOOKUP($O13,'Table 3 UT Solar 2035 ST'!$B$10:$J$36,9,FALSE)</f>
        <v>20.99</v>
      </c>
      <c r="BU13">
        <f>VLOOKUP($O13,'Table 3 UT Solar 2035 FT'!$B$10:$J$36,9,FALSE)</f>
        <v>19.96</v>
      </c>
      <c r="BV13">
        <f>VLOOKUP($O13,'Table 3 OR Solar 2030'!$B$10:$J$36,9,FALSE)</f>
        <v>21.02</v>
      </c>
      <c r="BW13">
        <f>VLOOKUP($O13,'Table 3 OR Solar 2031'!$B$10:$J$36,9,FALSE)</f>
        <v>21.02</v>
      </c>
      <c r="BX13">
        <f>VLOOKUP($O13,'Table 3 OR Solar 2032'!$B$10:$J$36,9,FALSE)</f>
        <v>21.02</v>
      </c>
      <c r="BY13">
        <f>VLOOKUP($O13,'Table 3 OR Solar 2033'!$B$10:$J$36,9,FALSE)</f>
        <v>21.02</v>
      </c>
      <c r="CA13">
        <f>SUM(AK$13:AK13)*BF13/1000</f>
        <v>0</v>
      </c>
      <c r="CB13">
        <f>SUM(AL$13:AL13)*BG13/1000</f>
        <v>0</v>
      </c>
      <c r="CC13">
        <f>SUM(AM$13:AM13)*BH13/1000</f>
        <v>0</v>
      </c>
      <c r="CD13">
        <f>SUM(AN$13:AN13)*BI13/1000</f>
        <v>0</v>
      </c>
      <c r="CE13">
        <f>SUM(AO$13:AO13)*BJ13/1000</f>
        <v>0</v>
      </c>
      <c r="CF13">
        <f>SUM(AP$13:AP13)*BK13/1000</f>
        <v>0</v>
      </c>
      <c r="CG13">
        <f>SUM(AQ$13:AQ13)*BL13/1000</f>
        <v>0</v>
      </c>
      <c r="CH13">
        <f>SUM(AR$13:AR13)*BM13/1000</f>
        <v>0</v>
      </c>
      <c r="CI13">
        <f>SUM(AS$13:AS13)*BN13/1000</f>
        <v>0</v>
      </c>
      <c r="CJ13">
        <f>SUM(AT$13:AT13)*BO13/1000</f>
        <v>0</v>
      </c>
      <c r="CK13">
        <f>SUM(AU$13:AU13)*BP13/1000</f>
        <v>0</v>
      </c>
      <c r="CL13">
        <f>SUM(AV$13:AV13)*BQ13/1000</f>
        <v>0</v>
      </c>
      <c r="CM13">
        <f>SUM(AW$13:AW13)*BR13/1000</f>
        <v>0</v>
      </c>
      <c r="CN13">
        <f>SUM(AX$13:AX13)*BS13/1000</f>
        <v>0</v>
      </c>
      <c r="CO13">
        <f>SUM(AY$13:AY13)*BT13/1000</f>
        <v>0</v>
      </c>
      <c r="CP13">
        <f>SUM(AZ$13:AZ13)*BU13/1000</f>
        <v>0</v>
      </c>
      <c r="CQ13">
        <f>SUM(BA$13:BA13)*BV13/1000</f>
        <v>0</v>
      </c>
      <c r="CR13">
        <f>SUM(BB$13:BB13)*BW13/1000</f>
        <v>0</v>
      </c>
      <c r="CS13">
        <f>SUM(BC$13:BC13)*BX13/1000</f>
        <v>0</v>
      </c>
      <c r="CT13">
        <f>SUM(BD$13:BD13)*BY13/1000</f>
        <v>0</v>
      </c>
      <c r="CU13">
        <f t="shared" ref="CU13:CU14" si="23">SUM(CA13:CT13)</f>
        <v>0</v>
      </c>
      <c r="CW13">
        <f t="shared" ref="CW13:CW33" si="24">O13</f>
        <v>2020</v>
      </c>
      <c r="CX13" s="89">
        <f>IFERROR(VLOOKUP($CW13,'Table 3 TransCost D2 '!$B$10:$E$34,4,FALSE),0)</f>
        <v>7.9249999999999998</v>
      </c>
      <c r="CY13" s="193">
        <f>$CX$5*CX13/1000</f>
        <v>0</v>
      </c>
    </row>
    <row r="14" spans="2:103" customFormat="1" hidden="1">
      <c r="B14" s="15">
        <f t="shared" ref="B14:B34" si="25">B13+1</f>
        <v>2021</v>
      </c>
      <c r="C14" s="9">
        <f t="shared" si="3"/>
        <v>0</v>
      </c>
      <c r="D14" s="45"/>
      <c r="E14" s="9" t="e">
        <f t="shared" ref="E14:E32" ca="1" si="26">SUMIF(INDIRECT("'Table 5'!$J$"&amp;$K$3&amp;":$J$"&amp;$K$4),B14,INDIRECT("'Table 5'!$c$"&amp;$K$3&amp;":$c$"&amp;$K$4))/SUMIF(INDIRECT("'Table 5'!$J$"&amp;$K$3&amp;":$J$"&amp;$K$4),B14,INDIRECT("'Table 5'!$f$"&amp;$K$3&amp;":$f$"&amp;$K$4))</f>
        <v>#DIV/0!</v>
      </c>
      <c r="F14" s="37"/>
      <c r="G14" s="14" t="e">
        <f ca="1">SUMIF(INDIRECT("'Table 5'!$J$"&amp;$K$3&amp;":$J$"&amp;$K$4),B14,INDIRECT("'Table 5'!$e$"&amp;$K$3&amp;":$e$"&amp;$K$4))/SUMIF(INDIRECT("'Table 5'!$J$"&amp;$K$3&amp;":$J$"&amp;$K$4),B14,INDIRECT("'Table 5'!$f$"&amp;$K$3&amp;":$f$"&amp;$K$4))</f>
        <v>#DIV/0!</v>
      </c>
      <c r="H14" s="36"/>
      <c r="I14" s="193"/>
      <c r="J14" s="193"/>
      <c r="K14" s="113" t="s">
        <v>64</v>
      </c>
      <c r="L14" s="114">
        <v>1</v>
      </c>
      <c r="M14" s="114">
        <v>1</v>
      </c>
      <c r="O14">
        <f t="shared" si="4"/>
        <v>2021</v>
      </c>
      <c r="P14">
        <v>0</v>
      </c>
      <c r="Q14">
        <v>0</v>
      </c>
      <c r="R14">
        <v>0</v>
      </c>
      <c r="S14" s="193">
        <v>0</v>
      </c>
      <c r="T14" s="193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f t="shared" si="5"/>
        <v>0</v>
      </c>
      <c r="AL14">
        <f t="shared" si="6"/>
        <v>0</v>
      </c>
      <c r="AM14">
        <f t="shared" si="7"/>
        <v>0</v>
      </c>
      <c r="AN14">
        <f t="shared" si="8"/>
        <v>0</v>
      </c>
      <c r="AO14">
        <f t="shared" si="8"/>
        <v>0</v>
      </c>
      <c r="AP14">
        <f t="shared" si="9"/>
        <v>0</v>
      </c>
      <c r="AQ14">
        <f t="shared" si="10"/>
        <v>0</v>
      </c>
      <c r="AR14">
        <f t="shared" si="11"/>
        <v>0</v>
      </c>
      <c r="AS14">
        <f t="shared" si="12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  <c r="BA14">
        <f t="shared" si="19"/>
        <v>0</v>
      </c>
      <c r="BB14">
        <f t="shared" si="20"/>
        <v>0</v>
      </c>
      <c r="BC14">
        <f t="shared" si="21"/>
        <v>0</v>
      </c>
      <c r="BD14">
        <f t="shared" si="22"/>
        <v>0</v>
      </c>
      <c r="BF14">
        <f>VLOOKUP($O14,'Table 3 EV2020 Wind_2020'!$B$10:$K$36,10,FALSE)</f>
        <v>-7.39</v>
      </c>
      <c r="BG14">
        <f>VLOOKUP($O14,'Table 3 EV2020 Wind_2021'!$B$10:$K$36,10,FALSE)</f>
        <v>-9.2899999999999991</v>
      </c>
      <c r="BH14">
        <f>VLOOKUP($O14,'Table 3 DJ Wind 2030'!$B$10:$J$36,9,FALSE)</f>
        <v>43.55</v>
      </c>
      <c r="BI14">
        <f>VLOOKUP($O14,'Table 3 ID Wind 2030'!$B$10:$J$36,9,FALSE)</f>
        <v>41.02</v>
      </c>
      <c r="BJ14">
        <f>VLOOKUP($O14,'Table 3 ID Wind 2033'!$B$10:$J$36,9,FALSE)</f>
        <v>41.02</v>
      </c>
      <c r="BK14">
        <f>VLOOKUP($O14,'Table 3 WW Wind 2035'!$B$10:$J$36,9,FALSE)</f>
        <v>41.02</v>
      </c>
      <c r="BL14">
        <f>VLOOKUP($O14,'Table 3 YK Wind 2035'!$B$10:$J$36,9,FALSE)</f>
        <v>41.02</v>
      </c>
      <c r="BM14">
        <f>VLOOKUP($O14,'Table 3 OR Wind 2035'!$B$10:$J$36,9,FALSE)</f>
        <v>41.02</v>
      </c>
      <c r="BN14">
        <f>VLOOKUP($O14,'Table 3 UT Wind 2030'!$B$10:$J$36,9,FALSE)</f>
        <v>41.02</v>
      </c>
      <c r="BO14">
        <f>VLOOKUP($O14,'Table 3 UT Wind 2036'!$B$10:$J$36,9,FALSE)</f>
        <v>41.02</v>
      </c>
      <c r="BP14">
        <f>VLOOKUP($O14,'Table 3 YK Solar 2030'!$B$10:$J$36,9,FALSE)</f>
        <v>20.46</v>
      </c>
      <c r="BQ14">
        <f>VLOOKUP($O14,'Table 3 YK Solar 2032'!$B$10:$J$36,9,FALSE)</f>
        <v>20.46</v>
      </c>
      <c r="BR14">
        <f>VLOOKUP($O14,'Table 3 YK Solar 2033'!$B$10:$J$36,9,FALSE)</f>
        <v>20.46</v>
      </c>
      <c r="BS14">
        <f>VLOOKUP($O14,'Table 3 UT Solar 2033 ST'!$B$10:$J$36,9,FALSE)</f>
        <v>21.49</v>
      </c>
      <c r="BT14">
        <f>VLOOKUP($O14,'Table 3 UT Solar 2035 ST'!$B$10:$J$36,9,FALSE)</f>
        <v>21.49</v>
      </c>
      <c r="BU14">
        <f>VLOOKUP($O14,'Table 3 UT Solar 2035 FT'!$B$10:$J$36,9,FALSE)</f>
        <v>20.440000000000001</v>
      </c>
      <c r="BV14">
        <f>VLOOKUP($O14,'Table 3 OR Solar 2030'!$B$10:$J$36,9,FALSE)</f>
        <v>21.52</v>
      </c>
      <c r="BW14">
        <f>VLOOKUP($O14,'Table 3 OR Solar 2031'!$B$10:$J$36,9,FALSE)</f>
        <v>21.52</v>
      </c>
      <c r="BX14">
        <f>VLOOKUP($O14,'Table 3 OR Solar 2032'!$B$10:$J$36,9,FALSE)</f>
        <v>21.52</v>
      </c>
      <c r="BY14">
        <f>VLOOKUP($O14,'Table 3 OR Solar 2033'!$B$10:$J$36,9,FALSE)</f>
        <v>21.52</v>
      </c>
      <c r="CA14">
        <f>SUM(AK$13:AK14)*BF14/1000</f>
        <v>0</v>
      </c>
      <c r="CB14">
        <f>SUM(AL$13:AL14)*BG14/1000</f>
        <v>0</v>
      </c>
      <c r="CC14">
        <f>SUM(AM$13:AM14)*BH14/1000</f>
        <v>0</v>
      </c>
      <c r="CD14">
        <f>SUM(AN$13:AN14)*BI14/1000</f>
        <v>0</v>
      </c>
      <c r="CE14">
        <f>SUM(AO$13:AO14)*BJ14/1000</f>
        <v>0</v>
      </c>
      <c r="CF14">
        <f>SUM(AP$13:AP14)*BK14/1000</f>
        <v>0</v>
      </c>
      <c r="CG14">
        <f>SUM(AQ$13:AQ14)*BL14/1000</f>
        <v>0</v>
      </c>
      <c r="CH14">
        <f>SUM(AR$13:AR14)*BM14/1000</f>
        <v>0</v>
      </c>
      <c r="CI14">
        <f>SUM(AS$13:AS14)*BN14/1000</f>
        <v>0</v>
      </c>
      <c r="CJ14">
        <f>SUM(AT$13:AT14)*BO14/1000</f>
        <v>0</v>
      </c>
      <c r="CK14">
        <f>SUM(AU$13:AU14)*BP14/1000</f>
        <v>0</v>
      </c>
      <c r="CL14">
        <f>SUM(AV$13:AV14)*BQ14/1000</f>
        <v>0</v>
      </c>
      <c r="CM14">
        <f>SUM(AW$13:AW14)*BR14/1000</f>
        <v>0</v>
      </c>
      <c r="CN14">
        <f>SUM(AX$13:AX14)*BS14/1000</f>
        <v>0</v>
      </c>
      <c r="CO14">
        <f>SUM(AY$13:AY14)*BT14/1000</f>
        <v>0</v>
      </c>
      <c r="CP14">
        <f>SUM(AZ$13:AZ14)*BU14/1000</f>
        <v>0</v>
      </c>
      <c r="CQ14">
        <f>SUM(BA$13:BA14)*BV14/1000</f>
        <v>0</v>
      </c>
      <c r="CR14">
        <f>SUM(BB$13:BB14)*BW14/1000</f>
        <v>0</v>
      </c>
      <c r="CS14">
        <f>SUM(BC$13:BC14)*BX14/1000</f>
        <v>0</v>
      </c>
      <c r="CT14">
        <f>SUM(BD$13:BD14)*BY14/1000</f>
        <v>0</v>
      </c>
      <c r="CU14">
        <f t="shared" si="23"/>
        <v>0</v>
      </c>
      <c r="CW14">
        <f t="shared" si="24"/>
        <v>2021</v>
      </c>
      <c r="CX14" s="89">
        <f>IFERROR(VLOOKUP($CW14,'Table 3 TransCost D2 '!$B$10:$E$34,4,FALSE),0)</f>
        <v>48.5910167356733</v>
      </c>
      <c r="CY14" s="193">
        <f t="shared" ref="CY14:CY33" si="27">$CX$5*CX14/1000</f>
        <v>0</v>
      </c>
    </row>
    <row r="15" spans="2:103" customFormat="1" hidden="1">
      <c r="B15" s="15">
        <f t="shared" si="25"/>
        <v>2022</v>
      </c>
      <c r="C15" s="9">
        <f t="shared" si="3"/>
        <v>0</v>
      </c>
      <c r="D15" s="45"/>
      <c r="E15" s="9" t="e">
        <f t="shared" ca="1" si="26"/>
        <v>#DIV/0!</v>
      </c>
      <c r="F15" s="37"/>
      <c r="G15" s="14" t="e">
        <f t="shared" ref="G15:G32" ca="1" si="28">SUMIF(INDIRECT("'Table 5'!$J$"&amp;$K$3&amp;":$J$"&amp;$K$4),B15,INDIRECT("'Table 5'!$e$"&amp;$K$3&amp;":$e$"&amp;$K$4))/SUMIF(INDIRECT("'Table 5'!$J$"&amp;$K$3&amp;":$J$"&amp;$K$4),B15,INDIRECT("'Table 5'!$f$"&amp;$K$3&amp;":$f$"&amp;$K$4))</f>
        <v>#DIV/0!</v>
      </c>
      <c r="H15" s="36"/>
      <c r="I15" s="193"/>
      <c r="J15" s="193"/>
      <c r="K15" s="113" t="s">
        <v>65</v>
      </c>
      <c r="L15" s="114">
        <v>1</v>
      </c>
      <c r="M15" s="114">
        <v>1</v>
      </c>
      <c r="O15">
        <f t="shared" si="4"/>
        <v>2022</v>
      </c>
      <c r="P15">
        <v>0</v>
      </c>
      <c r="Q15">
        <v>0</v>
      </c>
      <c r="R15">
        <v>0</v>
      </c>
      <c r="S15" s="193">
        <v>0</v>
      </c>
      <c r="T15" s="193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f t="shared" si="5"/>
        <v>0</v>
      </c>
      <c r="AL15">
        <f t="shared" si="6"/>
        <v>0</v>
      </c>
      <c r="AM15">
        <f t="shared" si="7"/>
        <v>0</v>
      </c>
      <c r="AN15">
        <f t="shared" si="8"/>
        <v>0</v>
      </c>
      <c r="AO15">
        <f t="shared" si="8"/>
        <v>0</v>
      </c>
      <c r="AP15">
        <f t="shared" si="9"/>
        <v>0</v>
      </c>
      <c r="AQ15">
        <f t="shared" si="10"/>
        <v>0</v>
      </c>
      <c r="AR15">
        <f t="shared" si="11"/>
        <v>0</v>
      </c>
      <c r="AS15">
        <f t="shared" si="12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  <c r="BA15">
        <f t="shared" si="19"/>
        <v>0</v>
      </c>
      <c r="BB15">
        <f t="shared" si="20"/>
        <v>0</v>
      </c>
      <c r="BC15">
        <f t="shared" si="21"/>
        <v>0</v>
      </c>
      <c r="BD15">
        <f t="shared" si="22"/>
        <v>0</v>
      </c>
      <c r="BF15">
        <f>VLOOKUP($O15,'Table 3 EV2020 Wind_2020'!$B$10:$K$36,10,FALSE)</f>
        <v>-4.75</v>
      </c>
      <c r="BG15">
        <f>VLOOKUP($O15,'Table 3 EV2020 Wind_2021'!$B$10:$K$36,10,FALSE)</f>
        <v>-6.7</v>
      </c>
      <c r="BH15">
        <f>VLOOKUP($O15,'Table 3 DJ Wind 2030'!$B$10:$J$36,9,FALSE)</f>
        <v>44.6</v>
      </c>
      <c r="BI15">
        <f>VLOOKUP($O15,'Table 3 ID Wind 2030'!$B$10:$J$36,9,FALSE)</f>
        <v>42</v>
      </c>
      <c r="BJ15">
        <f>VLOOKUP($O15,'Table 3 ID Wind 2033'!$B$10:$J$36,9,FALSE)</f>
        <v>42</v>
      </c>
      <c r="BK15">
        <f>VLOOKUP($O15,'Table 3 WW Wind 2035'!$B$10:$J$36,9,FALSE)</f>
        <v>42</v>
      </c>
      <c r="BL15">
        <f>VLOOKUP($O15,'Table 3 YK Wind 2035'!$B$10:$J$36,9,FALSE)</f>
        <v>42</v>
      </c>
      <c r="BM15">
        <f>VLOOKUP($O15,'Table 3 OR Wind 2035'!$B$10:$J$36,9,FALSE)</f>
        <v>42</v>
      </c>
      <c r="BN15">
        <f>VLOOKUP($O15,'Table 3 UT Wind 2030'!$B$10:$J$36,9,FALSE)</f>
        <v>42</v>
      </c>
      <c r="BO15">
        <f>VLOOKUP($O15,'Table 3 UT Wind 2036'!$B$10:$J$36,9,FALSE)</f>
        <v>42</v>
      </c>
      <c r="BP15">
        <f>VLOOKUP($O15,'Table 3 YK Solar 2030'!$B$10:$J$36,9,FALSE)</f>
        <v>20.95</v>
      </c>
      <c r="BQ15">
        <f>VLOOKUP($O15,'Table 3 YK Solar 2032'!$B$10:$J$36,9,FALSE)</f>
        <v>20.95</v>
      </c>
      <c r="BR15">
        <f>VLOOKUP($O15,'Table 3 YK Solar 2033'!$B$10:$J$36,9,FALSE)</f>
        <v>20.95</v>
      </c>
      <c r="BS15">
        <f>VLOOKUP($O15,'Table 3 UT Solar 2033 ST'!$B$10:$J$36,9,FALSE)</f>
        <v>22.01</v>
      </c>
      <c r="BT15">
        <f>VLOOKUP($O15,'Table 3 UT Solar 2035 ST'!$B$10:$J$36,9,FALSE)</f>
        <v>22.01</v>
      </c>
      <c r="BU15">
        <f>VLOOKUP($O15,'Table 3 UT Solar 2035 FT'!$B$10:$J$36,9,FALSE)</f>
        <v>20.93</v>
      </c>
      <c r="BV15">
        <f>VLOOKUP($O15,'Table 3 OR Solar 2030'!$B$10:$J$36,9,FALSE)</f>
        <v>22.04</v>
      </c>
      <c r="BW15">
        <f>VLOOKUP($O15,'Table 3 OR Solar 2031'!$B$10:$J$36,9,FALSE)</f>
        <v>22.04</v>
      </c>
      <c r="BX15">
        <f>VLOOKUP($O15,'Table 3 OR Solar 2032'!$B$10:$J$36,9,FALSE)</f>
        <v>22.04</v>
      </c>
      <c r="BY15">
        <f>VLOOKUP($O15,'Table 3 OR Solar 2033'!$B$10:$J$36,9,FALSE)</f>
        <v>22.04</v>
      </c>
      <c r="CA15">
        <f>SUM(AK$13:AK15)*BF15/1000</f>
        <v>0</v>
      </c>
      <c r="CB15">
        <f>SUM(AL$13:AL15)*BG15/1000</f>
        <v>0</v>
      </c>
      <c r="CC15">
        <f>SUM(AM$13:AM15)*BH15/1000</f>
        <v>0</v>
      </c>
      <c r="CD15">
        <f>SUM(AN$13:AN15)*BI15/1000</f>
        <v>0</v>
      </c>
      <c r="CE15">
        <f>SUM(AO$13:AO15)*BJ15/1000</f>
        <v>0</v>
      </c>
      <c r="CF15">
        <f>SUM(AP$13:AP15)*BK15/1000</f>
        <v>0</v>
      </c>
      <c r="CG15">
        <f>SUM(AQ$13:AQ15)*BL15/1000</f>
        <v>0</v>
      </c>
      <c r="CH15">
        <f>SUM(AR$13:AR15)*BM15/1000</f>
        <v>0</v>
      </c>
      <c r="CI15">
        <f>SUM(AS$13:AS15)*BN15/1000</f>
        <v>0</v>
      </c>
      <c r="CJ15">
        <f>SUM(AT$13:AT15)*BO15/1000</f>
        <v>0</v>
      </c>
      <c r="CK15">
        <f>SUM(AU$13:AU15)*BP15/1000</f>
        <v>0</v>
      </c>
      <c r="CL15">
        <f>SUM(AV$13:AV15)*BQ15/1000</f>
        <v>0</v>
      </c>
      <c r="CM15">
        <f>SUM(AW$13:AW15)*BR15/1000</f>
        <v>0</v>
      </c>
      <c r="CN15">
        <f>SUM(AX$13:AX15)*BS15/1000</f>
        <v>0</v>
      </c>
      <c r="CO15">
        <f>SUM(AY$13:AY15)*BT15/1000</f>
        <v>0</v>
      </c>
      <c r="CP15">
        <f>SUM(AZ$13:AZ15)*BU15/1000</f>
        <v>0</v>
      </c>
      <c r="CQ15">
        <f>SUM(BA$13:BA15)*BV15/1000</f>
        <v>0</v>
      </c>
      <c r="CR15">
        <f>SUM(BB$13:BB15)*BW15/1000</f>
        <v>0</v>
      </c>
      <c r="CS15">
        <f>SUM(BC$13:BC15)*BX15/1000</f>
        <v>0</v>
      </c>
      <c r="CT15">
        <f>SUM(BD$13:BD15)*BY15/1000</f>
        <v>0</v>
      </c>
      <c r="CU15">
        <f>SUM(CA15:CT15)</f>
        <v>0</v>
      </c>
      <c r="CW15">
        <f t="shared" si="24"/>
        <v>2022</v>
      </c>
      <c r="CX15" s="89">
        <f>IFERROR(VLOOKUP($CW15,'Table 3 TransCost D2 '!$B$10:$E$34,4,FALSE),0)</f>
        <v>49.76</v>
      </c>
      <c r="CY15" s="193">
        <f t="shared" si="27"/>
        <v>0</v>
      </c>
    </row>
    <row r="16" spans="2:103" customFormat="1" hidden="1">
      <c r="B16" s="15">
        <f t="shared" si="25"/>
        <v>2023</v>
      </c>
      <c r="C16" s="9">
        <f t="shared" si="3"/>
        <v>0</v>
      </c>
      <c r="D16" s="45"/>
      <c r="E16" s="9" t="e">
        <f t="shared" ca="1" si="26"/>
        <v>#DIV/0!</v>
      </c>
      <c r="F16" s="37"/>
      <c r="G16" s="14" t="e">
        <f t="shared" ca="1" si="28"/>
        <v>#DIV/0!</v>
      </c>
      <c r="H16" s="36"/>
      <c r="I16" s="193"/>
      <c r="J16" s="193"/>
      <c r="M16" s="115"/>
      <c r="O16">
        <f t="shared" si="4"/>
        <v>2023</v>
      </c>
      <c r="P16">
        <v>0</v>
      </c>
      <c r="Q16">
        <v>0</v>
      </c>
      <c r="R16">
        <v>0</v>
      </c>
      <c r="S16" s="193">
        <v>0</v>
      </c>
      <c r="T16" s="193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f t="shared" si="5"/>
        <v>0</v>
      </c>
      <c r="AL16">
        <f t="shared" si="6"/>
        <v>0</v>
      </c>
      <c r="AM16">
        <f t="shared" si="7"/>
        <v>0</v>
      </c>
      <c r="AN16">
        <f t="shared" si="8"/>
        <v>0</v>
      </c>
      <c r="AO16">
        <f t="shared" si="8"/>
        <v>0</v>
      </c>
      <c r="AP16">
        <f t="shared" si="9"/>
        <v>0</v>
      </c>
      <c r="AQ16">
        <f t="shared" si="10"/>
        <v>0</v>
      </c>
      <c r="AR16">
        <f t="shared" si="11"/>
        <v>0</v>
      </c>
      <c r="AS16">
        <f t="shared" si="12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  <c r="BA16">
        <f t="shared" si="19"/>
        <v>0</v>
      </c>
      <c r="BB16">
        <f t="shared" si="20"/>
        <v>0</v>
      </c>
      <c r="BC16">
        <f t="shared" si="21"/>
        <v>0</v>
      </c>
      <c r="BD16">
        <f t="shared" si="22"/>
        <v>0</v>
      </c>
      <c r="BF16">
        <f>VLOOKUP($O16,'Table 3 EV2020 Wind_2020'!$B$10:$K$36,10,FALSE)</f>
        <v>-6.53</v>
      </c>
      <c r="BG16">
        <f>VLOOKUP($O16,'Table 3 EV2020 Wind_2021'!$B$10:$K$36,10,FALSE)</f>
        <v>-8.5299999999999994</v>
      </c>
      <c r="BH16">
        <f>VLOOKUP($O16,'Table 3 DJ Wind 2030'!$B$10:$J$36,9,FALSE)</f>
        <v>45.69</v>
      </c>
      <c r="BI16">
        <f>VLOOKUP($O16,'Table 3 ID Wind 2030'!$B$10:$J$36,9,FALSE)</f>
        <v>43.01</v>
      </c>
      <c r="BJ16">
        <f>VLOOKUP($O16,'Table 3 ID Wind 2033'!$B$10:$J$36,9,FALSE)</f>
        <v>43.01</v>
      </c>
      <c r="BK16">
        <f>VLOOKUP($O16,'Table 3 WW Wind 2035'!$B$10:$J$36,9,FALSE)</f>
        <v>43.01</v>
      </c>
      <c r="BL16">
        <f>VLOOKUP($O16,'Table 3 YK Wind 2035'!$B$10:$J$36,9,FALSE)</f>
        <v>43.01</v>
      </c>
      <c r="BM16">
        <f>VLOOKUP($O16,'Table 3 OR Wind 2035'!$B$10:$J$36,9,FALSE)</f>
        <v>43.01</v>
      </c>
      <c r="BN16">
        <f>VLOOKUP($O16,'Table 3 UT Wind 2030'!$B$10:$J$36,9,FALSE)</f>
        <v>43.01</v>
      </c>
      <c r="BO16">
        <f>VLOOKUP($O16,'Table 3 UT Wind 2036'!$B$10:$J$36,9,FALSE)</f>
        <v>43.01</v>
      </c>
      <c r="BP16">
        <f>VLOOKUP($O16,'Table 3 YK Solar 2030'!$B$10:$J$36,9,FALSE)</f>
        <v>21.45</v>
      </c>
      <c r="BQ16">
        <f>VLOOKUP($O16,'Table 3 YK Solar 2032'!$B$10:$J$36,9,FALSE)</f>
        <v>21.45</v>
      </c>
      <c r="BR16">
        <f>VLOOKUP($O16,'Table 3 YK Solar 2033'!$B$10:$J$36,9,FALSE)</f>
        <v>21.45</v>
      </c>
      <c r="BS16">
        <f>VLOOKUP($O16,'Table 3 UT Solar 2033 ST'!$B$10:$J$36,9,FALSE)</f>
        <v>22.54</v>
      </c>
      <c r="BT16">
        <f>VLOOKUP($O16,'Table 3 UT Solar 2035 ST'!$B$10:$J$36,9,FALSE)</f>
        <v>22.54</v>
      </c>
      <c r="BU16">
        <f>VLOOKUP($O16,'Table 3 UT Solar 2035 FT'!$B$10:$J$36,9,FALSE)</f>
        <v>21.43</v>
      </c>
      <c r="BV16">
        <f>VLOOKUP($O16,'Table 3 OR Solar 2030'!$B$10:$J$36,9,FALSE)</f>
        <v>22.57</v>
      </c>
      <c r="BW16">
        <f>VLOOKUP($O16,'Table 3 OR Solar 2031'!$B$10:$J$36,9,FALSE)</f>
        <v>22.57</v>
      </c>
      <c r="BX16">
        <f>VLOOKUP($O16,'Table 3 OR Solar 2032'!$B$10:$J$36,9,FALSE)</f>
        <v>22.57</v>
      </c>
      <c r="BY16">
        <f>VLOOKUP($O16,'Table 3 OR Solar 2033'!$B$10:$J$36,9,FALSE)</f>
        <v>22.57</v>
      </c>
      <c r="CA16">
        <f>SUM(AK$13:AK16)*BF16/1000</f>
        <v>0</v>
      </c>
      <c r="CB16">
        <f>SUM(AL$13:AL16)*BG16/1000</f>
        <v>0</v>
      </c>
      <c r="CC16">
        <f>SUM(AM$13:AM16)*BH16/1000</f>
        <v>0</v>
      </c>
      <c r="CD16">
        <f>SUM(AN$13:AN16)*BI16/1000</f>
        <v>0</v>
      </c>
      <c r="CE16">
        <f>SUM(AO$13:AO16)*BJ16/1000</f>
        <v>0</v>
      </c>
      <c r="CF16">
        <f>SUM(AP$13:AP16)*BK16/1000</f>
        <v>0</v>
      </c>
      <c r="CG16">
        <f>SUM(AQ$13:AQ16)*BL16/1000</f>
        <v>0</v>
      </c>
      <c r="CH16">
        <f>SUM(AR$13:AR16)*BM16/1000</f>
        <v>0</v>
      </c>
      <c r="CI16">
        <f>SUM(AS$13:AS16)*BN16/1000</f>
        <v>0</v>
      </c>
      <c r="CJ16">
        <f>SUM(AT$13:AT16)*BO16/1000</f>
        <v>0</v>
      </c>
      <c r="CK16">
        <f>SUM(AU$13:AU16)*BP16/1000</f>
        <v>0</v>
      </c>
      <c r="CL16">
        <f>SUM(AV$13:AV16)*BQ16/1000</f>
        <v>0</v>
      </c>
      <c r="CM16">
        <f>SUM(AW$13:AW16)*BR16/1000</f>
        <v>0</v>
      </c>
      <c r="CN16">
        <f>SUM(AX$13:AX16)*BS16/1000</f>
        <v>0</v>
      </c>
      <c r="CO16">
        <f>SUM(AY$13:AY16)*BT16/1000</f>
        <v>0</v>
      </c>
      <c r="CP16">
        <f>SUM(AZ$13:AZ16)*BU16/1000</f>
        <v>0</v>
      </c>
      <c r="CQ16">
        <f>SUM(BA$13:BA16)*BV16/1000</f>
        <v>0</v>
      </c>
      <c r="CR16">
        <f>SUM(BB$13:BB16)*BW16/1000</f>
        <v>0</v>
      </c>
      <c r="CS16">
        <f>SUM(BC$13:BC16)*BX16/1000</f>
        <v>0</v>
      </c>
      <c r="CT16">
        <f>SUM(BD$13:BD16)*BY16/1000</f>
        <v>0</v>
      </c>
      <c r="CU16">
        <f t="shared" ref="CU16:CU32" si="29">SUM(CA16:CT16)</f>
        <v>0</v>
      </c>
      <c r="CW16">
        <f t="shared" si="24"/>
        <v>2023</v>
      </c>
      <c r="CX16" s="89">
        <f>IFERROR(VLOOKUP($CW16,'Table 3 TransCost D2 '!$B$10:$E$34,4,FALSE),0)</f>
        <v>50.95000000000001</v>
      </c>
      <c r="CY16" s="193">
        <f t="shared" si="27"/>
        <v>0</v>
      </c>
    </row>
    <row r="17" spans="2:103" hidden="1">
      <c r="B17" s="15">
        <f t="shared" si="25"/>
        <v>2024</v>
      </c>
      <c r="C17" s="9">
        <f t="shared" si="3"/>
        <v>0</v>
      </c>
      <c r="D17" s="45"/>
      <c r="E17" s="9" t="e">
        <f t="shared" ca="1" si="26"/>
        <v>#DIV/0!</v>
      </c>
      <c r="F17" s="37"/>
      <c r="G17" s="14" t="e">
        <f t="shared" ca="1" si="28"/>
        <v>#DIV/0!</v>
      </c>
      <c r="H17" s="36"/>
      <c r="I17" s="193"/>
      <c r="J17" s="193"/>
      <c r="M17" s="116"/>
      <c r="O17">
        <f t="shared" si="4"/>
        <v>2024</v>
      </c>
      <c r="P17">
        <v>0</v>
      </c>
      <c r="Q17">
        <v>0</v>
      </c>
      <c r="R17">
        <v>0</v>
      </c>
      <c r="S17" s="193">
        <v>0</v>
      </c>
      <c r="T17" s="193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f t="shared" si="5"/>
        <v>0</v>
      </c>
      <c r="AL17">
        <f t="shared" si="6"/>
        <v>0</v>
      </c>
      <c r="AM17">
        <f t="shared" si="7"/>
        <v>0</v>
      </c>
      <c r="AN17">
        <f t="shared" si="8"/>
        <v>0</v>
      </c>
      <c r="AO17">
        <f t="shared" si="8"/>
        <v>0</v>
      </c>
      <c r="AP17">
        <f t="shared" si="9"/>
        <v>0</v>
      </c>
      <c r="AQ17">
        <f t="shared" si="10"/>
        <v>0</v>
      </c>
      <c r="AR17">
        <f t="shared" si="11"/>
        <v>0</v>
      </c>
      <c r="AS17">
        <f t="shared" si="12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  <c r="BA17">
        <f t="shared" si="19"/>
        <v>0</v>
      </c>
      <c r="BB17">
        <f t="shared" si="20"/>
        <v>0</v>
      </c>
      <c r="BC17">
        <f t="shared" si="21"/>
        <v>0</v>
      </c>
      <c r="BD17">
        <f t="shared" si="22"/>
        <v>0</v>
      </c>
      <c r="BF17">
        <f>VLOOKUP($O17,'Table 3 EV2020 Wind_2020'!$B$10:$K$36,10,FALSE)</f>
        <v>-3.78</v>
      </c>
      <c r="BG17">
        <f>VLOOKUP($O17,'Table 3 EV2020 Wind_2021'!$B$10:$K$36,10,FALSE)</f>
        <v>-5.83</v>
      </c>
      <c r="BH17">
        <f>VLOOKUP($O17,'Table 3 DJ Wind 2030'!$B$10:$J$36,9,FALSE)</f>
        <v>46.79</v>
      </c>
      <c r="BI17">
        <f>VLOOKUP($O17,'Table 3 ID Wind 2030'!$B$10:$J$36,9,FALSE)</f>
        <v>44.04</v>
      </c>
      <c r="BJ17">
        <f>VLOOKUP($O17,'Table 3 ID Wind 2033'!$B$10:$J$36,9,FALSE)</f>
        <v>44.04</v>
      </c>
      <c r="BK17">
        <f>VLOOKUP($O17,'Table 3 WW Wind 2035'!$B$10:$J$36,9,FALSE)</f>
        <v>44.04</v>
      </c>
      <c r="BL17">
        <f>VLOOKUP($O17,'Table 3 YK Wind 2035'!$B$10:$J$36,9,FALSE)</f>
        <v>44.04</v>
      </c>
      <c r="BM17">
        <f>VLOOKUP($O17,'Table 3 OR Wind 2035'!$B$10:$J$36,9,FALSE)</f>
        <v>44.04</v>
      </c>
      <c r="BN17">
        <f>VLOOKUP($O17,'Table 3 UT Wind 2030'!$B$10:$J$36,9,FALSE)</f>
        <v>44.04</v>
      </c>
      <c r="BO17">
        <f>VLOOKUP($O17,'Table 3 UT Wind 2036'!$B$10:$J$36,9,FALSE)</f>
        <v>44.04</v>
      </c>
      <c r="BP17">
        <f>VLOOKUP($O17,'Table 3 YK Solar 2030'!$B$10:$J$36,9,FALSE)</f>
        <v>21.96</v>
      </c>
      <c r="BQ17">
        <f>VLOOKUP($O17,'Table 3 YK Solar 2032'!$B$10:$J$36,9,FALSE)</f>
        <v>21.96</v>
      </c>
      <c r="BR17">
        <f>VLOOKUP($O17,'Table 3 YK Solar 2033'!$B$10:$J$36,9,FALSE)</f>
        <v>21.96</v>
      </c>
      <c r="BS17">
        <f>VLOOKUP($O17,'Table 3 UT Solar 2033 ST'!$B$10:$J$36,9,FALSE)</f>
        <v>23.08</v>
      </c>
      <c r="BT17">
        <f>VLOOKUP($O17,'Table 3 UT Solar 2035 ST'!$B$10:$J$36,9,FALSE)</f>
        <v>23.08</v>
      </c>
      <c r="BU17">
        <f>VLOOKUP($O17,'Table 3 UT Solar 2035 FT'!$B$10:$J$36,9,FALSE)</f>
        <v>21.94</v>
      </c>
      <c r="BV17">
        <f>VLOOKUP($O17,'Table 3 OR Solar 2030'!$B$10:$J$36,9,FALSE)</f>
        <v>23.11</v>
      </c>
      <c r="BW17">
        <f>VLOOKUP($O17,'Table 3 OR Solar 2031'!$B$10:$J$36,9,FALSE)</f>
        <v>23.11</v>
      </c>
      <c r="BX17">
        <f>VLOOKUP($O17,'Table 3 OR Solar 2032'!$B$10:$J$36,9,FALSE)</f>
        <v>23.11</v>
      </c>
      <c r="BY17">
        <f>VLOOKUP($O17,'Table 3 OR Solar 2033'!$B$10:$J$36,9,FALSE)</f>
        <v>23.11</v>
      </c>
      <c r="CA17">
        <f>SUM(AK$13:AK17)*BF17/1000</f>
        <v>0</v>
      </c>
      <c r="CB17">
        <f>SUM(AL$13:AL17)*BG17/1000</f>
        <v>0</v>
      </c>
      <c r="CC17">
        <f>SUM(AM$13:AM17)*BH17/1000</f>
        <v>0</v>
      </c>
      <c r="CD17">
        <f>SUM(AN$13:AN17)*BI17/1000</f>
        <v>0</v>
      </c>
      <c r="CE17">
        <f>SUM(AO$13:AO17)*BJ17/1000</f>
        <v>0</v>
      </c>
      <c r="CF17">
        <f>SUM(AP$13:AP17)*BK17/1000</f>
        <v>0</v>
      </c>
      <c r="CG17">
        <f>SUM(AQ$13:AQ17)*BL17/1000</f>
        <v>0</v>
      </c>
      <c r="CH17">
        <f>SUM(AR$13:AR17)*BM17/1000</f>
        <v>0</v>
      </c>
      <c r="CI17">
        <f>SUM(AS$13:AS17)*BN17/1000</f>
        <v>0</v>
      </c>
      <c r="CJ17">
        <f>SUM(AT$13:AT17)*BO17/1000</f>
        <v>0</v>
      </c>
      <c r="CK17">
        <f>SUM(AU$13:AU17)*BP17/1000</f>
        <v>0</v>
      </c>
      <c r="CL17">
        <f>SUM(AV$13:AV17)*BQ17/1000</f>
        <v>0</v>
      </c>
      <c r="CM17">
        <f>SUM(AW$13:AW17)*BR17/1000</f>
        <v>0</v>
      </c>
      <c r="CN17">
        <f>SUM(AX$13:AX17)*BS17/1000</f>
        <v>0</v>
      </c>
      <c r="CO17">
        <f>SUM(AY$13:AY17)*BT17/1000</f>
        <v>0</v>
      </c>
      <c r="CP17">
        <f>SUM(AZ$13:AZ17)*BU17/1000</f>
        <v>0</v>
      </c>
      <c r="CQ17">
        <f>SUM(BA$13:BA17)*BV17/1000</f>
        <v>0</v>
      </c>
      <c r="CR17">
        <f>SUM(BB$13:BB17)*BW17/1000</f>
        <v>0</v>
      </c>
      <c r="CS17">
        <f>SUM(BC$13:BC17)*BX17/1000</f>
        <v>0</v>
      </c>
      <c r="CT17">
        <f>SUM(BD$13:BD17)*BY17/1000</f>
        <v>0</v>
      </c>
      <c r="CU17">
        <f t="shared" si="29"/>
        <v>0</v>
      </c>
      <c r="CW17">
        <f t="shared" si="24"/>
        <v>2024</v>
      </c>
      <c r="CX17" s="89">
        <f>IFERROR(VLOOKUP($CW17,'Table 3 TransCost D2 '!$B$10:$E$34,4,FALSE),0)</f>
        <v>52.169999999999995</v>
      </c>
      <c r="CY17" s="193">
        <f t="shared" si="27"/>
        <v>0</v>
      </c>
    </row>
    <row r="18" spans="2:103" hidden="1">
      <c r="B18" s="15">
        <f t="shared" si="25"/>
        <v>2025</v>
      </c>
      <c r="C18" s="9">
        <f t="shared" si="3"/>
        <v>0</v>
      </c>
      <c r="D18" s="45"/>
      <c r="E18" s="9" t="e">
        <f t="shared" ca="1" si="26"/>
        <v>#DIV/0!</v>
      </c>
      <c r="F18" s="37"/>
      <c r="G18" s="14" t="e">
        <f t="shared" ca="1" si="28"/>
        <v>#DIV/0!</v>
      </c>
      <c r="H18" s="36"/>
      <c r="I18" s="193"/>
      <c r="J18" s="193"/>
      <c r="M18" s="116"/>
      <c r="O18">
        <f t="shared" si="4"/>
        <v>2025</v>
      </c>
      <c r="P18">
        <v>0</v>
      </c>
      <c r="Q18">
        <v>0</v>
      </c>
      <c r="R18">
        <v>0</v>
      </c>
      <c r="S18" s="193">
        <v>0</v>
      </c>
      <c r="T18" s="193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f t="shared" si="5"/>
        <v>0</v>
      </c>
      <c r="AL18">
        <f t="shared" si="6"/>
        <v>0</v>
      </c>
      <c r="AM18">
        <f t="shared" si="7"/>
        <v>0</v>
      </c>
      <c r="AN18">
        <f t="shared" si="8"/>
        <v>0</v>
      </c>
      <c r="AO18">
        <f t="shared" si="8"/>
        <v>0</v>
      </c>
      <c r="AP18">
        <f t="shared" si="9"/>
        <v>0</v>
      </c>
      <c r="AQ18">
        <f t="shared" si="10"/>
        <v>0</v>
      </c>
      <c r="AR18">
        <f t="shared" si="11"/>
        <v>0</v>
      </c>
      <c r="AS18">
        <f t="shared" si="12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  <c r="BA18">
        <f t="shared" si="19"/>
        <v>0</v>
      </c>
      <c r="BB18">
        <f t="shared" si="20"/>
        <v>0</v>
      </c>
      <c r="BC18">
        <f t="shared" si="21"/>
        <v>0</v>
      </c>
      <c r="BD18">
        <f t="shared" si="22"/>
        <v>0</v>
      </c>
      <c r="BF18">
        <f>VLOOKUP($O18,'Table 3 EV2020 Wind_2020'!$B$10:$K$36,10,FALSE)</f>
        <v>-5.59</v>
      </c>
      <c r="BG18">
        <f>VLOOKUP($O18,'Table 3 EV2020 Wind_2021'!$B$10:$K$36,10,FALSE)</f>
        <v>-7.69</v>
      </c>
      <c r="BH18">
        <f>VLOOKUP($O18,'Table 3 DJ Wind 2030'!$B$10:$J$36,9,FALSE)</f>
        <v>47.87</v>
      </c>
      <c r="BI18">
        <f>VLOOKUP($O18,'Table 3 ID Wind 2030'!$B$10:$J$36,9,FALSE)</f>
        <v>45.05</v>
      </c>
      <c r="BJ18">
        <f>VLOOKUP($O18,'Table 3 ID Wind 2033'!$B$10:$J$36,9,FALSE)</f>
        <v>45.05</v>
      </c>
      <c r="BK18">
        <f>VLOOKUP($O18,'Table 3 WW Wind 2035'!$B$10:$J$36,9,FALSE)</f>
        <v>45.05</v>
      </c>
      <c r="BL18">
        <f>VLOOKUP($O18,'Table 3 YK Wind 2035'!$B$10:$J$36,9,FALSE)</f>
        <v>45.05</v>
      </c>
      <c r="BM18">
        <f>VLOOKUP($O18,'Table 3 OR Wind 2035'!$B$10:$J$36,9,FALSE)</f>
        <v>45.05</v>
      </c>
      <c r="BN18">
        <f>VLOOKUP($O18,'Table 3 UT Wind 2030'!$B$10:$J$36,9,FALSE)</f>
        <v>45.05</v>
      </c>
      <c r="BO18">
        <f>VLOOKUP($O18,'Table 3 UT Wind 2036'!$B$10:$J$36,9,FALSE)</f>
        <v>45.05</v>
      </c>
      <c r="BP18">
        <f>VLOOKUP($O18,'Table 3 YK Solar 2030'!$B$10:$J$36,9,FALSE)</f>
        <v>22.47</v>
      </c>
      <c r="BQ18">
        <f>VLOOKUP($O18,'Table 3 YK Solar 2032'!$B$10:$J$36,9,FALSE)</f>
        <v>22.47</v>
      </c>
      <c r="BR18">
        <f>VLOOKUP($O18,'Table 3 YK Solar 2033'!$B$10:$J$36,9,FALSE)</f>
        <v>22.47</v>
      </c>
      <c r="BS18">
        <f>VLOOKUP($O18,'Table 3 UT Solar 2033 ST'!$B$10:$J$36,9,FALSE)</f>
        <v>23.61</v>
      </c>
      <c r="BT18">
        <f>VLOOKUP($O18,'Table 3 UT Solar 2035 ST'!$B$10:$J$36,9,FALSE)</f>
        <v>23.61</v>
      </c>
      <c r="BU18">
        <f>VLOOKUP($O18,'Table 3 UT Solar 2035 FT'!$B$10:$J$36,9,FALSE)</f>
        <v>22.44</v>
      </c>
      <c r="BV18">
        <f>VLOOKUP($O18,'Table 3 OR Solar 2030'!$B$10:$J$36,9,FALSE)</f>
        <v>23.64</v>
      </c>
      <c r="BW18">
        <f>VLOOKUP($O18,'Table 3 OR Solar 2031'!$B$10:$J$36,9,FALSE)</f>
        <v>23.64</v>
      </c>
      <c r="BX18">
        <f>VLOOKUP($O18,'Table 3 OR Solar 2032'!$B$10:$J$36,9,FALSE)</f>
        <v>23.64</v>
      </c>
      <c r="BY18">
        <f>VLOOKUP($O18,'Table 3 OR Solar 2033'!$B$10:$J$36,9,FALSE)</f>
        <v>23.64</v>
      </c>
      <c r="CA18">
        <f>SUM(AK$13:AK18)*BF18/1000</f>
        <v>0</v>
      </c>
      <c r="CB18">
        <f>SUM(AL$13:AL18)*BG18/1000</f>
        <v>0</v>
      </c>
      <c r="CC18">
        <f>SUM(AM$13:AM18)*BH18/1000</f>
        <v>0</v>
      </c>
      <c r="CD18">
        <f>SUM(AN$13:AN18)*BI18/1000</f>
        <v>0</v>
      </c>
      <c r="CE18">
        <f>SUM(AO$13:AO18)*BJ18/1000</f>
        <v>0</v>
      </c>
      <c r="CF18">
        <f>SUM(AP$13:AP18)*BK18/1000</f>
        <v>0</v>
      </c>
      <c r="CG18">
        <f>SUM(AQ$13:AQ18)*BL18/1000</f>
        <v>0</v>
      </c>
      <c r="CH18">
        <f>SUM(AR$13:AR18)*BM18/1000</f>
        <v>0</v>
      </c>
      <c r="CI18">
        <f>SUM(AS$13:AS18)*BN18/1000</f>
        <v>0</v>
      </c>
      <c r="CJ18">
        <f>SUM(AT$13:AT18)*BO18/1000</f>
        <v>0</v>
      </c>
      <c r="CK18">
        <f>SUM(AU$13:AU18)*BP18/1000</f>
        <v>0</v>
      </c>
      <c r="CL18">
        <f>SUM(AV$13:AV18)*BQ18/1000</f>
        <v>0</v>
      </c>
      <c r="CM18">
        <f>SUM(AW$13:AW18)*BR18/1000</f>
        <v>0</v>
      </c>
      <c r="CN18">
        <f>SUM(AX$13:AX18)*BS18/1000</f>
        <v>0</v>
      </c>
      <c r="CO18">
        <f>SUM(AY$13:AY18)*BT18/1000</f>
        <v>0</v>
      </c>
      <c r="CP18">
        <f>SUM(AZ$13:AZ18)*BU18/1000</f>
        <v>0</v>
      </c>
      <c r="CQ18">
        <f>SUM(BA$13:BA18)*BV18/1000</f>
        <v>0</v>
      </c>
      <c r="CR18">
        <f>SUM(BB$13:BB18)*BW18/1000</f>
        <v>0</v>
      </c>
      <c r="CS18">
        <f>SUM(BC$13:BC18)*BX18/1000</f>
        <v>0</v>
      </c>
      <c r="CT18">
        <f>SUM(BD$13:BD18)*BY18/1000</f>
        <v>0</v>
      </c>
      <c r="CU18">
        <f t="shared" si="29"/>
        <v>0</v>
      </c>
      <c r="CW18">
        <f t="shared" si="24"/>
        <v>2025</v>
      </c>
      <c r="CX18" s="89">
        <f>IFERROR(VLOOKUP($CW18,'Table 3 TransCost D2 '!$B$10:$E$34,4,FALSE),0)</f>
        <v>53.37</v>
      </c>
      <c r="CY18" s="193">
        <f t="shared" si="27"/>
        <v>0</v>
      </c>
    </row>
    <row r="19" spans="2:103" hidden="1">
      <c r="B19" s="15">
        <f t="shared" si="25"/>
        <v>2026</v>
      </c>
      <c r="C19" s="9">
        <f t="shared" si="3"/>
        <v>0</v>
      </c>
      <c r="D19" s="45"/>
      <c r="E19" s="9" t="e">
        <f t="shared" ca="1" si="26"/>
        <v>#DIV/0!</v>
      </c>
      <c r="F19" s="37"/>
      <c r="G19" s="14" t="e">
        <f t="shared" ca="1" si="28"/>
        <v>#DIV/0!</v>
      </c>
      <c r="H19" s="36"/>
      <c r="I19" s="193"/>
      <c r="J19" s="193"/>
      <c r="M19" s="116"/>
      <c r="O19">
        <f t="shared" si="4"/>
        <v>2026</v>
      </c>
      <c r="P19">
        <v>0</v>
      </c>
      <c r="Q19">
        <v>0</v>
      </c>
      <c r="R19">
        <v>0</v>
      </c>
      <c r="S19" s="193">
        <v>0</v>
      </c>
      <c r="T19" s="193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f t="shared" si="5"/>
        <v>0</v>
      </c>
      <c r="AL19">
        <f t="shared" si="6"/>
        <v>0</v>
      </c>
      <c r="AM19">
        <f t="shared" si="7"/>
        <v>0</v>
      </c>
      <c r="AN19">
        <f t="shared" si="8"/>
        <v>0</v>
      </c>
      <c r="AO19">
        <f t="shared" si="8"/>
        <v>0</v>
      </c>
      <c r="AP19">
        <f t="shared" si="9"/>
        <v>0</v>
      </c>
      <c r="AQ19">
        <f t="shared" si="10"/>
        <v>0</v>
      </c>
      <c r="AR19">
        <f t="shared" si="11"/>
        <v>0</v>
      </c>
      <c r="AS19">
        <f t="shared" si="12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  <c r="AY19">
        <f t="shared" si="17"/>
        <v>0</v>
      </c>
      <c r="AZ19">
        <f t="shared" si="18"/>
        <v>0</v>
      </c>
      <c r="BA19">
        <f t="shared" si="19"/>
        <v>0</v>
      </c>
      <c r="BB19">
        <f t="shared" si="20"/>
        <v>0</v>
      </c>
      <c r="BC19">
        <f t="shared" si="21"/>
        <v>0</v>
      </c>
      <c r="BD19">
        <f t="shared" si="22"/>
        <v>0</v>
      </c>
      <c r="BF19">
        <f>VLOOKUP($O19,'Table 3 EV2020 Wind_2020'!$B$10:$K$36,10,FALSE)</f>
        <v>-2.82</v>
      </c>
      <c r="BG19">
        <f>VLOOKUP($O19,'Table 3 EV2020 Wind_2021'!$B$10:$K$36,10,FALSE)</f>
        <v>-4.97</v>
      </c>
      <c r="BH19">
        <f>VLOOKUP($O19,'Table 3 DJ Wind 2030'!$B$10:$J$36,9,FALSE)</f>
        <v>48.98</v>
      </c>
      <c r="BI19">
        <f>VLOOKUP($O19,'Table 3 ID Wind 2030'!$B$10:$J$36,9,FALSE)</f>
        <v>46.09</v>
      </c>
      <c r="BJ19">
        <f>VLOOKUP($O19,'Table 3 ID Wind 2033'!$B$10:$J$36,9,FALSE)</f>
        <v>46.09</v>
      </c>
      <c r="BK19">
        <f>VLOOKUP($O19,'Table 3 WW Wind 2035'!$B$10:$J$36,9,FALSE)</f>
        <v>46.09</v>
      </c>
      <c r="BL19">
        <f>VLOOKUP($O19,'Table 3 YK Wind 2035'!$B$10:$J$36,9,FALSE)</f>
        <v>46.09</v>
      </c>
      <c r="BM19">
        <f>VLOOKUP($O19,'Table 3 OR Wind 2035'!$B$10:$J$36,9,FALSE)</f>
        <v>46.09</v>
      </c>
      <c r="BN19">
        <f>VLOOKUP($O19,'Table 3 UT Wind 2030'!$B$10:$J$36,9,FALSE)</f>
        <v>46.09</v>
      </c>
      <c r="BO19">
        <f>VLOOKUP($O19,'Table 3 UT Wind 2036'!$B$10:$J$36,9,FALSE)</f>
        <v>46.09</v>
      </c>
      <c r="BP19">
        <f>VLOOKUP($O19,'Table 3 YK Solar 2030'!$B$10:$J$36,9,FALSE)</f>
        <v>22.99</v>
      </c>
      <c r="BQ19">
        <f>VLOOKUP($O19,'Table 3 YK Solar 2032'!$B$10:$J$36,9,FALSE)</f>
        <v>22.99</v>
      </c>
      <c r="BR19">
        <f>VLOOKUP($O19,'Table 3 YK Solar 2033'!$B$10:$J$36,9,FALSE)</f>
        <v>22.99</v>
      </c>
      <c r="BS19">
        <f>VLOOKUP($O19,'Table 3 UT Solar 2033 ST'!$B$10:$J$36,9,FALSE)</f>
        <v>24.15</v>
      </c>
      <c r="BT19">
        <f>VLOOKUP($O19,'Table 3 UT Solar 2035 ST'!$B$10:$J$36,9,FALSE)</f>
        <v>24.15</v>
      </c>
      <c r="BU19">
        <f>VLOOKUP($O19,'Table 3 UT Solar 2035 FT'!$B$10:$J$36,9,FALSE)</f>
        <v>22.96</v>
      </c>
      <c r="BV19">
        <f>VLOOKUP($O19,'Table 3 OR Solar 2030'!$B$10:$J$36,9,FALSE)</f>
        <v>24.18</v>
      </c>
      <c r="BW19">
        <f>VLOOKUP($O19,'Table 3 OR Solar 2031'!$B$10:$J$36,9,FALSE)</f>
        <v>24.18</v>
      </c>
      <c r="BX19">
        <f>VLOOKUP($O19,'Table 3 OR Solar 2032'!$B$10:$J$36,9,FALSE)</f>
        <v>24.18</v>
      </c>
      <c r="BY19">
        <f>VLOOKUP($O19,'Table 3 OR Solar 2033'!$B$10:$J$36,9,FALSE)</f>
        <v>24.18</v>
      </c>
      <c r="CA19">
        <f>SUM(AK$13:AK19)*BF19/1000</f>
        <v>0</v>
      </c>
      <c r="CB19">
        <f>SUM(AL$13:AL19)*BG19/1000</f>
        <v>0</v>
      </c>
      <c r="CC19">
        <f>SUM(AM$13:AM19)*BH19/1000</f>
        <v>0</v>
      </c>
      <c r="CD19">
        <f>SUM(AN$13:AN19)*BI19/1000</f>
        <v>0</v>
      </c>
      <c r="CE19">
        <f>SUM(AO$13:AO19)*BJ19/1000</f>
        <v>0</v>
      </c>
      <c r="CF19">
        <f>SUM(AP$13:AP19)*BK19/1000</f>
        <v>0</v>
      </c>
      <c r="CG19">
        <f>SUM(AQ$13:AQ19)*BL19/1000</f>
        <v>0</v>
      </c>
      <c r="CH19">
        <f>SUM(AR$13:AR19)*BM19/1000</f>
        <v>0</v>
      </c>
      <c r="CI19">
        <f>SUM(AS$13:AS19)*BN19/1000</f>
        <v>0</v>
      </c>
      <c r="CJ19">
        <f>SUM(AT$13:AT19)*BO19/1000</f>
        <v>0</v>
      </c>
      <c r="CK19">
        <f>SUM(AU$13:AU19)*BP19/1000</f>
        <v>0</v>
      </c>
      <c r="CL19">
        <f>SUM(AV$13:AV19)*BQ19/1000</f>
        <v>0</v>
      </c>
      <c r="CM19">
        <f>SUM(AW$13:AW19)*BR19/1000</f>
        <v>0</v>
      </c>
      <c r="CN19">
        <f>SUM(AX$13:AX19)*BS19/1000</f>
        <v>0</v>
      </c>
      <c r="CO19">
        <f>SUM(AY$13:AY19)*BT19/1000</f>
        <v>0</v>
      </c>
      <c r="CP19">
        <f>SUM(AZ$13:AZ19)*BU19/1000</f>
        <v>0</v>
      </c>
      <c r="CQ19">
        <f>SUM(BA$13:BA19)*BV19/1000</f>
        <v>0</v>
      </c>
      <c r="CR19">
        <f>SUM(BB$13:BB19)*BW19/1000</f>
        <v>0</v>
      </c>
      <c r="CS19">
        <f>SUM(BC$13:BC19)*BX19/1000</f>
        <v>0</v>
      </c>
      <c r="CT19">
        <f>SUM(BD$13:BD19)*BY19/1000</f>
        <v>0</v>
      </c>
      <c r="CU19">
        <f t="shared" si="29"/>
        <v>0</v>
      </c>
      <c r="CW19">
        <f t="shared" si="24"/>
        <v>2026</v>
      </c>
      <c r="CX19" s="89">
        <f>IFERROR(VLOOKUP($CW19,'Table 3 TransCost D2 '!$B$10:$E$34,4,FALSE),0)</f>
        <v>54.6</v>
      </c>
      <c r="CY19" s="193">
        <f t="shared" si="27"/>
        <v>0</v>
      </c>
    </row>
    <row r="20" spans="2:103" hidden="1">
      <c r="B20" s="15">
        <f t="shared" si="25"/>
        <v>2027</v>
      </c>
      <c r="C20" s="9">
        <f t="shared" si="3"/>
        <v>0</v>
      </c>
      <c r="D20" s="45"/>
      <c r="E20" s="9" t="e">
        <f t="shared" ca="1" si="26"/>
        <v>#DIV/0!</v>
      </c>
      <c r="F20" s="37"/>
      <c r="G20" s="14" t="e">
        <f t="shared" ca="1" si="28"/>
        <v>#DIV/0!</v>
      </c>
      <c r="H20" s="36"/>
      <c r="I20" s="193"/>
      <c r="J20" s="193"/>
      <c r="M20" s="116"/>
      <c r="O20">
        <f t="shared" si="4"/>
        <v>2027</v>
      </c>
      <c r="P20">
        <v>0</v>
      </c>
      <c r="Q20">
        <v>0</v>
      </c>
      <c r="R20">
        <v>0</v>
      </c>
      <c r="S20" s="193">
        <v>0</v>
      </c>
      <c r="T20" s="193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f t="shared" si="5"/>
        <v>0</v>
      </c>
      <c r="AL20">
        <f t="shared" si="6"/>
        <v>0</v>
      </c>
      <c r="AM20">
        <f t="shared" si="7"/>
        <v>0</v>
      </c>
      <c r="AN20">
        <f t="shared" si="8"/>
        <v>0</v>
      </c>
      <c r="AO20">
        <f t="shared" si="8"/>
        <v>0</v>
      </c>
      <c r="AP20">
        <f t="shared" si="9"/>
        <v>0</v>
      </c>
      <c r="AQ20">
        <f t="shared" si="10"/>
        <v>0</v>
      </c>
      <c r="AR20">
        <f t="shared" si="11"/>
        <v>0</v>
      </c>
      <c r="AS20">
        <f t="shared" si="12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  <c r="AY20">
        <f t="shared" si="17"/>
        <v>0</v>
      </c>
      <c r="AZ20">
        <f t="shared" si="18"/>
        <v>0</v>
      </c>
      <c r="BA20">
        <f t="shared" si="19"/>
        <v>0</v>
      </c>
      <c r="BB20">
        <f t="shared" si="20"/>
        <v>0</v>
      </c>
      <c r="BC20">
        <f t="shared" si="21"/>
        <v>0</v>
      </c>
      <c r="BD20">
        <f t="shared" si="22"/>
        <v>0</v>
      </c>
      <c r="BF20">
        <f>VLOOKUP($O20,'Table 3 EV2020 Wind_2020'!$B$10:$K$36,10,FALSE)</f>
        <v>-4.4800000000000004</v>
      </c>
      <c r="BG20">
        <f>VLOOKUP($O20,'Table 3 EV2020 Wind_2021'!$B$10:$K$36,10,FALSE)</f>
        <v>-6.68</v>
      </c>
      <c r="BH20">
        <f>VLOOKUP($O20,'Table 3 DJ Wind 2030'!$B$10:$J$36,9,FALSE)</f>
        <v>50.12</v>
      </c>
      <c r="BI20">
        <f>VLOOKUP($O20,'Table 3 ID Wind 2030'!$B$10:$J$36,9,FALSE)</f>
        <v>47.15</v>
      </c>
      <c r="BJ20">
        <f>VLOOKUP($O20,'Table 3 ID Wind 2033'!$B$10:$J$36,9,FALSE)</f>
        <v>47.15</v>
      </c>
      <c r="BK20">
        <f>VLOOKUP($O20,'Table 3 WW Wind 2035'!$B$10:$J$36,9,FALSE)</f>
        <v>47.15</v>
      </c>
      <c r="BL20">
        <f>VLOOKUP($O20,'Table 3 YK Wind 2035'!$B$10:$J$36,9,FALSE)</f>
        <v>47.15</v>
      </c>
      <c r="BM20">
        <f>VLOOKUP($O20,'Table 3 OR Wind 2035'!$B$10:$J$36,9,FALSE)</f>
        <v>47.15</v>
      </c>
      <c r="BN20">
        <f>VLOOKUP($O20,'Table 3 UT Wind 2030'!$B$10:$J$36,9,FALSE)</f>
        <v>47.15</v>
      </c>
      <c r="BO20">
        <f>VLOOKUP($O20,'Table 3 UT Wind 2036'!$B$10:$J$36,9,FALSE)</f>
        <v>47.15</v>
      </c>
      <c r="BP20">
        <f>VLOOKUP($O20,'Table 3 YK Solar 2030'!$B$10:$J$36,9,FALSE)</f>
        <v>23.52</v>
      </c>
      <c r="BQ20">
        <f>VLOOKUP($O20,'Table 3 YK Solar 2032'!$B$10:$J$36,9,FALSE)</f>
        <v>23.52</v>
      </c>
      <c r="BR20">
        <f>VLOOKUP($O20,'Table 3 YK Solar 2033'!$B$10:$J$36,9,FALSE)</f>
        <v>23.52</v>
      </c>
      <c r="BS20">
        <f>VLOOKUP($O20,'Table 3 UT Solar 2033 ST'!$B$10:$J$36,9,FALSE)</f>
        <v>24.71</v>
      </c>
      <c r="BT20">
        <f>VLOOKUP($O20,'Table 3 UT Solar 2035 ST'!$B$10:$J$36,9,FALSE)</f>
        <v>24.71</v>
      </c>
      <c r="BU20">
        <f>VLOOKUP($O20,'Table 3 UT Solar 2035 FT'!$B$10:$J$36,9,FALSE)</f>
        <v>23.49</v>
      </c>
      <c r="BV20">
        <f>VLOOKUP($O20,'Table 3 OR Solar 2030'!$B$10:$J$36,9,FALSE)</f>
        <v>24.74</v>
      </c>
      <c r="BW20">
        <f>VLOOKUP($O20,'Table 3 OR Solar 2031'!$B$10:$J$36,9,FALSE)</f>
        <v>24.74</v>
      </c>
      <c r="BX20">
        <f>VLOOKUP($O20,'Table 3 OR Solar 2032'!$B$10:$J$36,9,FALSE)</f>
        <v>24.74</v>
      </c>
      <c r="BY20">
        <f>VLOOKUP($O20,'Table 3 OR Solar 2033'!$B$10:$J$36,9,FALSE)</f>
        <v>24.74</v>
      </c>
      <c r="CA20">
        <f>SUM(AK$13:AK20)*BF20/1000</f>
        <v>0</v>
      </c>
      <c r="CB20">
        <f>SUM(AL$13:AL20)*BG20/1000</f>
        <v>0</v>
      </c>
      <c r="CC20">
        <f>SUM(AM$13:AM20)*BH20/1000</f>
        <v>0</v>
      </c>
      <c r="CD20">
        <f>SUM(AN$13:AN20)*BI20/1000</f>
        <v>0</v>
      </c>
      <c r="CE20">
        <f>SUM(AO$13:AO20)*BJ20/1000</f>
        <v>0</v>
      </c>
      <c r="CF20">
        <f>SUM(AP$13:AP20)*BK20/1000</f>
        <v>0</v>
      </c>
      <c r="CG20">
        <f>SUM(AQ$13:AQ20)*BL20/1000</f>
        <v>0</v>
      </c>
      <c r="CH20">
        <f>SUM(AR$13:AR20)*BM20/1000</f>
        <v>0</v>
      </c>
      <c r="CI20">
        <f>SUM(AS$13:AS20)*BN20/1000</f>
        <v>0</v>
      </c>
      <c r="CJ20">
        <f>SUM(AT$13:AT20)*BO20/1000</f>
        <v>0</v>
      </c>
      <c r="CK20">
        <f>SUM(AU$13:AU20)*BP20/1000</f>
        <v>0</v>
      </c>
      <c r="CL20">
        <f>SUM(AV$13:AV20)*BQ20/1000</f>
        <v>0</v>
      </c>
      <c r="CM20">
        <f>SUM(AW$13:AW20)*BR20/1000</f>
        <v>0</v>
      </c>
      <c r="CN20">
        <f>SUM(AX$13:AX20)*BS20/1000</f>
        <v>0</v>
      </c>
      <c r="CO20">
        <f>SUM(AY$13:AY20)*BT20/1000</f>
        <v>0</v>
      </c>
      <c r="CP20">
        <f>SUM(AZ$13:AZ20)*BU20/1000</f>
        <v>0</v>
      </c>
      <c r="CQ20">
        <f>SUM(BA$13:BA20)*BV20/1000</f>
        <v>0</v>
      </c>
      <c r="CR20">
        <f>SUM(BB$13:BB20)*BW20/1000</f>
        <v>0</v>
      </c>
      <c r="CS20">
        <f>SUM(BC$13:BC20)*BX20/1000</f>
        <v>0</v>
      </c>
      <c r="CT20">
        <f>SUM(BD$13:BD20)*BY20/1000</f>
        <v>0</v>
      </c>
      <c r="CU20">
        <f t="shared" si="29"/>
        <v>0</v>
      </c>
      <c r="CW20">
        <f t="shared" si="24"/>
        <v>2027</v>
      </c>
      <c r="CX20" s="89">
        <f>IFERROR(VLOOKUP($CW20,'Table 3 TransCost D2 '!$B$10:$E$34,4,FALSE),0)</f>
        <v>55.859999999999992</v>
      </c>
      <c r="CY20" s="193">
        <f t="shared" si="27"/>
        <v>0</v>
      </c>
    </row>
    <row r="21" spans="2:103" hidden="1">
      <c r="B21" s="15">
        <f t="shared" si="25"/>
        <v>2028</v>
      </c>
      <c r="C21" s="9">
        <f t="shared" si="3"/>
        <v>0</v>
      </c>
      <c r="D21" s="45"/>
      <c r="E21" s="9" t="e">
        <f t="shared" ca="1" si="26"/>
        <v>#DIV/0!</v>
      </c>
      <c r="F21" s="37"/>
      <c r="G21" s="14" t="e">
        <f t="shared" ca="1" si="28"/>
        <v>#DIV/0!</v>
      </c>
      <c r="H21" s="36"/>
      <c r="I21" s="193"/>
      <c r="J21" s="193"/>
      <c r="M21" s="116"/>
      <c r="O21">
        <f t="shared" si="4"/>
        <v>2028</v>
      </c>
      <c r="P21">
        <v>0</v>
      </c>
      <c r="Q21">
        <v>0</v>
      </c>
      <c r="R21">
        <v>0</v>
      </c>
      <c r="S21" s="193">
        <v>0</v>
      </c>
      <c r="T21" s="193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f t="shared" si="5"/>
        <v>0</v>
      </c>
      <c r="AL21">
        <f t="shared" si="6"/>
        <v>0</v>
      </c>
      <c r="AM21">
        <f t="shared" si="7"/>
        <v>0</v>
      </c>
      <c r="AN21">
        <f t="shared" si="8"/>
        <v>0</v>
      </c>
      <c r="AO21">
        <f t="shared" si="8"/>
        <v>0</v>
      </c>
      <c r="AP21">
        <f t="shared" si="9"/>
        <v>0</v>
      </c>
      <c r="AQ21">
        <f t="shared" si="10"/>
        <v>0</v>
      </c>
      <c r="AR21">
        <f t="shared" si="11"/>
        <v>0</v>
      </c>
      <c r="AS21">
        <f t="shared" si="12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  <c r="AY21">
        <f t="shared" si="17"/>
        <v>0</v>
      </c>
      <c r="AZ21">
        <f t="shared" si="18"/>
        <v>0</v>
      </c>
      <c r="BA21">
        <f t="shared" si="19"/>
        <v>0</v>
      </c>
      <c r="BB21">
        <f t="shared" si="20"/>
        <v>0</v>
      </c>
      <c r="BC21">
        <f t="shared" si="21"/>
        <v>0</v>
      </c>
      <c r="BD21">
        <f t="shared" si="22"/>
        <v>0</v>
      </c>
      <c r="BF21">
        <f>VLOOKUP($O21,'Table 3 EV2020 Wind_2020'!$B$10:$K$36,10,FALSE)</f>
        <v>-1.46</v>
      </c>
      <c r="BG21">
        <f>VLOOKUP($O21,'Table 3 EV2020 Wind_2021'!$B$10:$K$36,10,FALSE)</f>
        <v>-3.71</v>
      </c>
      <c r="BH21">
        <f>VLOOKUP($O21,'Table 3 DJ Wind 2030'!$B$10:$J$36,9,FALSE)</f>
        <v>51.32</v>
      </c>
      <c r="BI21">
        <f>VLOOKUP($O21,'Table 3 ID Wind 2030'!$B$10:$J$36,9,FALSE)</f>
        <v>48.28</v>
      </c>
      <c r="BJ21">
        <f>VLOOKUP($O21,'Table 3 ID Wind 2033'!$B$10:$J$36,9,FALSE)</f>
        <v>48.28</v>
      </c>
      <c r="BK21">
        <f>VLOOKUP($O21,'Table 3 WW Wind 2035'!$B$10:$J$36,9,FALSE)</f>
        <v>48.28</v>
      </c>
      <c r="BL21">
        <f>VLOOKUP($O21,'Table 3 YK Wind 2035'!$B$10:$J$36,9,FALSE)</f>
        <v>48.28</v>
      </c>
      <c r="BM21">
        <f>VLOOKUP($O21,'Table 3 OR Wind 2035'!$B$10:$J$36,9,FALSE)</f>
        <v>48.28</v>
      </c>
      <c r="BN21">
        <f>VLOOKUP($O21,'Table 3 UT Wind 2030'!$B$10:$J$36,9,FALSE)</f>
        <v>48.28</v>
      </c>
      <c r="BO21">
        <f>VLOOKUP($O21,'Table 3 UT Wind 2036'!$B$10:$J$36,9,FALSE)</f>
        <v>48.28</v>
      </c>
      <c r="BP21">
        <f>VLOOKUP($O21,'Table 3 YK Solar 2030'!$B$10:$J$36,9,FALSE)</f>
        <v>24.08</v>
      </c>
      <c r="BQ21">
        <f>VLOOKUP($O21,'Table 3 YK Solar 2032'!$B$10:$J$36,9,FALSE)</f>
        <v>24.08</v>
      </c>
      <c r="BR21">
        <f>VLOOKUP($O21,'Table 3 YK Solar 2033'!$B$10:$J$36,9,FALSE)</f>
        <v>24.08</v>
      </c>
      <c r="BS21">
        <f>VLOOKUP($O21,'Table 3 UT Solar 2033 ST'!$B$10:$J$36,9,FALSE)</f>
        <v>25.3</v>
      </c>
      <c r="BT21">
        <f>VLOOKUP($O21,'Table 3 UT Solar 2035 ST'!$B$10:$J$36,9,FALSE)</f>
        <v>25.3</v>
      </c>
      <c r="BU21">
        <f>VLOOKUP($O21,'Table 3 UT Solar 2035 FT'!$B$10:$J$36,9,FALSE)</f>
        <v>24.05</v>
      </c>
      <c r="BV21">
        <f>VLOOKUP($O21,'Table 3 OR Solar 2030'!$B$10:$J$36,9,FALSE)</f>
        <v>25.33</v>
      </c>
      <c r="BW21">
        <f>VLOOKUP($O21,'Table 3 OR Solar 2031'!$B$10:$J$36,9,FALSE)</f>
        <v>25.33</v>
      </c>
      <c r="BX21">
        <f>VLOOKUP($O21,'Table 3 OR Solar 2032'!$B$10:$J$36,9,FALSE)</f>
        <v>25.33</v>
      </c>
      <c r="BY21">
        <f>VLOOKUP($O21,'Table 3 OR Solar 2033'!$B$10:$J$36,9,FALSE)</f>
        <v>25.33</v>
      </c>
      <c r="CA21">
        <f>SUM(AK$13:AK21)*BF21/1000</f>
        <v>0</v>
      </c>
      <c r="CB21">
        <f>SUM(AL$13:AL21)*BG21/1000</f>
        <v>0</v>
      </c>
      <c r="CC21">
        <f>SUM(AM$13:AM21)*BH21/1000</f>
        <v>0</v>
      </c>
      <c r="CD21">
        <f>SUM(AN$13:AN21)*BI21/1000</f>
        <v>0</v>
      </c>
      <c r="CE21">
        <f>SUM(AO$13:AO21)*BJ21/1000</f>
        <v>0</v>
      </c>
      <c r="CF21">
        <f>SUM(AP$13:AP21)*BK21/1000</f>
        <v>0</v>
      </c>
      <c r="CG21">
        <f>SUM(AQ$13:AQ21)*BL21/1000</f>
        <v>0</v>
      </c>
      <c r="CH21">
        <f>SUM(AR$13:AR21)*BM21/1000</f>
        <v>0</v>
      </c>
      <c r="CI21">
        <f>SUM(AS$13:AS21)*BN21/1000</f>
        <v>0</v>
      </c>
      <c r="CJ21">
        <f>SUM(AT$13:AT21)*BO21/1000</f>
        <v>0</v>
      </c>
      <c r="CK21">
        <f>SUM(AU$13:AU21)*BP21/1000</f>
        <v>0</v>
      </c>
      <c r="CL21">
        <f>SUM(AV$13:AV21)*BQ21/1000</f>
        <v>0</v>
      </c>
      <c r="CM21">
        <f>SUM(AW$13:AW21)*BR21/1000</f>
        <v>0</v>
      </c>
      <c r="CN21">
        <f>SUM(AX$13:AX21)*BS21/1000</f>
        <v>0</v>
      </c>
      <c r="CO21">
        <f>SUM(AY$13:AY21)*BT21/1000</f>
        <v>0</v>
      </c>
      <c r="CP21">
        <f>SUM(AZ$13:AZ21)*BU21/1000</f>
        <v>0</v>
      </c>
      <c r="CQ21">
        <f>SUM(BA$13:BA21)*BV21/1000</f>
        <v>0</v>
      </c>
      <c r="CR21">
        <f>SUM(BB$13:BB21)*BW21/1000</f>
        <v>0</v>
      </c>
      <c r="CS21">
        <f>SUM(BC$13:BC21)*BX21/1000</f>
        <v>0</v>
      </c>
      <c r="CT21">
        <f>SUM(BD$13:BD21)*BY21/1000</f>
        <v>0</v>
      </c>
      <c r="CU21">
        <f t="shared" si="29"/>
        <v>0</v>
      </c>
      <c r="CW21">
        <f t="shared" si="24"/>
        <v>2028</v>
      </c>
      <c r="CX21" s="89">
        <f>IFERROR(VLOOKUP($CW21,'Table 3 TransCost D2 '!$B$10:$E$34,4,FALSE),0)</f>
        <v>57.20000000000001</v>
      </c>
      <c r="CY21" s="193">
        <f t="shared" si="27"/>
        <v>0</v>
      </c>
    </row>
    <row r="22" spans="2:103" hidden="1">
      <c r="B22" s="15">
        <f t="shared" si="25"/>
        <v>2029</v>
      </c>
      <c r="C22" s="9">
        <f t="shared" si="3"/>
        <v>0</v>
      </c>
      <c r="D22" s="45"/>
      <c r="E22" s="9" t="e">
        <f t="shared" ca="1" si="26"/>
        <v>#DIV/0!</v>
      </c>
      <c r="F22" s="37"/>
      <c r="G22" s="14" t="e">
        <f t="shared" ca="1" si="28"/>
        <v>#DIV/0!</v>
      </c>
      <c r="H22" s="36"/>
      <c r="I22" s="193"/>
      <c r="J22" s="193"/>
      <c r="M22" s="116"/>
      <c r="O22">
        <f t="shared" si="4"/>
        <v>2029</v>
      </c>
      <c r="P22">
        <v>0</v>
      </c>
      <c r="Q22">
        <v>0</v>
      </c>
      <c r="R22">
        <v>0</v>
      </c>
      <c r="S22" s="193">
        <v>0</v>
      </c>
      <c r="T22" s="193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f t="shared" si="5"/>
        <v>0</v>
      </c>
      <c r="AL22">
        <f t="shared" si="6"/>
        <v>0</v>
      </c>
      <c r="AM22">
        <f t="shared" si="7"/>
        <v>0</v>
      </c>
      <c r="AN22">
        <f t="shared" si="8"/>
        <v>0</v>
      </c>
      <c r="AO22">
        <f t="shared" si="8"/>
        <v>0</v>
      </c>
      <c r="AP22">
        <f t="shared" si="9"/>
        <v>0</v>
      </c>
      <c r="AQ22">
        <f t="shared" si="10"/>
        <v>0</v>
      </c>
      <c r="AR22">
        <f t="shared" si="11"/>
        <v>0</v>
      </c>
      <c r="AS22">
        <f t="shared" si="12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  <c r="AY22">
        <f t="shared" si="17"/>
        <v>0</v>
      </c>
      <c r="AZ22">
        <f t="shared" si="18"/>
        <v>0</v>
      </c>
      <c r="BA22">
        <f t="shared" si="19"/>
        <v>0</v>
      </c>
      <c r="BB22">
        <f t="shared" si="20"/>
        <v>0</v>
      </c>
      <c r="BC22">
        <f t="shared" si="21"/>
        <v>0</v>
      </c>
      <c r="BD22">
        <f t="shared" si="22"/>
        <v>0</v>
      </c>
      <c r="BF22">
        <f>VLOOKUP($O22,'Table 3 EV2020 Wind_2020'!$B$10:$K$36,10,FALSE)</f>
        <v>-2.85</v>
      </c>
      <c r="BG22">
        <f>VLOOKUP($O22,'Table 3 EV2020 Wind_2021'!$B$10:$K$36,10,FALSE)</f>
        <v>-5.16</v>
      </c>
      <c r="BH22">
        <f>VLOOKUP($O22,'Table 3 DJ Wind 2030'!$B$10:$J$36,9,FALSE)</f>
        <v>52.55</v>
      </c>
      <c r="BI22">
        <f>VLOOKUP($O22,'Table 3 ID Wind 2030'!$B$10:$J$36,9,FALSE)</f>
        <v>49.44</v>
      </c>
      <c r="BJ22">
        <f>VLOOKUP($O22,'Table 3 ID Wind 2033'!$B$10:$J$36,9,FALSE)</f>
        <v>49.44</v>
      </c>
      <c r="BK22">
        <f>VLOOKUP($O22,'Table 3 WW Wind 2035'!$B$10:$J$36,9,FALSE)</f>
        <v>49.44</v>
      </c>
      <c r="BL22">
        <f>VLOOKUP($O22,'Table 3 YK Wind 2035'!$B$10:$J$36,9,FALSE)</f>
        <v>49.44</v>
      </c>
      <c r="BM22">
        <f>VLOOKUP($O22,'Table 3 OR Wind 2035'!$B$10:$J$36,9,FALSE)</f>
        <v>49.44</v>
      </c>
      <c r="BN22">
        <f>VLOOKUP($O22,'Table 3 UT Wind 2030'!$B$10:$J$36,9,FALSE)</f>
        <v>49.44</v>
      </c>
      <c r="BO22">
        <f>VLOOKUP($O22,'Table 3 UT Wind 2036'!$B$10:$J$36,9,FALSE)</f>
        <v>49.44</v>
      </c>
      <c r="BP22">
        <f>VLOOKUP($O22,'Table 3 YK Solar 2030'!$B$10:$J$36,9,FALSE)</f>
        <v>24.66</v>
      </c>
      <c r="BQ22">
        <f>VLOOKUP($O22,'Table 3 YK Solar 2032'!$B$10:$J$36,9,FALSE)</f>
        <v>24.66</v>
      </c>
      <c r="BR22">
        <f>VLOOKUP($O22,'Table 3 YK Solar 2033'!$B$10:$J$36,9,FALSE)</f>
        <v>24.66</v>
      </c>
      <c r="BS22">
        <f>VLOOKUP($O22,'Table 3 UT Solar 2033 ST'!$B$10:$J$36,9,FALSE)</f>
        <v>25.91</v>
      </c>
      <c r="BT22">
        <f>VLOOKUP($O22,'Table 3 UT Solar 2035 ST'!$B$10:$J$36,9,FALSE)</f>
        <v>25.91</v>
      </c>
      <c r="BU22">
        <f>VLOOKUP($O22,'Table 3 UT Solar 2035 FT'!$B$10:$J$36,9,FALSE)</f>
        <v>24.63</v>
      </c>
      <c r="BV22">
        <f>VLOOKUP($O22,'Table 3 OR Solar 2030'!$B$10:$J$36,9,FALSE)</f>
        <v>25.94</v>
      </c>
      <c r="BW22">
        <f>VLOOKUP($O22,'Table 3 OR Solar 2031'!$B$10:$J$36,9,FALSE)</f>
        <v>25.94</v>
      </c>
      <c r="BX22">
        <f>VLOOKUP($O22,'Table 3 OR Solar 2032'!$B$10:$J$36,9,FALSE)</f>
        <v>25.94</v>
      </c>
      <c r="BY22">
        <f>VLOOKUP($O22,'Table 3 OR Solar 2033'!$B$10:$J$36,9,FALSE)</f>
        <v>25.94</v>
      </c>
      <c r="CA22">
        <f>SUM(AK$13:AK22)*BF22/1000</f>
        <v>0</v>
      </c>
      <c r="CB22">
        <f>SUM(AL$13:AL22)*BG22/1000</f>
        <v>0</v>
      </c>
      <c r="CC22">
        <f>SUM(AM$13:AM22)*BH22/1000</f>
        <v>0</v>
      </c>
      <c r="CD22">
        <f>SUM(AN$13:AN22)*BI22/1000</f>
        <v>0</v>
      </c>
      <c r="CE22">
        <f>SUM(AO$13:AO22)*BJ22/1000</f>
        <v>0</v>
      </c>
      <c r="CF22">
        <f>SUM(AP$13:AP22)*BK22/1000</f>
        <v>0</v>
      </c>
      <c r="CG22">
        <f>SUM(AQ$13:AQ22)*BL22/1000</f>
        <v>0</v>
      </c>
      <c r="CH22">
        <f>SUM(AR$13:AR22)*BM22/1000</f>
        <v>0</v>
      </c>
      <c r="CI22">
        <f>SUM(AS$13:AS22)*BN22/1000</f>
        <v>0</v>
      </c>
      <c r="CJ22">
        <f>SUM(AT$13:AT22)*BO22/1000</f>
        <v>0</v>
      </c>
      <c r="CK22">
        <f>SUM(AU$13:AU22)*BP22/1000</f>
        <v>0</v>
      </c>
      <c r="CL22">
        <f>SUM(AV$13:AV22)*BQ22/1000</f>
        <v>0</v>
      </c>
      <c r="CM22">
        <f>SUM(AW$13:AW22)*BR22/1000</f>
        <v>0</v>
      </c>
      <c r="CN22">
        <f>SUM(AX$13:AX22)*BS22/1000</f>
        <v>0</v>
      </c>
      <c r="CO22">
        <f>SUM(AY$13:AY22)*BT22/1000</f>
        <v>0</v>
      </c>
      <c r="CP22">
        <f>SUM(AZ$13:AZ22)*BU22/1000</f>
        <v>0</v>
      </c>
      <c r="CQ22">
        <f>SUM(BA$13:BA22)*BV22/1000</f>
        <v>0</v>
      </c>
      <c r="CR22">
        <f>SUM(BB$13:BB22)*BW22/1000</f>
        <v>0</v>
      </c>
      <c r="CS22">
        <f>SUM(BC$13:BC22)*BX22/1000</f>
        <v>0</v>
      </c>
      <c r="CT22">
        <f>SUM(BD$13:BD22)*BY22/1000</f>
        <v>0</v>
      </c>
      <c r="CU22">
        <f t="shared" si="29"/>
        <v>0</v>
      </c>
      <c r="CW22">
        <f t="shared" si="24"/>
        <v>2029</v>
      </c>
      <c r="CX22" s="89">
        <f>IFERROR(VLOOKUP($CW22,'Table 3 TransCost D2 '!$B$10:$E$34,4,FALSE),0)</f>
        <v>58.57</v>
      </c>
      <c r="CY22" s="193">
        <f t="shared" si="27"/>
        <v>0</v>
      </c>
    </row>
    <row r="23" spans="2:103" hidden="1">
      <c r="B23" s="15">
        <f t="shared" si="25"/>
        <v>2030</v>
      </c>
      <c r="C23" s="9">
        <f t="shared" si="3"/>
        <v>0</v>
      </c>
      <c r="D23" s="45"/>
      <c r="E23" s="9" t="e">
        <f t="shared" ca="1" si="26"/>
        <v>#DIV/0!</v>
      </c>
      <c r="F23" s="37"/>
      <c r="G23" s="14" t="e">
        <f t="shared" ca="1" si="28"/>
        <v>#DIV/0!</v>
      </c>
      <c r="H23" s="36"/>
      <c r="I23" s="193"/>
      <c r="J23" s="193"/>
      <c r="M23" s="116"/>
      <c r="O23">
        <f t="shared" si="4"/>
        <v>2030</v>
      </c>
      <c r="P23">
        <v>0</v>
      </c>
      <c r="Q23">
        <v>0</v>
      </c>
      <c r="R23">
        <v>0</v>
      </c>
      <c r="S23" s="193">
        <v>0</v>
      </c>
      <c r="T23" s="19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f t="shared" si="5"/>
        <v>0</v>
      </c>
      <c r="AL23">
        <f t="shared" si="6"/>
        <v>0</v>
      </c>
      <c r="AM23">
        <f t="shared" si="7"/>
        <v>0</v>
      </c>
      <c r="AN23">
        <f t="shared" si="8"/>
        <v>0</v>
      </c>
      <c r="AO23">
        <f t="shared" si="8"/>
        <v>0</v>
      </c>
      <c r="AP23">
        <f t="shared" si="9"/>
        <v>0</v>
      </c>
      <c r="AQ23">
        <f t="shared" si="10"/>
        <v>0</v>
      </c>
      <c r="AR23">
        <f t="shared" si="11"/>
        <v>0</v>
      </c>
      <c r="AS23">
        <f t="shared" si="12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  <c r="AY23">
        <f t="shared" si="17"/>
        <v>0</v>
      </c>
      <c r="AZ23">
        <f t="shared" si="18"/>
        <v>0</v>
      </c>
      <c r="BA23">
        <f t="shared" si="19"/>
        <v>0</v>
      </c>
      <c r="BB23">
        <f t="shared" si="20"/>
        <v>0</v>
      </c>
      <c r="BC23">
        <f t="shared" si="21"/>
        <v>0</v>
      </c>
      <c r="BD23">
        <f t="shared" si="22"/>
        <v>0</v>
      </c>
      <c r="BF23">
        <f>VLOOKUP($O23,'Table 3 EV2020 Wind_2020'!$B$10:$K$36,10,FALSE)</f>
        <v>18.97</v>
      </c>
      <c r="BG23">
        <f>VLOOKUP($O23,'Table 3 EV2020 Wind_2021'!$B$10:$K$36,10,FALSE)</f>
        <v>-6.68</v>
      </c>
      <c r="BH23">
        <f>VLOOKUP($O23,'Table 3 DJ Wind 2030'!$B$10:$J$36,9,FALSE)</f>
        <v>149.93</v>
      </c>
      <c r="BI23">
        <f>VLOOKUP($O23,'Table 3 ID Wind 2030'!$B$10:$J$36,9,FALSE)</f>
        <v>150.82</v>
      </c>
      <c r="BJ23">
        <f>VLOOKUP($O23,'Table 3 ID Wind 2033'!$B$10:$J$36,9,FALSE)</f>
        <v>50.58</v>
      </c>
      <c r="BK23">
        <f>VLOOKUP($O23,'Table 3 WW Wind 2035'!$B$10:$J$36,9,FALSE)</f>
        <v>50.58</v>
      </c>
      <c r="BL23">
        <f>VLOOKUP($O23,'Table 3 YK Wind 2035'!$B$10:$J$36,9,FALSE)</f>
        <v>50.58</v>
      </c>
      <c r="BM23">
        <f>VLOOKUP($O23,'Table 3 OR Wind 2035'!$B$10:$J$36,9,FALSE)</f>
        <v>50.58</v>
      </c>
      <c r="BN23">
        <f>VLOOKUP($O23,'Table 3 UT Wind 2030'!$B$10:$J$36,9,FALSE)</f>
        <v>146.63999999999999</v>
      </c>
      <c r="BO23">
        <f>VLOOKUP($O23,'Table 3 UT Wind 2036'!$B$10:$J$36,9,FALSE)</f>
        <v>50.58</v>
      </c>
      <c r="BP23">
        <f>VLOOKUP($O23,'Table 3 YK Solar 2030'!$B$10:$J$36,9,FALSE)</f>
        <v>117.29</v>
      </c>
      <c r="BQ23">
        <f>VLOOKUP($O23,'Table 3 YK Solar 2032'!$B$10:$J$36,9,FALSE)</f>
        <v>25.23</v>
      </c>
      <c r="BR23">
        <f>VLOOKUP($O23,'Table 3 YK Solar 2033'!$B$10:$J$36,9,FALSE)</f>
        <v>25.23</v>
      </c>
      <c r="BS23">
        <f>VLOOKUP($O23,'Table 3 UT Solar 2033 ST'!$B$10:$J$36,9,FALSE)</f>
        <v>26.51</v>
      </c>
      <c r="BT23">
        <f>VLOOKUP($O23,'Table 3 UT Solar 2035 ST'!$B$10:$J$36,9,FALSE)</f>
        <v>26.51</v>
      </c>
      <c r="BU23">
        <f>VLOOKUP($O23,'Table 3 UT Solar 2035 FT'!$B$10:$J$36,9,FALSE)</f>
        <v>25.2</v>
      </c>
      <c r="BV23">
        <f>VLOOKUP($O23,'Table 3 OR Solar 2030'!$B$10:$J$36,9,FALSE)</f>
        <v>120.37</v>
      </c>
      <c r="BW23">
        <f>VLOOKUP($O23,'Table 3 OR Solar 2031'!$B$10:$J$36,9,FALSE)</f>
        <v>26.54</v>
      </c>
      <c r="BX23">
        <f>VLOOKUP($O23,'Table 3 OR Solar 2032'!$B$10:$J$36,9,FALSE)</f>
        <v>26.54</v>
      </c>
      <c r="BY23">
        <f>VLOOKUP($O23,'Table 3 OR Solar 2033'!$B$10:$J$36,9,FALSE)</f>
        <v>26.54</v>
      </c>
      <c r="CA23">
        <f>SUM(AK$13:AK23)*BF23/1000</f>
        <v>0</v>
      </c>
      <c r="CB23">
        <f>SUM(AL$13:AL23)*BG23/1000</f>
        <v>0</v>
      </c>
      <c r="CC23">
        <f>SUM(AM$13:AM23)*BH23/1000</f>
        <v>0</v>
      </c>
      <c r="CD23">
        <f>SUM(AN$13:AN23)*BI23/1000</f>
        <v>0</v>
      </c>
      <c r="CE23">
        <f>SUM(AO$13:AO23)*BJ23/1000</f>
        <v>0</v>
      </c>
      <c r="CF23">
        <f>SUM(AP$13:AP23)*BK23/1000</f>
        <v>0</v>
      </c>
      <c r="CG23">
        <f>SUM(AQ$13:AQ23)*BL23/1000</f>
        <v>0</v>
      </c>
      <c r="CH23">
        <f>SUM(AR$13:AR23)*BM23/1000</f>
        <v>0</v>
      </c>
      <c r="CI23">
        <f>SUM(AS$13:AS23)*BN23/1000</f>
        <v>0</v>
      </c>
      <c r="CJ23">
        <f>SUM(AT$13:AT23)*BO23/1000</f>
        <v>0</v>
      </c>
      <c r="CK23">
        <f>SUM(AU$13:AU23)*BP23/1000</f>
        <v>0</v>
      </c>
      <c r="CL23">
        <f>SUM(AV$13:AV23)*BQ23/1000</f>
        <v>0</v>
      </c>
      <c r="CM23">
        <f>SUM(AW$13:AW23)*BR23/1000</f>
        <v>0</v>
      </c>
      <c r="CN23">
        <f>SUM(AX$13:AX23)*BS23/1000</f>
        <v>0</v>
      </c>
      <c r="CO23">
        <f>SUM(AY$13:AY23)*BT23/1000</f>
        <v>0</v>
      </c>
      <c r="CP23">
        <f>SUM(AZ$13:AZ23)*BU23/1000</f>
        <v>0</v>
      </c>
      <c r="CQ23">
        <f>SUM(BA$13:BA23)*BV23/1000</f>
        <v>0</v>
      </c>
      <c r="CR23">
        <f>SUM(BB$13:BB23)*BW23/1000</f>
        <v>0</v>
      </c>
      <c r="CS23">
        <f>SUM(BC$13:BC23)*BX23/1000</f>
        <v>0</v>
      </c>
      <c r="CT23">
        <f>SUM(BD$13:BD23)*BY23/1000</f>
        <v>0</v>
      </c>
      <c r="CU23">
        <f t="shared" si="29"/>
        <v>0</v>
      </c>
      <c r="CW23">
        <f t="shared" si="24"/>
        <v>2030</v>
      </c>
      <c r="CX23" s="89">
        <f>IFERROR(VLOOKUP($CW23,'Table 3 TransCost D2 '!$B$10:$E$34,4,FALSE),0)</f>
        <v>59.919999999999995</v>
      </c>
      <c r="CY23" s="193">
        <f t="shared" si="27"/>
        <v>0</v>
      </c>
    </row>
    <row r="24" spans="2:103" hidden="1">
      <c r="B24" s="15">
        <f t="shared" si="25"/>
        <v>2031</v>
      </c>
      <c r="C24" s="9">
        <f t="shared" si="3"/>
        <v>0</v>
      </c>
      <c r="D24" s="45"/>
      <c r="E24" s="9" t="e">
        <f t="shared" ca="1" si="26"/>
        <v>#DIV/0!</v>
      </c>
      <c r="F24" s="37"/>
      <c r="G24" s="14" t="e">
        <f t="shared" ca="1" si="28"/>
        <v>#DIV/0!</v>
      </c>
      <c r="H24" s="36"/>
      <c r="I24" s="193"/>
      <c r="J24" s="193"/>
      <c r="M24" s="116"/>
      <c r="O24">
        <f t="shared" si="4"/>
        <v>2031</v>
      </c>
      <c r="P24">
        <v>0</v>
      </c>
      <c r="Q24">
        <v>0</v>
      </c>
      <c r="R24">
        <v>0</v>
      </c>
      <c r="S24" s="193">
        <v>0</v>
      </c>
      <c r="T24" s="193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f t="shared" si="5"/>
        <v>0</v>
      </c>
      <c r="AL24">
        <f t="shared" si="6"/>
        <v>0</v>
      </c>
      <c r="AM24">
        <f t="shared" si="7"/>
        <v>0</v>
      </c>
      <c r="AN24">
        <f t="shared" si="8"/>
        <v>0</v>
      </c>
      <c r="AO24">
        <f t="shared" si="8"/>
        <v>0</v>
      </c>
      <c r="AP24">
        <f t="shared" si="9"/>
        <v>0</v>
      </c>
      <c r="AQ24">
        <f t="shared" si="10"/>
        <v>0</v>
      </c>
      <c r="AR24">
        <f t="shared" si="11"/>
        <v>0</v>
      </c>
      <c r="AS24">
        <f t="shared" si="12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  <c r="AY24">
        <f t="shared" si="17"/>
        <v>0</v>
      </c>
      <c r="AZ24">
        <f t="shared" si="18"/>
        <v>0</v>
      </c>
      <c r="BA24">
        <f t="shared" si="19"/>
        <v>0</v>
      </c>
      <c r="BB24">
        <f t="shared" si="20"/>
        <v>0</v>
      </c>
      <c r="BC24">
        <f t="shared" si="21"/>
        <v>0</v>
      </c>
      <c r="BD24">
        <f t="shared" si="22"/>
        <v>0</v>
      </c>
      <c r="BF24">
        <f>VLOOKUP($O24,'Table 3 EV2020 Wind_2020'!$B$10:$K$36,10,FALSE)</f>
        <v>138.53</v>
      </c>
      <c r="BG24">
        <f>VLOOKUP($O24,'Table 3 EV2020 Wind_2021'!$B$10:$K$36,10,FALSE)</f>
        <v>136.11000000000001</v>
      </c>
      <c r="BH24">
        <f>VLOOKUP($O24,'Table 3 DJ Wind 2030'!$B$10:$J$36,9,FALSE)</f>
        <v>153.38</v>
      </c>
      <c r="BI24">
        <f>VLOOKUP($O24,'Table 3 ID Wind 2030'!$B$10:$J$36,9,FALSE)</f>
        <v>154.29</v>
      </c>
      <c r="BJ24">
        <f>VLOOKUP($O24,'Table 3 ID Wind 2033'!$B$10:$J$36,9,FALSE)</f>
        <v>51.74</v>
      </c>
      <c r="BK24">
        <f>VLOOKUP($O24,'Table 3 WW Wind 2035'!$B$10:$J$36,9,FALSE)</f>
        <v>51.74</v>
      </c>
      <c r="BL24">
        <f>VLOOKUP($O24,'Table 3 YK Wind 2035'!$B$10:$J$36,9,FALSE)</f>
        <v>51.74</v>
      </c>
      <c r="BM24">
        <f>VLOOKUP($O24,'Table 3 OR Wind 2035'!$B$10:$J$36,9,FALSE)</f>
        <v>51.74</v>
      </c>
      <c r="BN24">
        <f>VLOOKUP($O24,'Table 3 UT Wind 2030'!$B$10:$J$36,9,FALSE)</f>
        <v>150.01</v>
      </c>
      <c r="BO24">
        <f>VLOOKUP($O24,'Table 3 UT Wind 2036'!$B$10:$J$36,9,FALSE)</f>
        <v>51.74</v>
      </c>
      <c r="BP24">
        <f>VLOOKUP($O24,'Table 3 YK Solar 2030'!$B$10:$J$36,9,FALSE)</f>
        <v>119.98</v>
      </c>
      <c r="BQ24">
        <f>VLOOKUP($O24,'Table 3 YK Solar 2032'!$B$10:$J$36,9,FALSE)</f>
        <v>25.81</v>
      </c>
      <c r="BR24">
        <f>VLOOKUP($O24,'Table 3 YK Solar 2033'!$B$10:$J$36,9,FALSE)</f>
        <v>25.81</v>
      </c>
      <c r="BS24">
        <f>VLOOKUP($O24,'Table 3 UT Solar 2033 ST'!$B$10:$J$36,9,FALSE)</f>
        <v>27.12</v>
      </c>
      <c r="BT24">
        <f>VLOOKUP($O24,'Table 3 UT Solar 2035 ST'!$B$10:$J$36,9,FALSE)</f>
        <v>27.12</v>
      </c>
      <c r="BU24">
        <f>VLOOKUP($O24,'Table 3 UT Solar 2035 FT'!$B$10:$J$36,9,FALSE)</f>
        <v>25.78</v>
      </c>
      <c r="BV24">
        <f>VLOOKUP($O24,'Table 3 OR Solar 2030'!$B$10:$J$36,9,FALSE)</f>
        <v>123.13</v>
      </c>
      <c r="BW24">
        <f>VLOOKUP($O24,'Table 3 OR Solar 2031'!$B$10:$J$36,9,FALSE)</f>
        <v>120.44</v>
      </c>
      <c r="BX24">
        <f>VLOOKUP($O24,'Table 3 OR Solar 2032'!$B$10:$J$36,9,FALSE)</f>
        <v>27.15</v>
      </c>
      <c r="BY24">
        <f>VLOOKUP($O24,'Table 3 OR Solar 2033'!$B$10:$J$36,9,FALSE)</f>
        <v>27.15</v>
      </c>
      <c r="CA24">
        <f>SUM(AK$13:AK24)*BF24/1000</f>
        <v>0</v>
      </c>
      <c r="CB24">
        <f>SUM(AL$13:AL24)*BG24/1000</f>
        <v>0</v>
      </c>
      <c r="CC24">
        <f>SUM(AM$13:AM24)*BH24/1000</f>
        <v>0</v>
      </c>
      <c r="CD24">
        <f>SUM(AN$13:AN24)*BI24/1000</f>
        <v>0</v>
      </c>
      <c r="CE24">
        <f>SUM(AO$13:AO24)*BJ24/1000</f>
        <v>0</v>
      </c>
      <c r="CF24">
        <f>SUM(AP$13:AP24)*BK24/1000</f>
        <v>0</v>
      </c>
      <c r="CG24">
        <f>SUM(AQ$13:AQ24)*BL24/1000</f>
        <v>0</v>
      </c>
      <c r="CH24">
        <f>SUM(AR$13:AR24)*BM24/1000</f>
        <v>0</v>
      </c>
      <c r="CI24">
        <f>SUM(AS$13:AS24)*BN24/1000</f>
        <v>0</v>
      </c>
      <c r="CJ24">
        <f>SUM(AT$13:AT24)*BO24/1000</f>
        <v>0</v>
      </c>
      <c r="CK24">
        <f>SUM(AU$13:AU24)*BP24/1000</f>
        <v>0</v>
      </c>
      <c r="CL24">
        <f>SUM(AV$13:AV24)*BQ24/1000</f>
        <v>0</v>
      </c>
      <c r="CM24">
        <f>SUM(AW$13:AW24)*BR24/1000</f>
        <v>0</v>
      </c>
      <c r="CN24">
        <f>SUM(AX$13:AX24)*BS24/1000</f>
        <v>0</v>
      </c>
      <c r="CO24">
        <f>SUM(AY$13:AY24)*BT24/1000</f>
        <v>0</v>
      </c>
      <c r="CP24">
        <f>SUM(AZ$13:AZ24)*BU24/1000</f>
        <v>0</v>
      </c>
      <c r="CQ24">
        <f>SUM(BA$13:BA24)*BV24/1000</f>
        <v>0</v>
      </c>
      <c r="CR24">
        <f>SUM(BB$13:BB24)*BW24/1000</f>
        <v>0</v>
      </c>
      <c r="CS24">
        <f>SUM(BC$13:BC24)*BX24/1000</f>
        <v>0</v>
      </c>
      <c r="CT24">
        <f>SUM(BD$13:BD24)*BY24/1000</f>
        <v>0</v>
      </c>
      <c r="CU24">
        <f t="shared" si="29"/>
        <v>0</v>
      </c>
      <c r="CW24">
        <f t="shared" si="24"/>
        <v>2031</v>
      </c>
      <c r="CX24" s="89">
        <f>IFERROR(VLOOKUP($CW24,'Table 3 TransCost D2 '!$B$10:$E$34,4,FALSE),0)</f>
        <v>61.29999999999999</v>
      </c>
      <c r="CY24" s="193">
        <f t="shared" si="27"/>
        <v>0</v>
      </c>
    </row>
    <row r="25" spans="2:103" hidden="1">
      <c r="B25" s="15">
        <f t="shared" si="25"/>
        <v>2032</v>
      </c>
      <c r="C25" s="9">
        <f t="shared" si="3"/>
        <v>0</v>
      </c>
      <c r="D25" s="45"/>
      <c r="E25" s="9" t="e">
        <f t="shared" ca="1" si="26"/>
        <v>#DIV/0!</v>
      </c>
      <c r="F25" s="37"/>
      <c r="G25" s="14" t="e">
        <f t="shared" ca="1" si="28"/>
        <v>#DIV/0!</v>
      </c>
      <c r="H25" s="36"/>
      <c r="I25" s="193"/>
      <c r="J25" s="193"/>
      <c r="M25" s="116"/>
      <c r="O25">
        <f t="shared" si="4"/>
        <v>2032</v>
      </c>
      <c r="P25">
        <v>0</v>
      </c>
      <c r="Q25">
        <v>0</v>
      </c>
      <c r="R25">
        <v>0</v>
      </c>
      <c r="S25" s="193">
        <v>0</v>
      </c>
      <c r="T25" s="193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f t="shared" si="5"/>
        <v>0</v>
      </c>
      <c r="AL25">
        <f t="shared" si="6"/>
        <v>0</v>
      </c>
      <c r="AM25">
        <f t="shared" si="7"/>
        <v>0</v>
      </c>
      <c r="AN25">
        <f t="shared" si="8"/>
        <v>0</v>
      </c>
      <c r="AO25">
        <f t="shared" si="8"/>
        <v>0</v>
      </c>
      <c r="AP25">
        <f t="shared" si="9"/>
        <v>0</v>
      </c>
      <c r="AQ25">
        <f t="shared" si="10"/>
        <v>0</v>
      </c>
      <c r="AR25">
        <f t="shared" si="11"/>
        <v>0</v>
      </c>
      <c r="AS25">
        <f t="shared" si="12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  <c r="AY25">
        <f t="shared" si="17"/>
        <v>0</v>
      </c>
      <c r="AZ25">
        <f t="shared" si="18"/>
        <v>0</v>
      </c>
      <c r="BA25">
        <f t="shared" si="19"/>
        <v>0</v>
      </c>
      <c r="BB25">
        <f t="shared" si="20"/>
        <v>0</v>
      </c>
      <c r="BC25">
        <f t="shared" si="21"/>
        <v>0</v>
      </c>
      <c r="BD25">
        <f t="shared" si="22"/>
        <v>0</v>
      </c>
      <c r="BF25">
        <f>VLOOKUP($O25,'Table 3 EV2020 Wind_2020'!$B$10:$K$36,10,FALSE)</f>
        <v>141.72999999999999</v>
      </c>
      <c r="BG25">
        <f>VLOOKUP($O25,'Table 3 EV2020 Wind_2021'!$B$10:$K$36,10,FALSE)</f>
        <v>139.26</v>
      </c>
      <c r="BH25">
        <f>VLOOKUP($O25,'Table 3 DJ Wind 2030'!$B$10:$J$36,9,FALSE)</f>
        <v>156.9</v>
      </c>
      <c r="BI25">
        <f>VLOOKUP($O25,'Table 3 ID Wind 2030'!$B$10:$J$36,9,FALSE)</f>
        <v>157.84</v>
      </c>
      <c r="BJ25">
        <f>VLOOKUP($O25,'Table 3 ID Wind 2033'!$B$10:$J$36,9,FALSE)</f>
        <v>52.93</v>
      </c>
      <c r="BK25">
        <f>VLOOKUP($O25,'Table 3 WW Wind 2035'!$B$10:$J$36,9,FALSE)</f>
        <v>52.93</v>
      </c>
      <c r="BL25">
        <f>VLOOKUP($O25,'Table 3 YK Wind 2035'!$B$10:$J$36,9,FALSE)</f>
        <v>52.93</v>
      </c>
      <c r="BM25">
        <f>VLOOKUP($O25,'Table 3 OR Wind 2035'!$B$10:$J$36,9,FALSE)</f>
        <v>52.93</v>
      </c>
      <c r="BN25">
        <f>VLOOKUP($O25,'Table 3 UT Wind 2030'!$B$10:$J$36,9,FALSE)</f>
        <v>153.46</v>
      </c>
      <c r="BO25">
        <f>VLOOKUP($O25,'Table 3 UT Wind 2036'!$B$10:$J$36,9,FALSE)</f>
        <v>52.93</v>
      </c>
      <c r="BP25">
        <f>VLOOKUP($O25,'Table 3 YK Solar 2030'!$B$10:$J$36,9,FALSE)</f>
        <v>122.74</v>
      </c>
      <c r="BQ25">
        <f>VLOOKUP($O25,'Table 3 YK Solar 2032'!$B$10:$J$36,9,FALSE)</f>
        <v>117.41</v>
      </c>
      <c r="BR25">
        <f>VLOOKUP($O25,'Table 3 YK Solar 2033'!$B$10:$J$36,9,FALSE)</f>
        <v>26.4</v>
      </c>
      <c r="BS25">
        <f>VLOOKUP($O25,'Table 3 UT Solar 2033 ST'!$B$10:$J$36,9,FALSE)</f>
        <v>27.74</v>
      </c>
      <c r="BT25">
        <f>VLOOKUP($O25,'Table 3 UT Solar 2035 ST'!$B$10:$J$36,9,FALSE)</f>
        <v>27.74</v>
      </c>
      <c r="BU25">
        <f>VLOOKUP($O25,'Table 3 UT Solar 2035 FT'!$B$10:$J$36,9,FALSE)</f>
        <v>26.37</v>
      </c>
      <c r="BV25">
        <f>VLOOKUP($O25,'Table 3 OR Solar 2030'!$B$10:$J$36,9,FALSE)</f>
        <v>125.96</v>
      </c>
      <c r="BW25">
        <f>VLOOKUP($O25,'Table 3 OR Solar 2031'!$B$10:$J$36,9,FALSE)</f>
        <v>123.21</v>
      </c>
      <c r="BX25">
        <f>VLOOKUP($O25,'Table 3 OR Solar 2032'!$B$10:$J$36,9,FALSE)</f>
        <v>120.53</v>
      </c>
      <c r="BY25">
        <f>VLOOKUP($O25,'Table 3 OR Solar 2033'!$B$10:$J$36,9,FALSE)</f>
        <v>27.77</v>
      </c>
      <c r="CA25">
        <f>SUM(AK$13:AK25)*BF25/1000</f>
        <v>0</v>
      </c>
      <c r="CB25">
        <f>SUM(AL$13:AL25)*BG25/1000</f>
        <v>0</v>
      </c>
      <c r="CC25">
        <f>SUM(AM$13:AM25)*BH25/1000</f>
        <v>0</v>
      </c>
      <c r="CD25">
        <f>SUM(AN$13:AN25)*BI25/1000</f>
        <v>0</v>
      </c>
      <c r="CE25">
        <f>SUM(AO$13:AO25)*BJ25/1000</f>
        <v>0</v>
      </c>
      <c r="CF25">
        <f>SUM(AP$13:AP25)*BK25/1000</f>
        <v>0</v>
      </c>
      <c r="CG25">
        <f>SUM(AQ$13:AQ25)*BL25/1000</f>
        <v>0</v>
      </c>
      <c r="CH25">
        <f>SUM(AR$13:AR25)*BM25/1000</f>
        <v>0</v>
      </c>
      <c r="CI25">
        <f>SUM(AS$13:AS25)*BN25/1000</f>
        <v>0</v>
      </c>
      <c r="CJ25">
        <f>SUM(AT$13:AT25)*BO25/1000</f>
        <v>0</v>
      </c>
      <c r="CK25">
        <f>SUM(AU$13:AU25)*BP25/1000</f>
        <v>0</v>
      </c>
      <c r="CL25">
        <f>SUM(AV$13:AV25)*BQ25/1000</f>
        <v>0</v>
      </c>
      <c r="CM25">
        <f>SUM(AW$13:AW25)*BR25/1000</f>
        <v>0</v>
      </c>
      <c r="CN25">
        <f>SUM(AX$13:AX25)*BS25/1000</f>
        <v>0</v>
      </c>
      <c r="CO25">
        <f>SUM(AY$13:AY25)*BT25/1000</f>
        <v>0</v>
      </c>
      <c r="CP25">
        <f>SUM(AZ$13:AZ25)*BU25/1000</f>
        <v>0</v>
      </c>
      <c r="CQ25">
        <f>SUM(BA$13:BA25)*BV25/1000</f>
        <v>0</v>
      </c>
      <c r="CR25">
        <f>SUM(BB$13:BB25)*BW25/1000</f>
        <v>0</v>
      </c>
      <c r="CS25">
        <f>SUM(BC$13:BC25)*BX25/1000</f>
        <v>0</v>
      </c>
      <c r="CT25">
        <f>SUM(BD$13:BD25)*BY25/1000</f>
        <v>0</v>
      </c>
      <c r="CU25">
        <f t="shared" si="29"/>
        <v>0</v>
      </c>
      <c r="CW25">
        <f t="shared" si="24"/>
        <v>2032</v>
      </c>
      <c r="CX25" s="89">
        <f>IFERROR(VLOOKUP($CW25,'Table 3 TransCost D2 '!$B$10:$E$34,4,FALSE),0)</f>
        <v>62.71</v>
      </c>
      <c r="CY25" s="193">
        <f t="shared" si="27"/>
        <v>0</v>
      </c>
    </row>
    <row r="26" spans="2:103" hidden="1">
      <c r="B26" s="15">
        <f t="shared" si="25"/>
        <v>2033</v>
      </c>
      <c r="C26" s="9">
        <f t="shared" si="3"/>
        <v>0</v>
      </c>
      <c r="D26" s="45"/>
      <c r="E26" s="9" t="e">
        <f t="shared" ca="1" si="26"/>
        <v>#DIV/0!</v>
      </c>
      <c r="F26" s="37"/>
      <c r="G26" s="14" t="e">
        <f t="shared" ca="1" si="28"/>
        <v>#DIV/0!</v>
      </c>
      <c r="H26" s="36"/>
      <c r="I26" s="193"/>
      <c r="J26" s="193"/>
      <c r="M26" s="116"/>
      <c r="O26">
        <f t="shared" si="4"/>
        <v>2033</v>
      </c>
      <c r="P26">
        <v>0</v>
      </c>
      <c r="Q26">
        <v>0</v>
      </c>
      <c r="R26">
        <v>0</v>
      </c>
      <c r="S26" s="193">
        <v>0</v>
      </c>
      <c r="T26" s="193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K26">
        <f t="shared" si="5"/>
        <v>0</v>
      </c>
      <c r="AL26">
        <f t="shared" si="6"/>
        <v>0</v>
      </c>
      <c r="AM26">
        <f t="shared" si="7"/>
        <v>0</v>
      </c>
      <c r="AN26">
        <f t="shared" si="8"/>
        <v>0</v>
      </c>
      <c r="AO26">
        <f t="shared" si="8"/>
        <v>0</v>
      </c>
      <c r="AP26">
        <f t="shared" si="9"/>
        <v>0</v>
      </c>
      <c r="AQ26">
        <f t="shared" si="10"/>
        <v>0</v>
      </c>
      <c r="AR26">
        <f t="shared" si="11"/>
        <v>0</v>
      </c>
      <c r="AS26">
        <f t="shared" si="12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  <c r="AY26">
        <f t="shared" si="17"/>
        <v>0</v>
      </c>
      <c r="AZ26">
        <f t="shared" si="18"/>
        <v>0</v>
      </c>
      <c r="BA26">
        <f t="shared" si="19"/>
        <v>0</v>
      </c>
      <c r="BB26">
        <f t="shared" si="20"/>
        <v>0</v>
      </c>
      <c r="BC26">
        <f t="shared" si="21"/>
        <v>0</v>
      </c>
      <c r="BD26">
        <f t="shared" si="22"/>
        <v>0</v>
      </c>
      <c r="BF26">
        <f>VLOOKUP($O26,'Table 3 EV2020 Wind_2020'!$B$10:$K$36,10,FALSE)</f>
        <v>145</v>
      </c>
      <c r="BG26">
        <f>VLOOKUP($O26,'Table 3 EV2020 Wind_2021'!$B$10:$K$36,10,FALSE)</f>
        <v>142.47</v>
      </c>
      <c r="BH26">
        <f>VLOOKUP($O26,'Table 3 DJ Wind 2030'!$B$10:$J$36,9,FALSE)</f>
        <v>160.5</v>
      </c>
      <c r="BI26">
        <f>VLOOKUP($O26,'Table 3 ID Wind 2030'!$B$10:$J$36,9,FALSE)</f>
        <v>161.47</v>
      </c>
      <c r="BJ26">
        <f>VLOOKUP($O26,'Table 3 ID Wind 2033'!$B$10:$J$36,9,FALSE)</f>
        <v>155.06</v>
      </c>
      <c r="BK26">
        <f>VLOOKUP($O26,'Table 3 WW Wind 2035'!$B$10:$J$36,9,FALSE)</f>
        <v>54.15</v>
      </c>
      <c r="BL26">
        <f>VLOOKUP($O26,'Table 3 YK Wind 2035'!$B$10:$J$36,9,FALSE)</f>
        <v>54.15</v>
      </c>
      <c r="BM26">
        <f>VLOOKUP($O26,'Table 3 OR Wind 2035'!$B$10:$J$36,9,FALSE)</f>
        <v>54.15</v>
      </c>
      <c r="BN26">
        <f>VLOOKUP($O26,'Table 3 UT Wind 2030'!$B$10:$J$36,9,FALSE)</f>
        <v>156.99</v>
      </c>
      <c r="BO26">
        <f>VLOOKUP($O26,'Table 3 UT Wind 2036'!$B$10:$J$36,9,FALSE)</f>
        <v>54.15</v>
      </c>
      <c r="BP26">
        <f>VLOOKUP($O26,'Table 3 YK Solar 2030'!$B$10:$J$36,9,FALSE)</f>
        <v>125.57</v>
      </c>
      <c r="BQ26">
        <f>VLOOKUP($O26,'Table 3 YK Solar 2032'!$B$10:$J$36,9,FALSE)</f>
        <v>120.11</v>
      </c>
      <c r="BR26">
        <f>VLOOKUP($O26,'Table 3 YK Solar 2033'!$B$10:$J$36,9,FALSE)</f>
        <v>117.5</v>
      </c>
      <c r="BS26">
        <f>VLOOKUP($O26,'Table 3 UT Solar 2033 ST'!$B$10:$J$36,9,FALSE)</f>
        <v>118.38</v>
      </c>
      <c r="BT26">
        <f>VLOOKUP($O26,'Table 3 UT Solar 2035 ST'!$B$10:$J$36,9,FALSE)</f>
        <v>28.38</v>
      </c>
      <c r="BU26">
        <f>VLOOKUP($O26,'Table 3 UT Solar 2035 FT'!$B$10:$J$36,9,FALSE)</f>
        <v>26.98</v>
      </c>
      <c r="BV26">
        <f>VLOOKUP($O26,'Table 3 OR Solar 2030'!$B$10:$J$36,9,FALSE)</f>
        <v>128.86000000000001</v>
      </c>
      <c r="BW26">
        <f>VLOOKUP($O26,'Table 3 OR Solar 2031'!$B$10:$J$36,9,FALSE)</f>
        <v>126.05</v>
      </c>
      <c r="BX26">
        <f>VLOOKUP($O26,'Table 3 OR Solar 2032'!$B$10:$J$36,9,FALSE)</f>
        <v>123.3</v>
      </c>
      <c r="BY26">
        <f>VLOOKUP($O26,'Table 3 OR Solar 2033'!$B$10:$J$36,9,FALSE)</f>
        <v>120.64</v>
      </c>
      <c r="CA26">
        <f>SUM(AK$13:AK26)*BF26/1000</f>
        <v>0</v>
      </c>
      <c r="CB26">
        <f>SUM(AL$13:AL26)*BG26/1000</f>
        <v>0</v>
      </c>
      <c r="CC26">
        <f>SUM(AM$13:AM26)*BH26/1000</f>
        <v>0</v>
      </c>
      <c r="CD26">
        <f>SUM(AN$13:AN26)*BI26/1000</f>
        <v>0</v>
      </c>
      <c r="CE26">
        <f>SUM(AO$13:AO26)*BJ26/1000</f>
        <v>0</v>
      </c>
      <c r="CF26">
        <f>SUM(AP$13:AP26)*BK26/1000</f>
        <v>0</v>
      </c>
      <c r="CG26">
        <f>SUM(AQ$13:AQ26)*BL26/1000</f>
        <v>0</v>
      </c>
      <c r="CH26">
        <f>SUM(AR$13:AR26)*BM26/1000</f>
        <v>0</v>
      </c>
      <c r="CI26">
        <f>SUM(AS$13:AS26)*BN26/1000</f>
        <v>0</v>
      </c>
      <c r="CJ26">
        <f>SUM(AT$13:AT26)*BO26/1000</f>
        <v>0</v>
      </c>
      <c r="CK26">
        <f>SUM(AU$13:AU26)*BP26/1000</f>
        <v>0</v>
      </c>
      <c r="CL26">
        <f>SUM(AV$13:AV26)*BQ26/1000</f>
        <v>0</v>
      </c>
      <c r="CM26">
        <f>SUM(AW$13:AW26)*BR26/1000</f>
        <v>0</v>
      </c>
      <c r="CN26">
        <f>SUM(AX$13:AX26)*BS26/1000</f>
        <v>0</v>
      </c>
      <c r="CO26">
        <f>SUM(AY$13:AY26)*BT26/1000</f>
        <v>0</v>
      </c>
      <c r="CP26">
        <f>SUM(AZ$13:AZ26)*BU26/1000</f>
        <v>0</v>
      </c>
      <c r="CQ26">
        <f>SUM(BA$13:BA26)*BV26/1000</f>
        <v>0</v>
      </c>
      <c r="CR26">
        <f>SUM(BB$13:BB26)*BW26/1000</f>
        <v>0</v>
      </c>
      <c r="CS26">
        <f>SUM(BC$13:BC26)*BX26/1000</f>
        <v>0</v>
      </c>
      <c r="CT26">
        <f>SUM(BD$13:BD26)*BY26/1000</f>
        <v>0</v>
      </c>
      <c r="CU26">
        <f t="shared" si="29"/>
        <v>0</v>
      </c>
      <c r="CW26">
        <f t="shared" si="24"/>
        <v>2033</v>
      </c>
      <c r="CX26" s="89">
        <f>IFERROR(VLOOKUP($CW26,'Table 3 TransCost D2 '!$B$10:$E$34,4,FALSE),0)</f>
        <v>64.150000000000006</v>
      </c>
      <c r="CY26" s="193">
        <f t="shared" si="27"/>
        <v>0</v>
      </c>
    </row>
    <row r="27" spans="2:103" hidden="1">
      <c r="B27" s="15">
        <f t="shared" si="25"/>
        <v>2034</v>
      </c>
      <c r="C27" s="9">
        <f t="shared" si="3"/>
        <v>0</v>
      </c>
      <c r="D27" s="45"/>
      <c r="E27" s="9" t="e">
        <f t="shared" ca="1" si="26"/>
        <v>#DIV/0!</v>
      </c>
      <c r="F27" s="37"/>
      <c r="G27" s="14" t="e">
        <f t="shared" ca="1" si="28"/>
        <v>#DIV/0!</v>
      </c>
      <c r="H27" s="36"/>
      <c r="I27" s="193"/>
      <c r="J27" s="193"/>
      <c r="M27" s="116"/>
      <c r="O27">
        <f t="shared" si="4"/>
        <v>2034</v>
      </c>
      <c r="P27">
        <v>0</v>
      </c>
      <c r="Q27">
        <v>0</v>
      </c>
      <c r="R27">
        <v>0</v>
      </c>
      <c r="S27" s="193">
        <v>0</v>
      </c>
      <c r="T27" s="193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K27">
        <f t="shared" si="5"/>
        <v>0</v>
      </c>
      <c r="AL27">
        <f t="shared" si="6"/>
        <v>0</v>
      </c>
      <c r="AM27">
        <f t="shared" si="7"/>
        <v>0</v>
      </c>
      <c r="AN27">
        <f t="shared" si="8"/>
        <v>0</v>
      </c>
      <c r="AO27">
        <f t="shared" si="8"/>
        <v>0</v>
      </c>
      <c r="AP27">
        <f t="shared" si="9"/>
        <v>0</v>
      </c>
      <c r="AQ27">
        <f t="shared" si="10"/>
        <v>0</v>
      </c>
      <c r="AR27">
        <f t="shared" si="11"/>
        <v>0</v>
      </c>
      <c r="AS27">
        <f t="shared" si="12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  <c r="AY27">
        <f t="shared" si="17"/>
        <v>0</v>
      </c>
      <c r="AZ27">
        <f t="shared" si="18"/>
        <v>0</v>
      </c>
      <c r="BA27">
        <f t="shared" si="19"/>
        <v>0</v>
      </c>
      <c r="BB27">
        <f t="shared" si="20"/>
        <v>0</v>
      </c>
      <c r="BC27">
        <f t="shared" si="21"/>
        <v>0</v>
      </c>
      <c r="BD27">
        <f t="shared" si="22"/>
        <v>0</v>
      </c>
      <c r="BF27">
        <f>VLOOKUP($O27,'Table 3 EV2020 Wind_2020'!$B$10:$K$36,10,FALSE)</f>
        <v>148.34</v>
      </c>
      <c r="BG27">
        <f>VLOOKUP($O27,'Table 3 EV2020 Wind_2021'!$B$10:$K$36,10,FALSE)</f>
        <v>145.75</v>
      </c>
      <c r="BH27">
        <f>VLOOKUP($O27,'Table 3 DJ Wind 2030'!$B$10:$J$36,9,FALSE)</f>
        <v>164.19</v>
      </c>
      <c r="BI27">
        <f>VLOOKUP($O27,'Table 3 ID Wind 2030'!$B$10:$J$36,9,FALSE)</f>
        <v>165.19</v>
      </c>
      <c r="BJ27">
        <f>VLOOKUP($O27,'Table 3 ID Wind 2033'!$B$10:$J$36,9,FALSE)</f>
        <v>158.63</v>
      </c>
      <c r="BK27">
        <f>VLOOKUP($O27,'Table 3 WW Wind 2035'!$B$10:$J$36,9,FALSE)</f>
        <v>55.4</v>
      </c>
      <c r="BL27">
        <f>VLOOKUP($O27,'Table 3 YK Wind 2035'!$B$10:$J$36,9,FALSE)</f>
        <v>55.4</v>
      </c>
      <c r="BM27">
        <f>VLOOKUP($O27,'Table 3 OR Wind 2035'!$B$10:$J$36,9,FALSE)</f>
        <v>55.4</v>
      </c>
      <c r="BN27">
        <f>VLOOKUP($O27,'Table 3 UT Wind 2030'!$B$10:$J$36,9,FALSE)</f>
        <v>160.61000000000001</v>
      </c>
      <c r="BO27">
        <f>VLOOKUP($O27,'Table 3 UT Wind 2036'!$B$10:$J$36,9,FALSE)</f>
        <v>55.4</v>
      </c>
      <c r="BP27">
        <f>VLOOKUP($O27,'Table 3 YK Solar 2030'!$B$10:$J$36,9,FALSE)</f>
        <v>128.46</v>
      </c>
      <c r="BQ27">
        <f>VLOOKUP($O27,'Table 3 YK Solar 2032'!$B$10:$J$36,9,FALSE)</f>
        <v>122.87</v>
      </c>
      <c r="BR27">
        <f>VLOOKUP($O27,'Table 3 YK Solar 2033'!$B$10:$J$36,9,FALSE)</f>
        <v>120.2</v>
      </c>
      <c r="BS27">
        <f>VLOOKUP($O27,'Table 3 UT Solar 2033 ST'!$B$10:$J$36,9,FALSE)</f>
        <v>121.1</v>
      </c>
      <c r="BT27">
        <f>VLOOKUP($O27,'Table 3 UT Solar 2035 ST'!$B$10:$J$36,9,FALSE)</f>
        <v>29.03</v>
      </c>
      <c r="BU27">
        <f>VLOOKUP($O27,'Table 3 UT Solar 2035 FT'!$B$10:$J$36,9,FALSE)</f>
        <v>27.6</v>
      </c>
      <c r="BV27">
        <f>VLOOKUP($O27,'Table 3 OR Solar 2030'!$B$10:$J$36,9,FALSE)</f>
        <v>131.82</v>
      </c>
      <c r="BW27">
        <f>VLOOKUP($O27,'Table 3 OR Solar 2031'!$B$10:$J$36,9,FALSE)</f>
        <v>128.94999999999999</v>
      </c>
      <c r="BX27">
        <f>VLOOKUP($O27,'Table 3 OR Solar 2032'!$B$10:$J$36,9,FALSE)</f>
        <v>126.13</v>
      </c>
      <c r="BY27">
        <f>VLOOKUP($O27,'Table 3 OR Solar 2033'!$B$10:$J$36,9,FALSE)</f>
        <v>123.41</v>
      </c>
      <c r="CA27">
        <f>SUM(AK$13:AK27)*BF27/1000</f>
        <v>0</v>
      </c>
      <c r="CB27">
        <f>SUM(AL$13:AL27)*BG27/1000</f>
        <v>0</v>
      </c>
      <c r="CC27">
        <f>SUM(AM$13:AM27)*BH27/1000</f>
        <v>0</v>
      </c>
      <c r="CD27">
        <f>SUM(AN$13:AN27)*BI27/1000</f>
        <v>0</v>
      </c>
      <c r="CE27">
        <f>SUM(AO$13:AO27)*BJ27/1000</f>
        <v>0</v>
      </c>
      <c r="CF27">
        <f>SUM(AP$13:AP27)*BK27/1000</f>
        <v>0</v>
      </c>
      <c r="CG27">
        <f>SUM(AQ$13:AQ27)*BL27/1000</f>
        <v>0</v>
      </c>
      <c r="CH27">
        <f>SUM(AR$13:AR27)*BM27/1000</f>
        <v>0</v>
      </c>
      <c r="CI27">
        <f>SUM(AS$13:AS27)*BN27/1000</f>
        <v>0</v>
      </c>
      <c r="CJ27">
        <f>SUM(AT$13:AT27)*BO27/1000</f>
        <v>0</v>
      </c>
      <c r="CK27">
        <f>SUM(AU$13:AU27)*BP27/1000</f>
        <v>0</v>
      </c>
      <c r="CL27">
        <f>SUM(AV$13:AV27)*BQ27/1000</f>
        <v>0</v>
      </c>
      <c r="CM27">
        <f>SUM(AW$13:AW27)*BR27/1000</f>
        <v>0</v>
      </c>
      <c r="CN27">
        <f>SUM(AX$13:AX27)*BS27/1000</f>
        <v>0</v>
      </c>
      <c r="CO27">
        <f>SUM(AY$13:AY27)*BT27/1000</f>
        <v>0</v>
      </c>
      <c r="CP27">
        <f>SUM(AZ$13:AZ27)*BU27/1000</f>
        <v>0</v>
      </c>
      <c r="CQ27">
        <f>SUM(BA$13:BA27)*BV27/1000</f>
        <v>0</v>
      </c>
      <c r="CR27">
        <f>SUM(BB$13:BB27)*BW27/1000</f>
        <v>0</v>
      </c>
      <c r="CS27">
        <f>SUM(BC$13:BC27)*BX27/1000</f>
        <v>0</v>
      </c>
      <c r="CT27">
        <f>SUM(BD$13:BD27)*BY27/1000</f>
        <v>0</v>
      </c>
      <c r="CU27">
        <f t="shared" si="29"/>
        <v>0</v>
      </c>
      <c r="CW27">
        <f t="shared" si="24"/>
        <v>2034</v>
      </c>
      <c r="CX27" s="89">
        <f>IFERROR(VLOOKUP($CW27,'Table 3 TransCost D2 '!$B$10:$E$34,4,FALSE),0)</f>
        <v>65.63</v>
      </c>
      <c r="CY27" s="193">
        <f t="shared" si="27"/>
        <v>0</v>
      </c>
    </row>
    <row r="28" spans="2:103" hidden="1">
      <c r="B28" s="15">
        <f t="shared" si="25"/>
        <v>2035</v>
      </c>
      <c r="C28" s="9">
        <f t="shared" si="3"/>
        <v>0</v>
      </c>
      <c r="D28" s="45"/>
      <c r="E28" s="9" t="e">
        <f t="shared" ca="1" si="26"/>
        <v>#DIV/0!</v>
      </c>
      <c r="F28" s="37"/>
      <c r="G28" s="14" t="e">
        <f t="shared" ca="1" si="28"/>
        <v>#DIV/0!</v>
      </c>
      <c r="H28" s="36"/>
      <c r="I28" s="193"/>
      <c r="J28" s="193"/>
      <c r="M28" s="116"/>
      <c r="O28">
        <f t="shared" si="4"/>
        <v>2035</v>
      </c>
      <c r="P28">
        <v>0</v>
      </c>
      <c r="Q28">
        <v>0</v>
      </c>
      <c r="R28">
        <v>0</v>
      </c>
      <c r="S28" s="193">
        <v>0</v>
      </c>
      <c r="T28" s="193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f t="shared" si="5"/>
        <v>0</v>
      </c>
      <c r="AL28">
        <f t="shared" si="6"/>
        <v>0</v>
      </c>
      <c r="AM28">
        <f t="shared" si="7"/>
        <v>0</v>
      </c>
      <c r="AN28">
        <f t="shared" si="8"/>
        <v>0</v>
      </c>
      <c r="AO28">
        <f t="shared" si="8"/>
        <v>0</v>
      </c>
      <c r="AP28">
        <f t="shared" si="9"/>
        <v>0</v>
      </c>
      <c r="AQ28">
        <f t="shared" si="10"/>
        <v>0</v>
      </c>
      <c r="AR28">
        <f t="shared" si="11"/>
        <v>0</v>
      </c>
      <c r="AS28">
        <f t="shared" si="12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  <c r="AY28">
        <f t="shared" si="17"/>
        <v>0</v>
      </c>
      <c r="AZ28">
        <f t="shared" si="18"/>
        <v>0</v>
      </c>
      <c r="BA28">
        <f t="shared" si="19"/>
        <v>0</v>
      </c>
      <c r="BB28">
        <f t="shared" si="20"/>
        <v>0</v>
      </c>
      <c r="BC28">
        <f t="shared" si="21"/>
        <v>0</v>
      </c>
      <c r="BD28">
        <f t="shared" si="22"/>
        <v>0</v>
      </c>
      <c r="BF28">
        <f>VLOOKUP($O28,'Table 3 EV2020 Wind_2020'!$B$10:$K$36,10,FALSE)</f>
        <v>151.61000000000001</v>
      </c>
      <c r="BG28">
        <f>VLOOKUP($O28,'Table 3 EV2020 Wind_2021'!$B$10:$K$36,10,FALSE)</f>
        <v>148.96</v>
      </c>
      <c r="BH28">
        <f>VLOOKUP($O28,'Table 3 DJ Wind 2030'!$B$10:$J$36,9,FALSE)</f>
        <v>167.81</v>
      </c>
      <c r="BI28">
        <f>VLOOKUP($O28,'Table 3 ID Wind 2030'!$B$10:$J$36,9,FALSE)</f>
        <v>168.83</v>
      </c>
      <c r="BJ28">
        <f>VLOOKUP($O28,'Table 3 ID Wind 2033'!$B$10:$J$36,9,FALSE)</f>
        <v>162.12</v>
      </c>
      <c r="BK28">
        <f>VLOOKUP($O28,'Table 3 WW Wind 2035'!$B$10:$J$36,9,FALSE)</f>
        <v>157.34</v>
      </c>
      <c r="BL28">
        <f>VLOOKUP($O28,'Table 3 YK Wind 2035'!$B$10:$J$36,9,FALSE)</f>
        <v>157.34</v>
      </c>
      <c r="BM28">
        <f>VLOOKUP($O28,'Table 3 OR Wind 2035'!$B$10:$J$36,9,FALSE)</f>
        <v>155.9</v>
      </c>
      <c r="BN28">
        <f>VLOOKUP($O28,'Table 3 UT Wind 2030'!$B$10:$J$36,9,FALSE)</f>
        <v>164.14</v>
      </c>
      <c r="BO28">
        <f>VLOOKUP($O28,'Table 3 UT Wind 2036'!$B$10:$J$36,9,FALSE)</f>
        <v>56.62</v>
      </c>
      <c r="BP28">
        <f>VLOOKUP($O28,'Table 3 YK Solar 2030'!$B$10:$J$36,9,FALSE)</f>
        <v>131.29</v>
      </c>
      <c r="BQ28">
        <f>VLOOKUP($O28,'Table 3 YK Solar 2032'!$B$10:$J$36,9,FALSE)</f>
        <v>125.58</v>
      </c>
      <c r="BR28">
        <f>VLOOKUP($O28,'Table 3 YK Solar 2033'!$B$10:$J$36,9,FALSE)</f>
        <v>122.85</v>
      </c>
      <c r="BS28">
        <f>VLOOKUP($O28,'Table 3 UT Solar 2033 ST'!$B$10:$J$36,9,FALSE)</f>
        <v>123.77</v>
      </c>
      <c r="BT28">
        <f>VLOOKUP($O28,'Table 3 UT Solar 2035 ST'!$B$10:$J$36,9,FALSE)</f>
        <v>118.65</v>
      </c>
      <c r="BU28">
        <f>VLOOKUP($O28,'Table 3 UT Solar 2035 FT'!$B$10:$J$36,9,FALSE)</f>
        <v>115.37</v>
      </c>
      <c r="BV28">
        <f>VLOOKUP($O28,'Table 3 OR Solar 2030'!$B$10:$J$36,9,FALSE)</f>
        <v>134.72</v>
      </c>
      <c r="BW28">
        <f>VLOOKUP($O28,'Table 3 OR Solar 2031'!$B$10:$J$36,9,FALSE)</f>
        <v>131.79</v>
      </c>
      <c r="BX28">
        <f>VLOOKUP($O28,'Table 3 OR Solar 2032'!$B$10:$J$36,9,FALSE)</f>
        <v>128.91</v>
      </c>
      <c r="BY28">
        <f>VLOOKUP($O28,'Table 3 OR Solar 2033'!$B$10:$J$36,9,FALSE)</f>
        <v>126.13</v>
      </c>
      <c r="CA28">
        <f>SUM(AK$13:AK28)*BF28/1000</f>
        <v>0</v>
      </c>
      <c r="CB28">
        <f>SUM(AL$13:AL28)*BG28/1000</f>
        <v>0</v>
      </c>
      <c r="CC28">
        <f>SUM(AM$13:AM28)*BH28/1000</f>
        <v>0</v>
      </c>
      <c r="CD28">
        <f>SUM(AN$13:AN28)*BI28/1000</f>
        <v>0</v>
      </c>
      <c r="CE28">
        <f>SUM(AO$13:AO28)*BJ28/1000</f>
        <v>0</v>
      </c>
      <c r="CF28">
        <f>SUM(AP$13:AP28)*BK28/1000</f>
        <v>0</v>
      </c>
      <c r="CG28">
        <f>SUM(AQ$13:AQ28)*BL28/1000</f>
        <v>0</v>
      </c>
      <c r="CH28">
        <f>SUM(AR$13:AR28)*BM28/1000</f>
        <v>0</v>
      </c>
      <c r="CI28">
        <f>SUM(AS$13:AS28)*BN28/1000</f>
        <v>0</v>
      </c>
      <c r="CJ28">
        <f>SUM(AT$13:AT28)*BO28/1000</f>
        <v>0</v>
      </c>
      <c r="CK28">
        <f>SUM(AU$13:AU28)*BP28/1000</f>
        <v>0</v>
      </c>
      <c r="CL28">
        <f>SUM(AV$13:AV28)*BQ28/1000</f>
        <v>0</v>
      </c>
      <c r="CM28">
        <f>SUM(AW$13:AW28)*BR28/1000</f>
        <v>0</v>
      </c>
      <c r="CN28">
        <f>SUM(AX$13:AX28)*BS28/1000</f>
        <v>0</v>
      </c>
      <c r="CO28">
        <f>SUM(AY$13:AY28)*BT28/1000</f>
        <v>0</v>
      </c>
      <c r="CP28">
        <f>SUM(AZ$13:AZ28)*BU28/1000</f>
        <v>0</v>
      </c>
      <c r="CQ28">
        <f>SUM(BA$13:BA28)*BV28/1000</f>
        <v>0</v>
      </c>
      <c r="CR28">
        <f>SUM(BB$13:BB28)*BW28/1000</f>
        <v>0</v>
      </c>
      <c r="CS28">
        <f>SUM(BC$13:BC28)*BX28/1000</f>
        <v>0</v>
      </c>
      <c r="CT28">
        <f>SUM(BD$13:BD28)*BY28/1000</f>
        <v>0</v>
      </c>
      <c r="CU28">
        <f t="shared" si="29"/>
        <v>0</v>
      </c>
      <c r="CW28">
        <f t="shared" si="24"/>
        <v>2035</v>
      </c>
      <c r="CX28" s="89">
        <f>IFERROR(VLOOKUP($CW28,'Table 3 TransCost D2 '!$B$10:$E$34,4,FALSE),0)</f>
        <v>67.069999999999993</v>
      </c>
      <c r="CY28" s="193">
        <f t="shared" si="27"/>
        <v>0</v>
      </c>
    </row>
    <row r="29" spans="2:103" hidden="1">
      <c r="B29" s="15">
        <f t="shared" si="25"/>
        <v>2036</v>
      </c>
      <c r="C29" s="9">
        <f t="shared" si="3"/>
        <v>0</v>
      </c>
      <c r="D29" s="45"/>
      <c r="E29" s="9" t="e">
        <f t="shared" ca="1" si="26"/>
        <v>#DIV/0!</v>
      </c>
      <c r="F29" s="37"/>
      <c r="G29" s="14" t="e">
        <f t="shared" ca="1" si="28"/>
        <v>#DIV/0!</v>
      </c>
      <c r="H29" s="36"/>
      <c r="I29" s="193"/>
      <c r="J29" s="193"/>
      <c r="M29" s="116"/>
      <c r="O29">
        <f t="shared" si="4"/>
        <v>2036</v>
      </c>
      <c r="P29">
        <v>0</v>
      </c>
      <c r="Q29">
        <v>0</v>
      </c>
      <c r="R29">
        <v>0</v>
      </c>
      <c r="S29" s="193">
        <v>0</v>
      </c>
      <c r="T29" s="193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K29">
        <f t="shared" si="5"/>
        <v>0</v>
      </c>
      <c r="AL29">
        <f t="shared" si="6"/>
        <v>0</v>
      </c>
      <c r="AM29">
        <f t="shared" si="7"/>
        <v>0</v>
      </c>
      <c r="AN29">
        <f t="shared" si="8"/>
        <v>0</v>
      </c>
      <c r="AO29">
        <f t="shared" si="8"/>
        <v>0</v>
      </c>
      <c r="AP29">
        <f t="shared" si="9"/>
        <v>0</v>
      </c>
      <c r="AQ29">
        <f t="shared" si="10"/>
        <v>0</v>
      </c>
      <c r="AR29">
        <f t="shared" si="11"/>
        <v>0</v>
      </c>
      <c r="AS29">
        <f t="shared" si="12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  <c r="AY29">
        <f t="shared" si="17"/>
        <v>0</v>
      </c>
      <c r="AZ29">
        <f t="shared" si="18"/>
        <v>0</v>
      </c>
      <c r="BA29">
        <f t="shared" si="19"/>
        <v>0</v>
      </c>
      <c r="BB29">
        <f t="shared" si="20"/>
        <v>0</v>
      </c>
      <c r="BC29">
        <f t="shared" si="21"/>
        <v>0</v>
      </c>
      <c r="BD29">
        <f t="shared" si="22"/>
        <v>0</v>
      </c>
      <c r="BF29">
        <f>VLOOKUP($O29,'Table 3 EV2020 Wind_2020'!$B$10:$K$36,10,FALSE)</f>
        <v>154.94999999999999</v>
      </c>
      <c r="BG29">
        <f>VLOOKUP($O29,'Table 3 EV2020 Wind_2021'!$B$10:$K$36,10,FALSE)</f>
        <v>152.24</v>
      </c>
      <c r="BH29">
        <f>VLOOKUP($O29,'Table 3 DJ Wind 2030'!$B$10:$J$36,9,FALSE)</f>
        <v>171.5</v>
      </c>
      <c r="BI29">
        <f>VLOOKUP($O29,'Table 3 ID Wind 2030'!$B$10:$J$36,9,FALSE)</f>
        <v>172.55</v>
      </c>
      <c r="BJ29">
        <f>VLOOKUP($O29,'Table 3 ID Wind 2033'!$B$10:$J$36,9,FALSE)</f>
        <v>165.69</v>
      </c>
      <c r="BK29">
        <f>VLOOKUP($O29,'Table 3 WW Wind 2035'!$B$10:$J$36,9,FALSE)</f>
        <v>160.81</v>
      </c>
      <c r="BL29">
        <f>VLOOKUP($O29,'Table 3 YK Wind 2035'!$B$10:$J$36,9,FALSE)</f>
        <v>160.81</v>
      </c>
      <c r="BM29">
        <f>VLOOKUP($O29,'Table 3 OR Wind 2035'!$B$10:$J$36,9,FALSE)</f>
        <v>159.33000000000001</v>
      </c>
      <c r="BN29">
        <f>VLOOKUP($O29,'Table 3 UT Wind 2030'!$B$10:$J$36,9,FALSE)</f>
        <v>167.76</v>
      </c>
      <c r="BO29">
        <f>VLOOKUP($O29,'Table 3 UT Wind 2036'!$B$10:$J$36,9,FALSE)</f>
        <v>155.19999999999999</v>
      </c>
      <c r="BP29">
        <f>VLOOKUP($O29,'Table 3 YK Solar 2030'!$B$10:$J$36,9,FALSE)</f>
        <v>134.18</v>
      </c>
      <c r="BQ29">
        <f>VLOOKUP($O29,'Table 3 YK Solar 2032'!$B$10:$J$36,9,FALSE)</f>
        <v>128.34</v>
      </c>
      <c r="BR29">
        <f>VLOOKUP($O29,'Table 3 YK Solar 2033'!$B$10:$J$36,9,FALSE)</f>
        <v>125.55</v>
      </c>
      <c r="BS29">
        <f>VLOOKUP($O29,'Table 3 UT Solar 2033 ST'!$B$10:$J$36,9,FALSE)</f>
        <v>126.49</v>
      </c>
      <c r="BT29">
        <f>VLOOKUP($O29,'Table 3 UT Solar 2035 ST'!$B$10:$J$36,9,FALSE)</f>
        <v>121.26</v>
      </c>
      <c r="BU29">
        <f>VLOOKUP($O29,'Table 3 UT Solar 2035 FT'!$B$10:$J$36,9,FALSE)</f>
        <v>117.91</v>
      </c>
      <c r="BV29">
        <f>VLOOKUP($O29,'Table 3 OR Solar 2030'!$B$10:$J$36,9,FALSE)</f>
        <v>137.68</v>
      </c>
      <c r="BW29">
        <f>VLOOKUP($O29,'Table 3 OR Solar 2031'!$B$10:$J$36,9,FALSE)</f>
        <v>134.69</v>
      </c>
      <c r="BX29">
        <f>VLOOKUP($O29,'Table 3 OR Solar 2032'!$B$10:$J$36,9,FALSE)</f>
        <v>131.74</v>
      </c>
      <c r="BY29">
        <f>VLOOKUP($O29,'Table 3 OR Solar 2033'!$B$10:$J$36,9,FALSE)</f>
        <v>128.9</v>
      </c>
      <c r="CA29">
        <f>SUM(AK$13:AK29)*BF29/1000</f>
        <v>0</v>
      </c>
      <c r="CB29">
        <f>SUM(AL$13:AL29)*BG29/1000</f>
        <v>0</v>
      </c>
      <c r="CC29">
        <f>SUM(AM$13:AM29)*BH29/1000</f>
        <v>0</v>
      </c>
      <c r="CD29">
        <f>SUM(AN$13:AN29)*BI29/1000</f>
        <v>0</v>
      </c>
      <c r="CE29">
        <f>SUM(AO$13:AO29)*BJ29/1000</f>
        <v>0</v>
      </c>
      <c r="CF29">
        <f>SUM(AP$13:AP29)*BK29/1000</f>
        <v>0</v>
      </c>
      <c r="CG29">
        <f>SUM(AQ$13:AQ29)*BL29/1000</f>
        <v>0</v>
      </c>
      <c r="CH29">
        <f>SUM(AR$13:AR29)*BM29/1000</f>
        <v>0</v>
      </c>
      <c r="CI29">
        <f>SUM(AS$13:AS29)*BN29/1000</f>
        <v>0</v>
      </c>
      <c r="CJ29">
        <f>SUM(AT$13:AT29)*BO29/1000</f>
        <v>0</v>
      </c>
      <c r="CK29">
        <f>SUM(AU$13:AU29)*BP29/1000</f>
        <v>0</v>
      </c>
      <c r="CL29">
        <f>SUM(AV$13:AV29)*BQ29/1000</f>
        <v>0</v>
      </c>
      <c r="CM29">
        <f>SUM(AW$13:AW29)*BR29/1000</f>
        <v>0</v>
      </c>
      <c r="CN29">
        <f>SUM(AX$13:AX29)*BS29/1000</f>
        <v>0</v>
      </c>
      <c r="CO29">
        <f>SUM(AY$13:AY29)*BT29/1000</f>
        <v>0</v>
      </c>
      <c r="CP29">
        <f>SUM(AZ$13:AZ29)*BU29/1000</f>
        <v>0</v>
      </c>
      <c r="CQ29">
        <f>SUM(BA$13:BA29)*BV29/1000</f>
        <v>0</v>
      </c>
      <c r="CR29">
        <f>SUM(BB$13:BB29)*BW29/1000</f>
        <v>0</v>
      </c>
      <c r="CS29">
        <f>SUM(BC$13:BC29)*BX29/1000</f>
        <v>0</v>
      </c>
      <c r="CT29">
        <f>SUM(BD$13:BD29)*BY29/1000</f>
        <v>0</v>
      </c>
      <c r="CU29">
        <f t="shared" si="29"/>
        <v>0</v>
      </c>
      <c r="CW29">
        <f t="shared" si="24"/>
        <v>2036</v>
      </c>
      <c r="CX29" s="89">
        <f>IFERROR(VLOOKUP($CW29,'Table 3 TransCost D2 '!$B$10:$E$34,4,FALSE),0)</f>
        <v>68.55</v>
      </c>
      <c r="CY29" s="193">
        <f t="shared" si="27"/>
        <v>0</v>
      </c>
    </row>
    <row r="30" spans="2:103" hidden="1">
      <c r="B30" s="15">
        <f t="shared" si="25"/>
        <v>2037</v>
      </c>
      <c r="C30" s="9">
        <f t="shared" si="3"/>
        <v>0</v>
      </c>
      <c r="D30" s="45"/>
      <c r="E30" s="9" t="e">
        <f t="shared" ca="1" si="26"/>
        <v>#DIV/0!</v>
      </c>
      <c r="F30" s="37"/>
      <c r="G30" s="14" t="e">
        <f t="shared" ca="1" si="28"/>
        <v>#DIV/0!</v>
      </c>
      <c r="H30" s="36"/>
      <c r="I30" s="193"/>
      <c r="J30" s="193"/>
      <c r="M30" s="116"/>
      <c r="O30">
        <f t="shared" si="4"/>
        <v>2037</v>
      </c>
      <c r="P30">
        <v>0</v>
      </c>
      <c r="Q30">
        <v>0</v>
      </c>
      <c r="R30">
        <v>0</v>
      </c>
      <c r="S30" s="193">
        <v>0</v>
      </c>
      <c r="T30" s="193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f t="shared" si="5"/>
        <v>0</v>
      </c>
      <c r="AL30">
        <f t="shared" si="6"/>
        <v>0</v>
      </c>
      <c r="AM30">
        <f t="shared" si="7"/>
        <v>0</v>
      </c>
      <c r="AN30">
        <f t="shared" si="8"/>
        <v>0</v>
      </c>
      <c r="AO30">
        <f t="shared" si="8"/>
        <v>0</v>
      </c>
      <c r="AP30">
        <f t="shared" si="9"/>
        <v>0</v>
      </c>
      <c r="AQ30">
        <f t="shared" si="10"/>
        <v>0</v>
      </c>
      <c r="AR30">
        <f t="shared" si="11"/>
        <v>0</v>
      </c>
      <c r="AS30">
        <f t="shared" si="12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  <c r="AY30">
        <f t="shared" si="17"/>
        <v>0</v>
      </c>
      <c r="AZ30">
        <f t="shared" si="18"/>
        <v>0</v>
      </c>
      <c r="BA30">
        <f t="shared" si="19"/>
        <v>0</v>
      </c>
      <c r="BB30">
        <f t="shared" si="20"/>
        <v>0</v>
      </c>
      <c r="BC30">
        <f t="shared" si="21"/>
        <v>0</v>
      </c>
      <c r="BD30">
        <f t="shared" si="22"/>
        <v>0</v>
      </c>
      <c r="BF30">
        <f>VLOOKUP($O30,'Table 3 EV2020 Wind_2020'!$B$10:$K$36,10,FALSE)</f>
        <v>158.35</v>
      </c>
      <c r="BG30">
        <f>VLOOKUP($O30,'Table 3 EV2020 Wind_2021'!$B$10:$K$36,10,FALSE)</f>
        <v>155.58000000000001</v>
      </c>
      <c r="BH30">
        <f>VLOOKUP($O30,'Table 3 DJ Wind 2030'!$B$10:$J$36,9,FALSE)</f>
        <v>175.26</v>
      </c>
      <c r="BI30">
        <f>VLOOKUP($O30,'Table 3 ID Wind 2030'!$B$10:$J$36,9,FALSE)</f>
        <v>176.34</v>
      </c>
      <c r="BJ30">
        <f>VLOOKUP($O30,'Table 3 ID Wind 2033'!$B$10:$J$36,9,FALSE)</f>
        <v>169.33</v>
      </c>
      <c r="BK30">
        <f>VLOOKUP($O30,'Table 3 WW Wind 2035'!$B$10:$J$36,9,FALSE)</f>
        <v>164.34</v>
      </c>
      <c r="BL30">
        <f>VLOOKUP($O30,'Table 3 YK Wind 2035'!$B$10:$J$36,9,FALSE)</f>
        <v>164.34</v>
      </c>
      <c r="BM30">
        <f>VLOOKUP($O30,'Table 3 OR Wind 2035'!$B$10:$J$36,9,FALSE)</f>
        <v>162.83000000000001</v>
      </c>
      <c r="BN30">
        <f>VLOOKUP($O30,'Table 3 UT Wind 2030'!$B$10:$J$36,9,FALSE)</f>
        <v>171.45</v>
      </c>
      <c r="BO30">
        <f>VLOOKUP($O30,'Table 3 UT Wind 2036'!$B$10:$J$36,9,FALSE)</f>
        <v>158.62</v>
      </c>
      <c r="BP30">
        <f>VLOOKUP($O30,'Table 3 YK Solar 2030'!$B$10:$J$36,9,FALSE)</f>
        <v>137.13</v>
      </c>
      <c r="BQ30">
        <f>VLOOKUP($O30,'Table 3 YK Solar 2032'!$B$10:$J$36,9,FALSE)</f>
        <v>131.16</v>
      </c>
      <c r="BR30">
        <f>VLOOKUP($O30,'Table 3 YK Solar 2033'!$B$10:$J$36,9,FALSE)</f>
        <v>128.31</v>
      </c>
      <c r="BS30">
        <f>VLOOKUP($O30,'Table 3 UT Solar 2033 ST'!$B$10:$J$36,9,FALSE)</f>
        <v>129.28</v>
      </c>
      <c r="BT30">
        <f>VLOOKUP($O30,'Table 3 UT Solar 2035 ST'!$B$10:$J$36,9,FALSE)</f>
        <v>123.93</v>
      </c>
      <c r="BU30">
        <f>VLOOKUP($O30,'Table 3 UT Solar 2035 FT'!$B$10:$J$36,9,FALSE)</f>
        <v>120.5</v>
      </c>
      <c r="BV30">
        <f>VLOOKUP($O30,'Table 3 OR Solar 2030'!$B$10:$J$36,9,FALSE)</f>
        <v>140.71</v>
      </c>
      <c r="BW30">
        <f>VLOOKUP($O30,'Table 3 OR Solar 2031'!$B$10:$J$36,9,FALSE)</f>
        <v>137.66</v>
      </c>
      <c r="BX30">
        <f>VLOOKUP($O30,'Table 3 OR Solar 2032'!$B$10:$J$36,9,FALSE)</f>
        <v>134.63999999999999</v>
      </c>
      <c r="BY30">
        <f>VLOOKUP($O30,'Table 3 OR Solar 2033'!$B$10:$J$36,9,FALSE)</f>
        <v>131.74</v>
      </c>
      <c r="CA30">
        <f>SUM(AK$13:AK30)*BF30/1000</f>
        <v>0</v>
      </c>
      <c r="CB30">
        <f>SUM(AL$13:AL30)*BG30/1000</f>
        <v>0</v>
      </c>
      <c r="CC30">
        <f>SUM(AM$13:AM30)*BH30/1000</f>
        <v>0</v>
      </c>
      <c r="CD30">
        <f>SUM(AN$13:AN30)*BI30/1000</f>
        <v>0</v>
      </c>
      <c r="CE30">
        <f>SUM(AO$13:AO30)*BJ30/1000</f>
        <v>0</v>
      </c>
      <c r="CF30">
        <f>SUM(AP$13:AP30)*BK30/1000</f>
        <v>0</v>
      </c>
      <c r="CG30">
        <f>SUM(AQ$13:AQ30)*BL30/1000</f>
        <v>0</v>
      </c>
      <c r="CH30">
        <f>SUM(AR$13:AR30)*BM30/1000</f>
        <v>0</v>
      </c>
      <c r="CI30">
        <f>SUM(AS$13:AS30)*BN30/1000</f>
        <v>0</v>
      </c>
      <c r="CJ30">
        <f>SUM(AT$13:AT30)*BO30/1000</f>
        <v>0</v>
      </c>
      <c r="CK30">
        <f>SUM(AU$13:AU30)*BP30/1000</f>
        <v>0</v>
      </c>
      <c r="CL30">
        <f>SUM(AV$13:AV30)*BQ30/1000</f>
        <v>0</v>
      </c>
      <c r="CM30">
        <f>SUM(AW$13:AW30)*BR30/1000</f>
        <v>0</v>
      </c>
      <c r="CN30">
        <f>SUM(AX$13:AX30)*BS30/1000</f>
        <v>0</v>
      </c>
      <c r="CO30">
        <f>SUM(AY$13:AY30)*BT30/1000</f>
        <v>0</v>
      </c>
      <c r="CP30">
        <f>SUM(AZ$13:AZ30)*BU30/1000</f>
        <v>0</v>
      </c>
      <c r="CQ30">
        <f>SUM(BA$13:BA30)*BV30/1000</f>
        <v>0</v>
      </c>
      <c r="CR30">
        <f>SUM(BB$13:BB30)*BW30/1000</f>
        <v>0</v>
      </c>
      <c r="CS30">
        <f>SUM(BC$13:BC30)*BX30/1000</f>
        <v>0</v>
      </c>
      <c r="CT30">
        <f>SUM(BD$13:BD30)*BY30/1000</f>
        <v>0</v>
      </c>
      <c r="CU30">
        <f t="shared" si="29"/>
        <v>0</v>
      </c>
      <c r="CW30">
        <f t="shared" si="24"/>
        <v>2037</v>
      </c>
      <c r="CX30" s="89">
        <f>IFERROR(VLOOKUP($CW30,'Table 3 TransCost D2 '!$B$10:$E$34,4,FALSE),0)</f>
        <v>70.06</v>
      </c>
      <c r="CY30" s="193">
        <f t="shared" si="27"/>
        <v>0</v>
      </c>
    </row>
    <row r="31" spans="2:103" hidden="1">
      <c r="B31" s="15">
        <f t="shared" si="25"/>
        <v>2038</v>
      </c>
      <c r="C31" s="9">
        <f t="shared" si="3"/>
        <v>0</v>
      </c>
      <c r="D31" s="45"/>
      <c r="E31" s="9" t="e">
        <f t="shared" ca="1" si="26"/>
        <v>#DIV/0!</v>
      </c>
      <c r="F31" s="37"/>
      <c r="G31" s="14" t="e">
        <f t="shared" ca="1" si="28"/>
        <v>#DIV/0!</v>
      </c>
      <c r="H31" s="36"/>
      <c r="I31" s="193"/>
      <c r="J31" s="193"/>
      <c r="M31" s="116"/>
      <c r="O31">
        <f t="shared" si="4"/>
        <v>2038</v>
      </c>
      <c r="P31">
        <v>0</v>
      </c>
      <c r="Q31">
        <v>0</v>
      </c>
      <c r="R31">
        <v>0</v>
      </c>
      <c r="S31" s="193">
        <v>0</v>
      </c>
      <c r="T31" s="193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f t="shared" si="5"/>
        <v>0</v>
      </c>
      <c r="AL31">
        <f t="shared" si="6"/>
        <v>0</v>
      </c>
      <c r="AM31">
        <f t="shared" si="7"/>
        <v>0</v>
      </c>
      <c r="AN31">
        <f t="shared" si="8"/>
        <v>0</v>
      </c>
      <c r="AO31">
        <f t="shared" si="8"/>
        <v>0</v>
      </c>
      <c r="AP31">
        <f t="shared" si="9"/>
        <v>0</v>
      </c>
      <c r="AQ31">
        <f t="shared" si="10"/>
        <v>0</v>
      </c>
      <c r="AR31">
        <f t="shared" si="11"/>
        <v>0</v>
      </c>
      <c r="AS31">
        <f t="shared" si="12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  <c r="AY31">
        <f t="shared" si="17"/>
        <v>0</v>
      </c>
      <c r="AZ31">
        <f t="shared" si="18"/>
        <v>0</v>
      </c>
      <c r="BA31">
        <f t="shared" si="19"/>
        <v>0</v>
      </c>
      <c r="BB31">
        <f t="shared" si="20"/>
        <v>0</v>
      </c>
      <c r="BC31">
        <f t="shared" si="21"/>
        <v>0</v>
      </c>
      <c r="BD31">
        <f t="shared" si="22"/>
        <v>0</v>
      </c>
      <c r="BF31">
        <f>VLOOKUP($O31,'Table 3 EV2020 Wind_2020'!$B$10:$K$36,10,FALSE)</f>
        <v>161.99</v>
      </c>
      <c r="BG31">
        <f>VLOOKUP($O31,'Table 3 EV2020 Wind_2021'!$B$10:$K$36,10,FALSE)</f>
        <v>159.16</v>
      </c>
      <c r="BH31">
        <f>VLOOKUP($O31,'Table 3 DJ Wind 2030'!$B$10:$J$36,9,FALSE)</f>
        <v>179.28</v>
      </c>
      <c r="BI31">
        <f>VLOOKUP($O31,'Table 3 ID Wind 2030'!$B$10:$J$36,9,FALSE)</f>
        <v>180.4</v>
      </c>
      <c r="BJ31">
        <f>VLOOKUP($O31,'Table 3 ID Wind 2033'!$B$10:$J$36,9,FALSE)</f>
        <v>173.22</v>
      </c>
      <c r="BK31">
        <f>VLOOKUP($O31,'Table 3 WW Wind 2035'!$B$10:$J$36,9,FALSE)</f>
        <v>168.12</v>
      </c>
      <c r="BL31">
        <f>VLOOKUP($O31,'Table 3 YK Wind 2035'!$B$10:$J$36,9,FALSE)</f>
        <v>168.12</v>
      </c>
      <c r="BM31">
        <f>VLOOKUP($O31,'Table 3 OR Wind 2035'!$B$10:$J$36,9,FALSE)</f>
        <v>166.57</v>
      </c>
      <c r="BN31">
        <f>VLOOKUP($O31,'Table 3 UT Wind 2030'!$B$10:$J$36,9,FALSE)</f>
        <v>175.39</v>
      </c>
      <c r="BO31">
        <f>VLOOKUP($O31,'Table 3 UT Wind 2036'!$B$10:$J$36,9,FALSE)</f>
        <v>162.27000000000001</v>
      </c>
      <c r="BP31">
        <f>VLOOKUP($O31,'Table 3 YK Solar 2030'!$B$10:$J$36,9,FALSE)</f>
        <v>140.29</v>
      </c>
      <c r="BQ31">
        <f>VLOOKUP($O31,'Table 3 YK Solar 2032'!$B$10:$J$36,9,FALSE)</f>
        <v>134.18</v>
      </c>
      <c r="BR31">
        <f>VLOOKUP($O31,'Table 3 YK Solar 2033'!$B$10:$J$36,9,FALSE)</f>
        <v>131.26</v>
      </c>
      <c r="BS31">
        <f>VLOOKUP($O31,'Table 3 UT Solar 2033 ST'!$B$10:$J$36,9,FALSE)</f>
        <v>132.25</v>
      </c>
      <c r="BT31">
        <f>VLOOKUP($O31,'Table 3 UT Solar 2035 ST'!$B$10:$J$36,9,FALSE)</f>
        <v>126.78</v>
      </c>
      <c r="BU31">
        <f>VLOOKUP($O31,'Table 3 UT Solar 2035 FT'!$B$10:$J$36,9,FALSE)</f>
        <v>123.27</v>
      </c>
      <c r="BV31">
        <f>VLOOKUP($O31,'Table 3 OR Solar 2030'!$B$10:$J$36,9,FALSE)</f>
        <v>143.94</v>
      </c>
      <c r="BW31">
        <f>VLOOKUP($O31,'Table 3 OR Solar 2031'!$B$10:$J$36,9,FALSE)</f>
        <v>140.82</v>
      </c>
      <c r="BX31">
        <f>VLOOKUP($O31,'Table 3 OR Solar 2032'!$B$10:$J$36,9,FALSE)</f>
        <v>137.72999999999999</v>
      </c>
      <c r="BY31">
        <f>VLOOKUP($O31,'Table 3 OR Solar 2033'!$B$10:$J$36,9,FALSE)</f>
        <v>134.77000000000001</v>
      </c>
      <c r="CA31">
        <f>SUM(AK$13:AK31)*BF31/1000</f>
        <v>0</v>
      </c>
      <c r="CB31">
        <f>SUM(AL$13:AL31)*BG31/1000</f>
        <v>0</v>
      </c>
      <c r="CC31">
        <f>SUM(AM$13:AM31)*BH31/1000</f>
        <v>0</v>
      </c>
      <c r="CD31">
        <f>SUM(AN$13:AN31)*BI31/1000</f>
        <v>0</v>
      </c>
      <c r="CE31">
        <f>SUM(AO$13:AO31)*BJ31/1000</f>
        <v>0</v>
      </c>
      <c r="CF31">
        <f>SUM(AP$13:AP31)*BK31/1000</f>
        <v>0</v>
      </c>
      <c r="CG31">
        <f>SUM(AQ$13:AQ31)*BL31/1000</f>
        <v>0</v>
      </c>
      <c r="CH31">
        <f>SUM(AR$13:AR31)*BM31/1000</f>
        <v>0</v>
      </c>
      <c r="CI31">
        <f>SUM(AS$13:AS31)*BN31/1000</f>
        <v>0</v>
      </c>
      <c r="CJ31">
        <f>SUM(AT$13:AT31)*BO31/1000</f>
        <v>0</v>
      </c>
      <c r="CK31">
        <f>SUM(AU$13:AU31)*BP31/1000</f>
        <v>0</v>
      </c>
      <c r="CL31">
        <f>SUM(AV$13:AV31)*BQ31/1000</f>
        <v>0</v>
      </c>
      <c r="CM31">
        <f>SUM(AW$13:AW31)*BR31/1000</f>
        <v>0</v>
      </c>
      <c r="CN31">
        <f>SUM(AX$13:AX31)*BS31/1000</f>
        <v>0</v>
      </c>
      <c r="CO31">
        <f>SUM(AY$13:AY31)*BT31/1000</f>
        <v>0</v>
      </c>
      <c r="CP31">
        <f>SUM(AZ$13:AZ31)*BU31/1000</f>
        <v>0</v>
      </c>
      <c r="CQ31">
        <f>SUM(BA$13:BA31)*BV31/1000</f>
        <v>0</v>
      </c>
      <c r="CR31">
        <f>SUM(BB$13:BB31)*BW31/1000</f>
        <v>0</v>
      </c>
      <c r="CS31">
        <f>SUM(BC$13:BC31)*BX31/1000</f>
        <v>0</v>
      </c>
      <c r="CT31">
        <f>SUM(BD$13:BD31)*BY31/1000</f>
        <v>0</v>
      </c>
      <c r="CU31">
        <f t="shared" si="29"/>
        <v>0</v>
      </c>
      <c r="CW31">
        <f t="shared" si="24"/>
        <v>2038</v>
      </c>
      <c r="CX31" s="89">
        <f>IFERROR(VLOOKUP($CW31,'Table 3 TransCost D2 '!$B$10:$E$34,4,FALSE),0)</f>
        <v>71.67</v>
      </c>
      <c r="CY31" s="193">
        <f t="shared" si="27"/>
        <v>0</v>
      </c>
    </row>
    <row r="32" spans="2:103" hidden="1">
      <c r="B32" s="15">
        <f t="shared" si="25"/>
        <v>2039</v>
      </c>
      <c r="C32" s="9">
        <f t="shared" si="3"/>
        <v>0</v>
      </c>
      <c r="D32" s="45"/>
      <c r="E32" s="9" t="e">
        <f t="shared" ca="1" si="26"/>
        <v>#DIV/0!</v>
      </c>
      <c r="F32" s="37"/>
      <c r="G32" s="14" t="e">
        <f t="shared" ca="1" si="28"/>
        <v>#DIV/0!</v>
      </c>
      <c r="H32" s="36"/>
      <c r="I32" s="193"/>
      <c r="J32" s="193"/>
      <c r="M32" s="116"/>
      <c r="O32">
        <f t="shared" si="4"/>
        <v>2039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f t="shared" si="5"/>
        <v>0</v>
      </c>
      <c r="AL32">
        <f t="shared" si="6"/>
        <v>0</v>
      </c>
      <c r="AM32">
        <f t="shared" si="7"/>
        <v>0</v>
      </c>
      <c r="AN32">
        <f t="shared" si="8"/>
        <v>0</v>
      </c>
      <c r="AO32">
        <f t="shared" si="8"/>
        <v>0</v>
      </c>
      <c r="AP32">
        <f t="shared" si="9"/>
        <v>0</v>
      </c>
      <c r="AQ32">
        <f t="shared" si="10"/>
        <v>0</v>
      </c>
      <c r="AR32">
        <f t="shared" si="11"/>
        <v>0</v>
      </c>
      <c r="AS32">
        <f t="shared" si="12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  <c r="AY32">
        <f t="shared" si="17"/>
        <v>0</v>
      </c>
      <c r="AZ32">
        <f t="shared" si="18"/>
        <v>0</v>
      </c>
      <c r="BA32">
        <f t="shared" si="19"/>
        <v>0</v>
      </c>
      <c r="BB32">
        <f t="shared" si="20"/>
        <v>0</v>
      </c>
      <c r="BC32">
        <f t="shared" si="21"/>
        <v>0</v>
      </c>
      <c r="BD32">
        <f t="shared" si="22"/>
        <v>0</v>
      </c>
      <c r="BF32">
        <f>VLOOKUP($O32,'Table 3 EV2020 Wind_2020'!$B$10:$K$36,10,FALSE)</f>
        <v>165.71</v>
      </c>
      <c r="BG32">
        <f>VLOOKUP($O32,'Table 3 EV2020 Wind_2021'!$B$10:$K$36,10,FALSE)</f>
        <v>162.82</v>
      </c>
      <c r="BH32">
        <f>VLOOKUP($O32,'Table 3 DJ Wind 2030'!$B$10:$J$36,9,FALSE)</f>
        <v>183.39</v>
      </c>
      <c r="BI32">
        <f>VLOOKUP($O32,'Table 3 ID Wind 2030'!$B$10:$J$36,9,FALSE)</f>
        <v>184.55</v>
      </c>
      <c r="BJ32">
        <f>VLOOKUP($O32,'Table 3 ID Wind 2033'!$B$10:$J$36,9,FALSE)</f>
        <v>177.2</v>
      </c>
      <c r="BK32">
        <f>VLOOKUP($O32,'Table 3 WW Wind 2035'!$B$10:$J$36,9,FALSE)</f>
        <v>171.99</v>
      </c>
      <c r="BL32">
        <f>VLOOKUP($O32,'Table 3 YK Wind 2035'!$B$10:$J$36,9,FALSE)</f>
        <v>171.99</v>
      </c>
      <c r="BM32">
        <f>VLOOKUP($O32,'Table 3 OR Wind 2035'!$B$10:$J$36,9,FALSE)</f>
        <v>170.4</v>
      </c>
      <c r="BN32">
        <f>VLOOKUP($O32,'Table 3 UT Wind 2030'!$B$10:$J$36,9,FALSE)</f>
        <v>179.42</v>
      </c>
      <c r="BO32">
        <f>VLOOKUP($O32,'Table 3 UT Wind 2036'!$B$10:$J$36,9,FALSE)</f>
        <v>166</v>
      </c>
      <c r="BP32">
        <f>VLOOKUP($O32,'Table 3 YK Solar 2030'!$B$10:$J$36,9,FALSE)</f>
        <v>143.51</v>
      </c>
      <c r="BQ32">
        <f>VLOOKUP($O32,'Table 3 YK Solar 2032'!$B$10:$J$36,9,FALSE)</f>
        <v>137.26</v>
      </c>
      <c r="BR32">
        <f>VLOOKUP($O32,'Table 3 YK Solar 2033'!$B$10:$J$36,9,FALSE)</f>
        <v>134.28</v>
      </c>
      <c r="BS32">
        <f>VLOOKUP($O32,'Table 3 UT Solar 2033 ST'!$B$10:$J$36,9,FALSE)</f>
        <v>135.29</v>
      </c>
      <c r="BT32">
        <f>VLOOKUP($O32,'Table 3 UT Solar 2035 ST'!$B$10:$J$36,9,FALSE)</f>
        <v>129.69999999999999</v>
      </c>
      <c r="BU32">
        <f>VLOOKUP($O32,'Table 3 UT Solar 2035 FT'!$B$10:$J$36,9,FALSE)</f>
        <v>126.1</v>
      </c>
      <c r="BV32">
        <f>VLOOKUP($O32,'Table 3 OR Solar 2030'!$B$10:$J$36,9,FALSE)</f>
        <v>147.25</v>
      </c>
      <c r="BW32">
        <f>VLOOKUP($O32,'Table 3 OR Solar 2031'!$B$10:$J$36,9,FALSE)</f>
        <v>144.06</v>
      </c>
      <c r="BX32">
        <f>VLOOKUP($O32,'Table 3 OR Solar 2032'!$B$10:$J$36,9,FALSE)</f>
        <v>140.9</v>
      </c>
      <c r="BY32">
        <f>VLOOKUP($O32,'Table 3 OR Solar 2033'!$B$10:$J$36,9,FALSE)</f>
        <v>137.87</v>
      </c>
      <c r="CA32">
        <f>SUM(AK$13:AK32)*BF32/1000</f>
        <v>0</v>
      </c>
      <c r="CB32">
        <f>SUM(AL$13:AL32)*BG32/1000</f>
        <v>0</v>
      </c>
      <c r="CC32">
        <f>SUM(AM$13:AM32)*BH32/1000</f>
        <v>0</v>
      </c>
      <c r="CD32">
        <f>SUM(AN$13:AN32)*BI32/1000</f>
        <v>0</v>
      </c>
      <c r="CE32">
        <f>SUM(AO$13:AO32)*BJ32/1000</f>
        <v>0</v>
      </c>
      <c r="CF32">
        <f>SUM(AP$13:AP32)*BK32/1000</f>
        <v>0</v>
      </c>
      <c r="CG32">
        <f>SUM(AQ$13:AQ32)*BL32/1000</f>
        <v>0</v>
      </c>
      <c r="CH32">
        <f>SUM(AR$13:AR32)*BM32/1000</f>
        <v>0</v>
      </c>
      <c r="CI32">
        <f>SUM(AS$13:AS32)*BN32/1000</f>
        <v>0</v>
      </c>
      <c r="CJ32">
        <f>SUM(AT$13:AT32)*BO32/1000</f>
        <v>0</v>
      </c>
      <c r="CK32">
        <f>SUM(AU$13:AU32)*BP32/1000</f>
        <v>0</v>
      </c>
      <c r="CL32">
        <f>SUM(AV$13:AV32)*BQ32/1000</f>
        <v>0</v>
      </c>
      <c r="CM32">
        <f>SUM(AW$13:AW32)*BR32/1000</f>
        <v>0</v>
      </c>
      <c r="CN32">
        <f>SUM(AX$13:AX32)*BS32/1000</f>
        <v>0</v>
      </c>
      <c r="CO32">
        <f>SUM(AY$13:AY32)*BT32/1000</f>
        <v>0</v>
      </c>
      <c r="CP32">
        <f>SUM(AZ$13:AZ32)*BU32/1000</f>
        <v>0</v>
      </c>
      <c r="CQ32">
        <f>SUM(BA$13:BA32)*BV32/1000</f>
        <v>0</v>
      </c>
      <c r="CR32">
        <f>SUM(BB$13:BB32)*BW32/1000</f>
        <v>0</v>
      </c>
      <c r="CS32">
        <f>SUM(BC$13:BC32)*BX32/1000</f>
        <v>0</v>
      </c>
      <c r="CT32">
        <f>SUM(BD$13:BD32)*BY32/1000</f>
        <v>0</v>
      </c>
      <c r="CU32" s="187">
        <f t="shared" si="29"/>
        <v>0</v>
      </c>
      <c r="CW32">
        <f t="shared" si="24"/>
        <v>2039</v>
      </c>
      <c r="CX32" s="89">
        <f>IFERROR(VLOOKUP($CW32,'Table 3 TransCost D2 '!$B$10:$E$34,4,FALSE),0)</f>
        <v>73.319999999999993</v>
      </c>
      <c r="CY32" s="193">
        <f t="shared" si="27"/>
        <v>0</v>
      </c>
    </row>
    <row r="33" spans="1:103" hidden="1">
      <c r="B33" s="15">
        <f t="shared" si="25"/>
        <v>2040</v>
      </c>
      <c r="C33" s="9">
        <f t="shared" si="3"/>
        <v>0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ref="G33" ca="1" si="30">SUMIF(INDIRECT("'Table 5'!$J$"&amp;$K$3&amp;":$J$"&amp;$K$4),B33,INDIRECT("'Table 5'!$e$"&amp;$K$3&amp;":$e$"&amp;$K$4))/SUMIF(INDIRECT("'Table 5'!$J$"&amp;$K$3&amp;":$J$"&amp;$K$4),B33,INDIRECT("'Table 5'!$f$"&amp;$K$3&amp;":$f$"&amp;$K$4))</f>
        <v>#DIV/0!</v>
      </c>
      <c r="H33" s="36"/>
      <c r="I33" s="193"/>
      <c r="J33" s="193"/>
      <c r="M33" s="116"/>
      <c r="O33">
        <f t="shared" ref="O33" si="31">B33</f>
        <v>2040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f t="shared" si="5"/>
        <v>0</v>
      </c>
      <c r="AL33">
        <f t="shared" si="6"/>
        <v>0</v>
      </c>
      <c r="AM33">
        <f t="shared" si="7"/>
        <v>0</v>
      </c>
      <c r="AN33">
        <f t="shared" si="8"/>
        <v>0</v>
      </c>
      <c r="AO33">
        <f t="shared" si="8"/>
        <v>0</v>
      </c>
      <c r="AP33">
        <f t="shared" si="9"/>
        <v>0</v>
      </c>
      <c r="AQ33">
        <f t="shared" si="10"/>
        <v>0</v>
      </c>
      <c r="AR33">
        <f t="shared" si="11"/>
        <v>0</v>
      </c>
      <c r="AS33">
        <f t="shared" si="12"/>
        <v>0</v>
      </c>
      <c r="AT33">
        <f t="shared" si="12"/>
        <v>0</v>
      </c>
      <c r="AU33">
        <f t="shared" si="13"/>
        <v>0</v>
      </c>
      <c r="AV33">
        <f t="shared" si="14"/>
        <v>0</v>
      </c>
      <c r="AW33">
        <f t="shared" si="15"/>
        <v>0</v>
      </c>
      <c r="AX33">
        <f t="shared" si="16"/>
        <v>0</v>
      </c>
      <c r="AY33">
        <f t="shared" si="17"/>
        <v>0</v>
      </c>
      <c r="AZ33">
        <f t="shared" si="18"/>
        <v>0</v>
      </c>
      <c r="BA33">
        <f t="shared" si="19"/>
        <v>0</v>
      </c>
      <c r="BB33">
        <f t="shared" si="20"/>
        <v>0</v>
      </c>
      <c r="BC33">
        <f t="shared" si="21"/>
        <v>0</v>
      </c>
      <c r="BD33">
        <f t="shared" si="22"/>
        <v>0</v>
      </c>
      <c r="BF33">
        <f>VLOOKUP($O33,'Table 3 EV2020 Wind_2020'!$B$10:$K$36,10,FALSE)</f>
        <v>169.51</v>
      </c>
      <c r="BG33">
        <f>VLOOKUP($O33,'Table 3 EV2020 Wind_2021'!$B$10:$K$36,10,FALSE)</f>
        <v>166.55</v>
      </c>
      <c r="BH33">
        <f>VLOOKUP($O33,'Table 3 DJ Wind 2030'!$B$10:$J$36,9,FALSE)</f>
        <v>187.6</v>
      </c>
      <c r="BI33">
        <f>VLOOKUP($O33,'Table 3 ID Wind 2030'!$B$10:$J$36,9,FALSE)</f>
        <v>188.79</v>
      </c>
      <c r="BJ33">
        <f>VLOOKUP($O33,'Table 3 ID Wind 2033'!$B$10:$J$36,9,FALSE)</f>
        <v>181.27</v>
      </c>
      <c r="BK33">
        <f>VLOOKUP($O33,'Table 3 WW Wind 2035'!$B$10:$J$36,9,FALSE)</f>
        <v>175.94</v>
      </c>
      <c r="BL33">
        <f>VLOOKUP($O33,'Table 3 YK Wind 2035'!$B$10:$J$36,9,FALSE)</f>
        <v>175.94</v>
      </c>
      <c r="BM33">
        <f>VLOOKUP($O33,'Table 3 OR Wind 2035'!$B$10:$J$36,9,FALSE)</f>
        <v>174.32</v>
      </c>
      <c r="BN33">
        <f>VLOOKUP($O33,'Table 3 UT Wind 2030'!$B$10:$J$36,9,FALSE)</f>
        <v>183.54</v>
      </c>
      <c r="BO33">
        <f>VLOOKUP($O33,'Table 3 UT Wind 2036'!$B$10:$J$36,9,FALSE)</f>
        <v>169.81</v>
      </c>
      <c r="BP33">
        <f>VLOOKUP($O33,'Table 3 YK Solar 2030'!$B$10:$J$36,9,FALSE)</f>
        <v>146.81</v>
      </c>
      <c r="BQ33">
        <f>VLOOKUP($O33,'Table 3 YK Solar 2032'!$B$10:$J$36,9,FALSE)</f>
        <v>140.41999999999999</v>
      </c>
      <c r="BR33">
        <f>VLOOKUP($O33,'Table 3 YK Solar 2033'!$B$10:$J$36,9,FALSE)</f>
        <v>137.37</v>
      </c>
      <c r="BS33">
        <f>VLOOKUP($O33,'Table 3 UT Solar 2033 ST'!$B$10:$J$36,9,FALSE)</f>
        <v>138.41</v>
      </c>
      <c r="BT33">
        <f>VLOOKUP($O33,'Table 3 UT Solar 2035 ST'!$B$10:$J$36,9,FALSE)</f>
        <v>132.69</v>
      </c>
      <c r="BU33">
        <f>VLOOKUP($O33,'Table 3 UT Solar 2035 FT'!$B$10:$J$36,9,FALSE)</f>
        <v>129</v>
      </c>
      <c r="BV33">
        <f>VLOOKUP($O33,'Table 3 OR Solar 2030'!$B$10:$J$36,9,FALSE)</f>
        <v>150.63999999999999</v>
      </c>
      <c r="BW33">
        <f>VLOOKUP($O33,'Table 3 OR Solar 2031'!$B$10:$J$36,9,FALSE)</f>
        <v>147.38</v>
      </c>
      <c r="BX33">
        <f>VLOOKUP($O33,'Table 3 OR Solar 2032'!$B$10:$J$36,9,FALSE)</f>
        <v>144.13999999999999</v>
      </c>
      <c r="BY33">
        <f>VLOOKUP($O33,'Table 3 OR Solar 2033'!$B$10:$J$36,9,FALSE)</f>
        <v>141.04</v>
      </c>
      <c r="CA33">
        <f>SUM(AK$13:AK33)*BF33/1000</f>
        <v>0</v>
      </c>
      <c r="CB33">
        <f>SUM(AL$13:AL33)*BG33/1000</f>
        <v>0</v>
      </c>
      <c r="CC33">
        <f>SUM(AM$13:AM33)*BH33/1000</f>
        <v>0</v>
      </c>
      <c r="CD33">
        <f>SUM(AN$13:AN33)*BI33/1000</f>
        <v>0</v>
      </c>
      <c r="CF33">
        <f>SUM(AP$13:AP33)*BK33/1000</f>
        <v>0</v>
      </c>
      <c r="CG33">
        <f>SUM(AQ$13:AQ33)*BL33/1000</f>
        <v>0</v>
      </c>
      <c r="CH33">
        <f>SUM(AR$13:AR33)*BM33/1000</f>
        <v>0</v>
      </c>
      <c r="CI33">
        <f>SUM(AS$13:AS33)*BN33/1000</f>
        <v>0</v>
      </c>
      <c r="CJ33">
        <f>SUM(AT$13:AT33)*BO33/1000</f>
        <v>0</v>
      </c>
      <c r="CK33">
        <f>SUM(AU$13:AU33)*BP33/1000</f>
        <v>0</v>
      </c>
      <c r="CL33">
        <f>SUM(AV$13:AV33)*BQ33/1000</f>
        <v>0</v>
      </c>
      <c r="CM33">
        <f>SUM(AW$13:AW33)*BR33/1000</f>
        <v>0</v>
      </c>
      <c r="CN33">
        <f>SUM(AX$13:AX33)*BS33/1000</f>
        <v>0</v>
      </c>
      <c r="CO33">
        <f>SUM(AY$13:AY33)*BT33/1000</f>
        <v>0</v>
      </c>
      <c r="CP33">
        <f>SUM(AZ$13:AZ33)*BU33/1000</f>
        <v>0</v>
      </c>
      <c r="CQ33">
        <f>SUM(BA$13:BA33)*BV33/1000</f>
        <v>0</v>
      </c>
      <c r="CR33">
        <f>SUM(BB$13:BB33)*BW33/1000</f>
        <v>0</v>
      </c>
      <c r="CS33">
        <f>SUM(BC$13:BC33)*BX33/1000</f>
        <v>0</v>
      </c>
      <c r="CT33">
        <f>SUM(BD$13:BD33)*BY33/1000</f>
        <v>0</v>
      </c>
      <c r="CU33" s="187">
        <f t="shared" ref="CU33" si="32">SUM(CA33:CT33)</f>
        <v>0</v>
      </c>
      <c r="CW33">
        <f t="shared" si="24"/>
        <v>2040</v>
      </c>
      <c r="CX33" s="89">
        <f>IFERROR(VLOOKUP($CW33,'Table 3 TransCost D2 '!$B$10:$E$34,4,FALSE),0)</f>
        <v>75.010000000000005</v>
      </c>
      <c r="CY33" s="193">
        <f t="shared" si="27"/>
        <v>0</v>
      </c>
    </row>
    <row r="34" spans="1:103" hidden="1">
      <c r="B34" s="15">
        <f t="shared" si="25"/>
        <v>2041</v>
      </c>
      <c r="C34" s="9" t="e">
        <f t="shared" si="3"/>
        <v>#N/A</v>
      </c>
      <c r="D34" s="45"/>
      <c r="E34" s="9" t="e">
        <f t="shared" ref="E34" ca="1" si="3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ref="G34" ca="1" si="34">SUMIF(INDIRECT("'Table 5'!$J$"&amp;$K$3&amp;":$J$"&amp;$K$4),B34,INDIRECT("'Table 5'!$e$"&amp;$K$3&amp;":$e$"&amp;$K$4))/SUMIF(INDIRECT("'Table 5'!$J$"&amp;$K$3&amp;":$J$"&amp;$K$4),B34,INDIRECT("'Table 5'!$f$"&amp;$K$3&amp;":$f$"&amp;$K$4))</f>
        <v>#DIV/0!</v>
      </c>
      <c r="H34" s="36"/>
      <c r="I34" s="193"/>
      <c r="J34" s="193"/>
      <c r="M34" s="116"/>
      <c r="O34">
        <f t="shared" ref="O34" si="35">B34</f>
        <v>2041</v>
      </c>
      <c r="P34" t="e">
        <v>#N/A</v>
      </c>
      <c r="Q34" t="e">
        <v>#N/A</v>
      </c>
      <c r="R34" t="e">
        <v>#N/A</v>
      </c>
      <c r="S34" s="193" t="e">
        <v>#N/A</v>
      </c>
      <c r="T34" s="193" t="e">
        <v>#N/A</v>
      </c>
      <c r="U34" t="e">
        <v>#N/A</v>
      </c>
      <c r="V34" t="e">
        <v>#N/A</v>
      </c>
      <c r="W34" t="e">
        <v>#N/A</v>
      </c>
      <c r="X34" t="e">
        <v>#N/A</v>
      </c>
      <c r="Y34" t="e">
        <v>#N/A</v>
      </c>
      <c r="Z34" t="e">
        <v>#N/A</v>
      </c>
      <c r="AA34" t="e">
        <v>#N/A</v>
      </c>
      <c r="AB34" t="e">
        <v>#N/A</v>
      </c>
      <c r="AC34" t="e">
        <v>#N/A</v>
      </c>
      <c r="AD34" t="e">
        <v>#N/A</v>
      </c>
      <c r="AE34" t="e">
        <v>#N/A</v>
      </c>
      <c r="AF34" t="e">
        <v>#N/A</v>
      </c>
      <c r="AG34" t="e">
        <v>#N/A</v>
      </c>
      <c r="AH34" t="e">
        <v>#N/A</v>
      </c>
      <c r="AI34" t="e">
        <v>#N/A</v>
      </c>
      <c r="AK34" t="e">
        <f t="shared" ref="AK34" si="36">P34/P$5</f>
        <v>#N/A</v>
      </c>
      <c r="AL34" t="e">
        <f t="shared" ref="AL34" si="37">Q34/Q$5</f>
        <v>#N/A</v>
      </c>
      <c r="AM34" t="e">
        <f t="shared" ref="AM34" si="38">R34/R$5</f>
        <v>#N/A</v>
      </c>
      <c r="AN34" t="e">
        <f t="shared" ref="AN34" si="39">S34/S$5</f>
        <v>#N/A</v>
      </c>
      <c r="AO34" t="e">
        <f t="shared" ref="AO34" si="40">T34/T$5</f>
        <v>#N/A</v>
      </c>
      <c r="AP34" t="e">
        <f t="shared" ref="AP34" si="41">U34/U$5</f>
        <v>#N/A</v>
      </c>
      <c r="AQ34" t="e">
        <f t="shared" ref="AQ34" si="42">V34/V$5</f>
        <v>#N/A</v>
      </c>
      <c r="AR34" t="e">
        <f t="shared" ref="AR34" si="43">W34/W$5</f>
        <v>#N/A</v>
      </c>
      <c r="AS34" t="e">
        <f t="shared" ref="AS34" si="44">X34/X$5</f>
        <v>#N/A</v>
      </c>
      <c r="AT34" t="e">
        <f t="shared" ref="AT34" si="45">Y34/Y$5</f>
        <v>#N/A</v>
      </c>
      <c r="AU34" t="e">
        <f t="shared" ref="AU34" si="46">Z34/Z$5</f>
        <v>#N/A</v>
      </c>
      <c r="AV34" t="e">
        <f t="shared" ref="AV34" si="47">AA34/AA$5</f>
        <v>#N/A</v>
      </c>
      <c r="AW34" t="e">
        <f t="shared" ref="AW34" si="48">AB34/AB$5</f>
        <v>#N/A</v>
      </c>
      <c r="AX34" t="e">
        <f t="shared" ref="AX34" si="49">AC34/AC$5</f>
        <v>#N/A</v>
      </c>
      <c r="AY34" t="e">
        <f t="shared" ref="AY34" si="50">AD34/AD$5</f>
        <v>#N/A</v>
      </c>
      <c r="AZ34" t="e">
        <f t="shared" ref="AZ34" si="51">AE34/AE$5</f>
        <v>#N/A</v>
      </c>
      <c r="BA34" t="e">
        <f t="shared" ref="BA34" si="52">AF34/AF$5</f>
        <v>#N/A</v>
      </c>
      <c r="BB34" t="e">
        <f t="shared" ref="BB34" si="53">AG34/AG$5</f>
        <v>#N/A</v>
      </c>
      <c r="BC34" t="e">
        <f t="shared" ref="BC34" si="54">AH34/AH$5</f>
        <v>#N/A</v>
      </c>
      <c r="BD34" t="e">
        <f t="shared" ref="BD34" si="55">AI34/AI$5</f>
        <v>#N/A</v>
      </c>
      <c r="BF34">
        <f>VLOOKUP($O34,'Table 3 EV2020 Wind_2020'!$B$10:$K$36,10,FALSE)</f>
        <v>173.43</v>
      </c>
      <c r="BG34">
        <f>VLOOKUP($O34,'Table 3 EV2020 Wind_2021'!$B$10:$K$36,10,FALSE)</f>
        <v>170.4</v>
      </c>
      <c r="BH34">
        <f>VLOOKUP($O34,'Table 3 DJ Wind 2030'!$B$10:$J$36,9,FALSE)</f>
        <v>191.9</v>
      </c>
      <c r="BI34">
        <f>VLOOKUP($O34,'Table 3 ID Wind 2030'!$B$10:$J$36,9,FALSE)</f>
        <v>193.14</v>
      </c>
      <c r="BJ34">
        <f>VLOOKUP($O34,'Table 3 ID Wind 2033'!$B$10:$J$36,9,FALSE)</f>
        <v>185.44</v>
      </c>
      <c r="BK34">
        <f>VLOOKUP($O34,'Table 3 WW Wind 2035'!$B$10:$J$36,9,FALSE)</f>
        <v>179.99</v>
      </c>
      <c r="BL34">
        <f>VLOOKUP($O34,'Table 3 YK Wind 2035'!$B$10:$J$36,9,FALSE)</f>
        <v>179.99</v>
      </c>
      <c r="BM34">
        <f>VLOOKUP($O34,'Table 3 OR Wind 2035'!$B$10:$J$36,9,FALSE)</f>
        <v>178.33</v>
      </c>
      <c r="BN34">
        <f>VLOOKUP($O34,'Table 3 UT Wind 2030'!$B$10:$J$36,9,FALSE)</f>
        <v>187.77</v>
      </c>
      <c r="BO34">
        <f>VLOOKUP($O34,'Table 3 UT Wind 2036'!$B$10:$J$36,9,FALSE)</f>
        <v>173.72</v>
      </c>
      <c r="BP34">
        <f>VLOOKUP($O34,'Table 3 YK Solar 2030'!$B$10:$J$36,9,FALSE)</f>
        <v>150.19</v>
      </c>
      <c r="BQ34">
        <f>VLOOKUP($O34,'Table 3 YK Solar 2032'!$B$10:$J$36,9,FALSE)</f>
        <v>143.65</v>
      </c>
      <c r="BR34">
        <f>VLOOKUP($O34,'Table 3 YK Solar 2033'!$B$10:$J$36,9,FALSE)</f>
        <v>140.53</v>
      </c>
      <c r="BS34">
        <f>VLOOKUP($O34,'Table 3 UT Solar 2033 ST'!$B$10:$J$36,9,FALSE)</f>
        <v>141.59</v>
      </c>
      <c r="BT34">
        <f>VLOOKUP($O34,'Table 3 UT Solar 2035 ST'!$B$10:$J$36,9,FALSE)</f>
        <v>135.74</v>
      </c>
      <c r="BU34">
        <f>VLOOKUP($O34,'Table 3 UT Solar 2035 FT'!$B$10:$J$36,9,FALSE)</f>
        <v>131.97</v>
      </c>
      <c r="BV34">
        <f>VLOOKUP($O34,'Table 3 OR Solar 2030'!$B$10:$J$36,9,FALSE)</f>
        <v>154.1</v>
      </c>
      <c r="BW34">
        <f>VLOOKUP($O34,'Table 3 OR Solar 2031'!$B$10:$J$36,9,FALSE)</f>
        <v>150.77000000000001</v>
      </c>
      <c r="BX34">
        <f>VLOOKUP($O34,'Table 3 OR Solar 2032'!$B$10:$J$36,9,FALSE)</f>
        <v>147.44999999999999</v>
      </c>
      <c r="BY34">
        <f>VLOOKUP($O34,'Table 3 OR Solar 2033'!$B$10:$J$36,9,FALSE)</f>
        <v>144.28</v>
      </c>
      <c r="CA34" t="e">
        <f>SUM(AK$13:AK34)*BF34/1000</f>
        <v>#N/A</v>
      </c>
      <c r="CB34" t="e">
        <f>SUM(AL$13:AL34)*BG34/1000</f>
        <v>#N/A</v>
      </c>
      <c r="CC34" t="e">
        <f>SUM(AM$13:AM34)*BH34/1000</f>
        <v>#N/A</v>
      </c>
      <c r="CD34" t="e">
        <f>SUM(AN$13:AN34)*BI34/1000</f>
        <v>#N/A</v>
      </c>
      <c r="CF34" t="e">
        <f>SUM(AP$13:AP34)*BK34/1000</f>
        <v>#N/A</v>
      </c>
      <c r="CG34" t="e">
        <f>SUM(AQ$13:AQ34)*BL34/1000</f>
        <v>#N/A</v>
      </c>
      <c r="CH34" t="e">
        <f>SUM(AR$13:AR34)*BM34/1000</f>
        <v>#N/A</v>
      </c>
      <c r="CI34" t="e">
        <f>SUM(AS$13:AS34)*BN34/1000</f>
        <v>#N/A</v>
      </c>
      <c r="CJ34" t="e">
        <f>SUM(AT$13:AT34)*BO34/1000</f>
        <v>#N/A</v>
      </c>
      <c r="CK34" t="e">
        <f>SUM(AU$13:AU34)*BP34/1000</f>
        <v>#N/A</v>
      </c>
      <c r="CL34" t="e">
        <f>SUM(AV$13:AV34)*BQ34/1000</f>
        <v>#N/A</v>
      </c>
      <c r="CM34" t="e">
        <f>SUM(AW$13:AW34)*BR34/1000</f>
        <v>#N/A</v>
      </c>
      <c r="CN34" t="e">
        <f>SUM(AX$13:AX34)*BS34/1000</f>
        <v>#N/A</v>
      </c>
      <c r="CO34" t="e">
        <f>SUM(AY$13:AY34)*BT34/1000</f>
        <v>#N/A</v>
      </c>
      <c r="CP34" t="e">
        <f>SUM(AZ$13:AZ34)*BU34/1000</f>
        <v>#N/A</v>
      </c>
      <c r="CQ34" t="e">
        <f>SUM(BA$13:BA34)*BV34/1000</f>
        <v>#N/A</v>
      </c>
      <c r="CR34" t="e">
        <f>SUM(BB$13:BB34)*BW34/1000</f>
        <v>#N/A</v>
      </c>
      <c r="CS34" t="e">
        <f>SUM(BC$13:BC34)*BX34/1000</f>
        <v>#N/A</v>
      </c>
      <c r="CT34" t="e">
        <f>SUM(BD$13:BD34)*BY34/1000</f>
        <v>#N/A</v>
      </c>
      <c r="CU34" s="187" t="e">
        <f t="shared" ref="CU34" si="56">SUM(CA34:CT34)</f>
        <v>#N/A</v>
      </c>
      <c r="CW34">
        <f t="shared" ref="CW34" si="57">O34</f>
        <v>2041</v>
      </c>
      <c r="CX34" s="89">
        <f>IFERROR(VLOOKUP($CW34,'Table 3 TransCost D2 '!$B$10:$E$34,4,FALSE),0)</f>
        <v>76.739999999999995</v>
      </c>
      <c r="CY34" s="193">
        <f t="shared" ref="CY34" si="58">$CX$5*CX34/1000</f>
        <v>0</v>
      </c>
    </row>
    <row r="35" spans="1:103">
      <c r="B35" s="181"/>
      <c r="C35" s="9"/>
      <c r="D35" s="45"/>
      <c r="E35" s="9"/>
      <c r="F35" s="37"/>
      <c r="G35" s="9"/>
      <c r="H35" s="36"/>
      <c r="I35" s="49"/>
      <c r="M35" s="116"/>
    </row>
    <row r="36" spans="1:103" ht="12" customHeight="1">
      <c r="B36" s="181"/>
      <c r="C36" s="9"/>
      <c r="D36" s="45"/>
      <c r="E36" s="9"/>
      <c r="F36" s="37"/>
      <c r="G36" s="9"/>
      <c r="H36" s="36"/>
      <c r="I36" s="49"/>
      <c r="M36" s="116"/>
      <c r="N36" t="s">
        <v>142</v>
      </c>
      <c r="S36">
        <v>2030</v>
      </c>
      <c r="T36">
        <v>2033</v>
      </c>
      <c r="X36">
        <v>2030</v>
      </c>
      <c r="Y36">
        <v>2036</v>
      </c>
      <c r="Z36">
        <v>2030</v>
      </c>
      <c r="AA36">
        <v>2032</v>
      </c>
      <c r="AB36">
        <v>2033</v>
      </c>
      <c r="AC36">
        <v>2033</v>
      </c>
      <c r="AD36">
        <v>2035</v>
      </c>
      <c r="AE36">
        <v>2035</v>
      </c>
      <c r="AF36">
        <v>2030</v>
      </c>
      <c r="AG36">
        <v>2031</v>
      </c>
      <c r="AH36">
        <v>2032</v>
      </c>
      <c r="AI36">
        <v>2033</v>
      </c>
    </row>
    <row r="37" spans="1:103">
      <c r="A37" s="301" t="str">
        <f>'Table 5'!$A$9</f>
        <v>1 Year Starting 2020</v>
      </c>
      <c r="B37" s="301"/>
      <c r="D37" s="9"/>
      <c r="F37" s="37"/>
      <c r="H37" s="36"/>
      <c r="I37"/>
      <c r="N37" t="s">
        <v>154</v>
      </c>
      <c r="S37" s="241">
        <v>0</v>
      </c>
      <c r="T37" s="241">
        <v>0</v>
      </c>
      <c r="X37" s="241">
        <v>0</v>
      </c>
      <c r="Y37" s="241">
        <v>0</v>
      </c>
      <c r="Z37" s="241">
        <v>0</v>
      </c>
      <c r="AA37" s="241">
        <v>0</v>
      </c>
      <c r="AB37" s="241">
        <v>0</v>
      </c>
      <c r="AC37" s="241">
        <v>0</v>
      </c>
      <c r="AD37" s="241">
        <v>0</v>
      </c>
      <c r="AE37" s="241">
        <v>0</v>
      </c>
      <c r="AF37" s="241">
        <v>0</v>
      </c>
      <c r="AG37" s="241">
        <v>0</v>
      </c>
      <c r="AH37" s="241">
        <v>0</v>
      </c>
      <c r="AI37" s="241">
        <v>0</v>
      </c>
    </row>
    <row r="38" spans="1:103">
      <c r="A38" s="214"/>
      <c r="B38" s="55" t="str">
        <f>"1 year Levelized Prices (Nominal) @ "&amp;TEXT(I39,"0.00%")&amp;" Discount Rate (1) (3) "</f>
        <v xml:space="preserve">1 year Levelized Prices (Nominal) @ 6.91% Discount Rate (1) (3) </v>
      </c>
      <c r="E38" s="5"/>
      <c r="I38" s="49" t="s">
        <v>159</v>
      </c>
      <c r="P38" s="183"/>
      <c r="Q38" s="183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</row>
    <row r="39" spans="1:103">
      <c r="B39" s="47" t="s">
        <v>8</v>
      </c>
      <c r="C39" s="9">
        <f ca="1">'Table 5'!$D$9*(Study_CF*8.76)/'Table 5'!$F$9</f>
        <v>0</v>
      </c>
      <c r="D39" s="9"/>
      <c r="H39" s="36"/>
      <c r="I39" s="109">
        <v>6.9099999999999995E-2</v>
      </c>
    </row>
    <row r="40" spans="1:103">
      <c r="B40" s="48" t="s">
        <v>33</v>
      </c>
      <c r="E40" s="9">
        <f ca="1">'Table 5'!$C$9/'Table 5'!$F$9</f>
        <v>20.277065310960221</v>
      </c>
      <c r="G40" s="216">
        <f ca="1">'Table 5'!$G$9</f>
        <v>20.277065310960221</v>
      </c>
      <c r="H40" s="36"/>
    </row>
    <row r="41" spans="1:103">
      <c r="B41" s="48"/>
      <c r="E41" s="9"/>
      <c r="G41" s="216"/>
      <c r="H41" s="36"/>
    </row>
    <row r="42" spans="1:103" hidden="1">
      <c r="B42" s="55" t="str">
        <f>"15 year Levelized Prices (Nominal) @ "&amp;TEXT(I43,"0.00%")&amp;" Discount Rate (1) (3) "</f>
        <v xml:space="preserve">15 year Levelized Prices (Nominal) @ 0.00% Discount Rate (1) (3) </v>
      </c>
      <c r="E42" s="5"/>
      <c r="H42" s="36"/>
      <c r="I42"/>
      <c r="M42" s="116"/>
    </row>
    <row r="43" spans="1:103" hidden="1">
      <c r="B43" s="47" t="s">
        <v>8</v>
      </c>
      <c r="C43" s="9" t="e">
        <f ca="1">'Table 5'!$D$7*(Study_CF*8.76)/'Table 5'!$F$7</f>
        <v>#DIV/0!</v>
      </c>
      <c r="D43" s="9"/>
      <c r="H43" s="36"/>
      <c r="I43"/>
    </row>
    <row r="44" spans="1:103" hidden="1">
      <c r="B44" s="48" t="s">
        <v>33</v>
      </c>
      <c r="E44" s="9" t="e">
        <f>'Table 5'!$C$7/'Table 5'!$F$7</f>
        <v>#DIV/0!</v>
      </c>
      <c r="G44" s="216">
        <f>'Table 5'!$G$7</f>
        <v>0</v>
      </c>
      <c r="H44" s="36"/>
      <c r="I44"/>
      <c r="R44" s="193"/>
    </row>
    <row r="45" spans="1:103" hidden="1">
      <c r="B45" s="55"/>
      <c r="E45" s="5"/>
      <c r="H45" s="36"/>
    </row>
    <row r="46" spans="1:103" hidden="1">
      <c r="B46" s="47"/>
      <c r="C46" s="9"/>
      <c r="D46" s="9"/>
      <c r="H46" s="36"/>
    </row>
    <row r="47" spans="1:103" hidden="1">
      <c r="B47" s="48"/>
      <c r="E47" s="9"/>
      <c r="G47" s="108"/>
      <c r="H47" s="36"/>
    </row>
    <row r="48" spans="1:103" hidden="1">
      <c r="B48" s="47"/>
      <c r="C48" s="9"/>
      <c r="D48" s="9"/>
      <c r="H48" s="36"/>
    </row>
    <row r="49" spans="1:9" hidden="1">
      <c r="B49" s="55"/>
      <c r="E49" s="5"/>
      <c r="H49" s="36"/>
    </row>
    <row r="50" spans="1:9" hidden="1">
      <c r="B50" s="47"/>
      <c r="C50" s="9"/>
      <c r="D50" s="9"/>
      <c r="H50" s="36"/>
    </row>
    <row r="51" spans="1:9" hidden="1">
      <c r="A51" s="302">
        <f>'Table 5'!A10</f>
        <v>0</v>
      </c>
      <c r="B51" s="302"/>
      <c r="E51" s="9"/>
      <c r="G51" s="108"/>
      <c r="H51" s="36"/>
    </row>
    <row r="52" spans="1:9" hidden="1">
      <c r="B52" s="55" t="str">
        <f>"15 year Levelized Prices (Nominal) @ "&amp;TEXT(I53,"0.00%")&amp;" Discount Rate (1) (3) "</f>
        <v xml:space="preserve">15 year Levelized Prices (Nominal) @ 0.00% Discount Rate (1) (3) </v>
      </c>
      <c r="E52" s="5"/>
      <c r="H52" s="36"/>
    </row>
    <row r="53" spans="1:9" hidden="1">
      <c r="B53" s="47" t="s">
        <v>8</v>
      </c>
      <c r="C53" s="9" t="e">
        <f ca="1">'Table 5'!$D$10*(Study_CF*8.76)/'Table 5'!$F$10</f>
        <v>#DIV/0!</v>
      </c>
      <c r="D53" s="9"/>
      <c r="H53" s="36"/>
    </row>
    <row r="54" spans="1:9" hidden="1">
      <c r="B54" s="48" t="s">
        <v>33</v>
      </c>
      <c r="E54" s="9" t="e">
        <f>'Table 5'!$C$10/'Table 5'!$F$10</f>
        <v>#DIV/0!</v>
      </c>
      <c r="G54" s="216">
        <f>'Table 5'!$G$10</f>
        <v>0</v>
      </c>
      <c r="H54" s="36"/>
    </row>
    <row r="55" spans="1:9">
      <c r="B55" s="3" t="s">
        <v>16</v>
      </c>
      <c r="E55" s="38"/>
      <c r="G55" s="38"/>
      <c r="H55" s="36"/>
      <c r="I55" s="108"/>
    </row>
    <row r="56" spans="1:9">
      <c r="B56" s="50" t="str">
        <f>"(1)   "&amp;I38</f>
        <v>(1)   Discount Rate - 2017 IRP Update</v>
      </c>
      <c r="E56" s="36"/>
      <c r="F56" s="38"/>
      <c r="G56" s="36"/>
      <c r="H56" s="36"/>
      <c r="I56" s="108"/>
    </row>
    <row r="57" spans="1:9">
      <c r="B57" s="3" t="s">
        <v>22</v>
      </c>
      <c r="F57" s="38"/>
      <c r="H57" s="36"/>
      <c r="I57" s="108"/>
    </row>
    <row r="58" spans="1:9">
      <c r="G58" s="5"/>
    </row>
    <row r="59" spans="1:9">
      <c r="B59" s="3" t="str">
        <f>IF(Study_Cap_Adj&gt;0,"(4)  The capacity payment is derived from:","")</f>
        <v/>
      </c>
    </row>
    <row r="60" spans="1:9" hidden="1">
      <c r="B60" s="94" t="str">
        <f>IF(AND(Study_Cap_Adj&gt;0,_30_Geo_West&lt;&gt;0),"       2028 - "&amp;#REF!&amp;"   ("&amp;TEXT(_30_Geo_West," 0.0%")&amp;")","")</f>
        <v/>
      </c>
    </row>
    <row r="61" spans="1:9" ht="12.75" customHeight="1">
      <c r="B61" s="94"/>
    </row>
    <row r="62" spans="1:9" ht="12.75" customHeight="1">
      <c r="A62" s="3" t="b">
        <f>SUM(P13:AI28)&gt;0</f>
        <v>0</v>
      </c>
      <c r="B62" s="94"/>
    </row>
    <row r="63" spans="1:9">
      <c r="A63" s="3" t="b">
        <f>IF(SUM(P13:P28)&gt;0,1,IF(SUM(Q13:Q28)&gt;0,2,IF(SUM(R13:R28)&gt;0,3,IF(SUM(S13:S28)&gt;0,4,IF(SUM(T13:T28)&gt;0,5,IF(SUM(U13:U28)&gt;0,6,IF(SUM(V13:V28)&gt;0,7,IF(SUM(W13:W28)&gt;0,8,IF(SUM(X13:X28)&gt;0,9,IF(SUM(Z13:Z28)&gt;0,10,IF(SUM(Y13:Y28)&gt;0,11,IF(SUM(AA13:AA28)&gt;0,12,IF(SUM(AB13:AB28)&gt;0,13,IF(SUM(AC13:AC28)&gt;0,14,IF(SUM(AD13:AD28)&gt;0,15,IF(SUM(AE13:AE28)&gt;0,16,IF(SUM(AF13:AF28)&gt;0,17,IF(SUM(AG13:AG28)&gt;0,18))))))))))))))))))</f>
        <v>0</v>
      </c>
      <c r="B63" s="10"/>
      <c r="C63" s="7"/>
      <c r="D63" s="7"/>
      <c r="E63" s="7"/>
      <c r="G63" s="7"/>
    </row>
    <row r="64" spans="1:9">
      <c r="A64" t="e">
        <f>INDEX($O$13:$AI$33,IF(SUM($P$13:$AI$33)&gt;0,SUM($P$13:$AI$33),FALSE)-1,1)</f>
        <v>#VALUE!</v>
      </c>
      <c r="I64"/>
    </row>
    <row r="65" spans="1:13" s="53" customFormat="1">
      <c r="A65" s="54"/>
      <c r="B65" s="10"/>
      <c r="C65" s="54"/>
      <c r="D65" s="54"/>
      <c r="E65" s="54"/>
      <c r="F65" s="54"/>
      <c r="G65" s="54"/>
      <c r="I65"/>
      <c r="J65"/>
      <c r="K65"/>
      <c r="L65"/>
      <c r="M65"/>
    </row>
    <row r="66" spans="1:13" s="53" customFormat="1">
      <c r="A66" s="54"/>
      <c r="B66" s="10"/>
      <c r="C66" s="54"/>
      <c r="D66" s="54"/>
      <c r="E66" s="54"/>
      <c r="F66" s="54"/>
      <c r="G66" s="54"/>
      <c r="I66" s="10"/>
      <c r="J66"/>
      <c r="K66"/>
    </row>
    <row r="67" spans="1:13">
      <c r="A67"/>
      <c r="B67" s="51"/>
      <c r="I67" s="53"/>
      <c r="L67" s="53"/>
      <c r="M67" s="53"/>
    </row>
    <row r="68" spans="1:13">
      <c r="A68"/>
      <c r="F68" s="7"/>
    </row>
    <row r="71" spans="1:13">
      <c r="A71"/>
      <c r="J71" s="53"/>
      <c r="K71" s="53"/>
    </row>
    <row r="72" spans="1:13">
      <c r="A72"/>
      <c r="J72" s="53"/>
      <c r="K72" s="53"/>
    </row>
  </sheetData>
  <mergeCells count="2">
    <mergeCell ref="A37:B37"/>
    <mergeCell ref="A51:B51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88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14.435115628222126</v>
      </c>
      <c r="G13" s="132">
        <f t="shared" si="5"/>
        <v>0</v>
      </c>
      <c r="H13" s="132">
        <f t="shared" si="5"/>
        <v>0</v>
      </c>
      <c r="I13" s="134">
        <f t="shared" si="2"/>
        <v>14.435115628222126</v>
      </c>
      <c r="J13" s="134">
        <f t="shared" si="3"/>
        <v>39.200000000000003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14.751804389453529</v>
      </c>
      <c r="G14" s="132">
        <f t="shared" si="5"/>
        <v>0</v>
      </c>
      <c r="H14" s="132">
        <f t="shared" si="5"/>
        <v>0</v>
      </c>
      <c r="I14" s="134">
        <f t="shared" si="2"/>
        <v>14.751804389453529</v>
      </c>
      <c r="J14" s="134">
        <f t="shared" si="3"/>
        <v>40.06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15.105317425246724</v>
      </c>
      <c r="G15" s="132">
        <f t="shared" si="5"/>
        <v>0</v>
      </c>
      <c r="H15" s="132">
        <f t="shared" si="5"/>
        <v>0</v>
      </c>
      <c r="I15" s="134">
        <f t="shared" si="2"/>
        <v>15.105317425246724</v>
      </c>
      <c r="J15" s="134">
        <f t="shared" si="3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15.466195315952277</v>
      </c>
      <c r="G16" s="132">
        <f t="shared" si="5"/>
        <v>0</v>
      </c>
      <c r="H16" s="132">
        <f t="shared" si="5"/>
        <v>0</v>
      </c>
      <c r="I16" s="134">
        <f t="shared" si="2"/>
        <v>15.466195315952277</v>
      </c>
      <c r="J16" s="134">
        <f t="shared" si="3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15.838120489026366</v>
      </c>
      <c r="G17" s="132">
        <f t="shared" si="5"/>
        <v>0</v>
      </c>
      <c r="H17" s="132">
        <f t="shared" si="5"/>
        <v>0</v>
      </c>
      <c r="I17" s="134">
        <f t="shared" si="2"/>
        <v>15.838120489026366</v>
      </c>
      <c r="J17" s="134">
        <f t="shared" si="3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16.217410517012816</v>
      </c>
      <c r="G18" s="132">
        <f t="shared" si="5"/>
        <v>0</v>
      </c>
      <c r="H18" s="132">
        <f t="shared" si="5"/>
        <v>0</v>
      </c>
      <c r="I18" s="134">
        <f t="shared" si="2"/>
        <v>16.217410517012816</v>
      </c>
      <c r="J18" s="134">
        <f t="shared" si="3"/>
        <v>44.04</v>
      </c>
      <c r="K18" s="132">
        <f t="shared" si="6"/>
        <v>0.69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16.589335690086905</v>
      </c>
      <c r="G19" s="132">
        <f t="shared" si="5"/>
        <v>0</v>
      </c>
      <c r="H19" s="132">
        <f t="shared" si="5"/>
        <v>0</v>
      </c>
      <c r="I19" s="134">
        <f t="shared" si="2"/>
        <v>16.589335690086905</v>
      </c>
      <c r="J19" s="134">
        <f t="shared" si="3"/>
        <v>45.05</v>
      </c>
      <c r="K19" s="132">
        <f t="shared" si="6"/>
        <v>0.71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16.972308145529535</v>
      </c>
      <c r="G20" s="132">
        <f t="shared" si="5"/>
        <v>0</v>
      </c>
      <c r="H20" s="132">
        <f t="shared" si="5"/>
        <v>0</v>
      </c>
      <c r="I20" s="134">
        <f t="shared" si="2"/>
        <v>16.972308145529535</v>
      </c>
      <c r="J20" s="134">
        <f t="shared" si="3"/>
        <v>46.09</v>
      </c>
      <c r="K20" s="132">
        <f t="shared" si="6"/>
        <v>0.73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17.362645455884518</v>
      </c>
      <c r="G21" s="132">
        <f t="shared" si="5"/>
        <v>0</v>
      </c>
      <c r="H21" s="132">
        <f t="shared" si="5"/>
        <v>0</v>
      </c>
      <c r="I21" s="134">
        <f t="shared" si="2"/>
        <v>17.362645455884518</v>
      </c>
      <c r="J21" s="134">
        <f t="shared" si="3"/>
        <v>47.15</v>
      </c>
      <c r="K21" s="132">
        <f t="shared" si="6"/>
        <v>0.75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17.778759758432759</v>
      </c>
      <c r="G22" s="132">
        <f t="shared" si="5"/>
        <v>0</v>
      </c>
      <c r="H22" s="132">
        <f t="shared" si="5"/>
        <v>0</v>
      </c>
      <c r="I22" s="134">
        <f t="shared" si="2"/>
        <v>17.778759758432759</v>
      </c>
      <c r="J22" s="134">
        <f t="shared" si="3"/>
        <v>48.28</v>
      </c>
      <c r="K22" s="132">
        <f t="shared" si="6"/>
        <v>0.77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18.205921343349537</v>
      </c>
      <c r="G23" s="132">
        <f t="shared" si="5"/>
        <v>0</v>
      </c>
      <c r="H23" s="132">
        <f t="shared" si="5"/>
        <v>0</v>
      </c>
      <c r="I23" s="134">
        <f t="shared" si="2"/>
        <v>18.205921343349537</v>
      </c>
      <c r="J23" s="134">
        <f t="shared" si="3"/>
        <v>49.44</v>
      </c>
      <c r="K23" s="132">
        <f t="shared" si="6"/>
        <v>0.79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/>
      <c r="D24" s="132"/>
      <c r="E24" s="132">
        <f t="shared" si="5"/>
        <v>50.58</v>
      </c>
      <c r="F24" s="134">
        <f t="shared" si="1"/>
        <v>18.625718073353955</v>
      </c>
      <c r="G24" s="132">
        <f t="shared" si="5"/>
        <v>0</v>
      </c>
      <c r="H24" s="132">
        <f t="shared" si="5"/>
        <v>0</v>
      </c>
      <c r="I24" s="134">
        <f t="shared" si="2"/>
        <v>18.625718073353955</v>
      </c>
      <c r="J24" s="134">
        <f t="shared" si="3"/>
        <v>50.58</v>
      </c>
      <c r="K24" s="132">
        <f t="shared" si="6"/>
        <v>0.81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/>
      <c r="E25" s="132">
        <f t="shared" si="5"/>
        <v>51.74</v>
      </c>
      <c r="F25" s="134">
        <f t="shared" si="1"/>
        <v>19.052879658270733</v>
      </c>
      <c r="G25" s="132">
        <f t="shared" si="5"/>
        <v>0</v>
      </c>
      <c r="H25" s="132">
        <f t="shared" si="5"/>
        <v>0</v>
      </c>
      <c r="I25" s="134">
        <f t="shared" si="2"/>
        <v>19.052879658270733</v>
      </c>
      <c r="J25" s="134">
        <f t="shared" si="3"/>
        <v>51.74</v>
      </c>
      <c r="K25" s="132">
        <f t="shared" si="6"/>
        <v>0.83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/>
      <c r="E26" s="132">
        <f t="shared" si="5"/>
        <v>52.93</v>
      </c>
      <c r="F26" s="134">
        <f t="shared" si="1"/>
        <v>19.491088525556048</v>
      </c>
      <c r="G26" s="132">
        <f t="shared" si="5"/>
        <v>0</v>
      </c>
      <c r="H26" s="132">
        <f t="shared" si="5"/>
        <v>0</v>
      </c>
      <c r="I26" s="134">
        <f t="shared" si="2"/>
        <v>19.491088525556048</v>
      </c>
      <c r="J26" s="134">
        <f t="shared" si="3"/>
        <v>52.93</v>
      </c>
      <c r="K26" s="132">
        <f t="shared" si="6"/>
        <v>0.85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/>
      <c r="E27" s="132">
        <f t="shared" si="5"/>
        <v>54.15</v>
      </c>
      <c r="F27" s="134">
        <f t="shared" si="1"/>
        <v>19.9403446752099</v>
      </c>
      <c r="G27" s="132">
        <f t="shared" si="5"/>
        <v>0</v>
      </c>
      <c r="H27" s="132">
        <f t="shared" si="5"/>
        <v>0</v>
      </c>
      <c r="I27" s="134">
        <f t="shared" si="2"/>
        <v>19.9403446752099</v>
      </c>
      <c r="J27" s="134">
        <f t="shared" si="3"/>
        <v>54.15</v>
      </c>
      <c r="K27" s="132">
        <f t="shared" si="6"/>
        <v>0.87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/>
      <c r="E28" s="132">
        <f t="shared" si="5"/>
        <v>55.4</v>
      </c>
      <c r="F28" s="134">
        <f t="shared" si="1"/>
        <v>20.400648107232289</v>
      </c>
      <c r="G28" s="132">
        <f t="shared" si="5"/>
        <v>0</v>
      </c>
      <c r="H28" s="132">
        <f t="shared" si="5"/>
        <v>0</v>
      </c>
      <c r="I28" s="134">
        <f t="shared" si="2"/>
        <v>20.400648107232289</v>
      </c>
      <c r="J28" s="134">
        <f t="shared" si="3"/>
        <v>55.4</v>
      </c>
      <c r="K28" s="132">
        <f t="shared" si="6"/>
        <v>0.89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/>
      <c r="E29" s="132">
        <f t="shared" si="5"/>
        <v>56.62</v>
      </c>
      <c r="F29" s="134">
        <f t="shared" si="1"/>
        <v>20.849904256886141</v>
      </c>
      <c r="G29" s="132">
        <f t="shared" si="5"/>
        <v>0</v>
      </c>
      <c r="H29" s="132">
        <f t="shared" si="5"/>
        <v>0</v>
      </c>
      <c r="I29" s="134">
        <f t="shared" si="2"/>
        <v>20.849904256886141</v>
      </c>
      <c r="J29" s="134">
        <f t="shared" si="3"/>
        <v>56.62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>
        <f>$C$55</f>
        <v>1369.7572941249264</v>
      </c>
      <c r="D30" s="132">
        <f>C30*$C$62</f>
        <v>97.334833987164757</v>
      </c>
      <c r="E30" s="132">
        <f t="shared" si="5"/>
        <v>57.87</v>
      </c>
      <c r="F30" s="134">
        <f t="shared" si="1"/>
        <v>57.153054200605673</v>
      </c>
      <c r="G30" s="132">
        <f t="shared" si="5"/>
        <v>0</v>
      </c>
      <c r="H30" s="132">
        <f t="shared" si="5"/>
        <v>0</v>
      </c>
      <c r="I30" s="134">
        <f t="shared" si="2"/>
        <v>57.153054200605673</v>
      </c>
      <c r="J30" s="134">
        <f t="shared" si="3"/>
        <v>155.19999999999999</v>
      </c>
      <c r="K30" s="132">
        <f t="shared" si="6"/>
        <v>0.93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99.48</v>
      </c>
      <c r="E31" s="132">
        <f t="shared" si="5"/>
        <v>59.14</v>
      </c>
      <c r="F31" s="134">
        <f t="shared" si="1"/>
        <v>58.410664309913102</v>
      </c>
      <c r="G31" s="132">
        <f t="shared" si="5"/>
        <v>0</v>
      </c>
      <c r="H31" s="132">
        <f t="shared" si="5"/>
        <v>0</v>
      </c>
      <c r="I31" s="134">
        <f t="shared" si="2"/>
        <v>58.410664309913102</v>
      </c>
      <c r="J31" s="134">
        <f t="shared" si="3"/>
        <v>158.62</v>
      </c>
      <c r="K31" s="132">
        <f t="shared" si="6"/>
        <v>0.95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101.77</v>
      </c>
      <c r="E32" s="132">
        <f t="shared" si="5"/>
        <v>60.5</v>
      </c>
      <c r="F32" s="134">
        <f t="shared" si="1"/>
        <v>59.754750331418471</v>
      </c>
      <c r="G32" s="132">
        <f t="shared" si="5"/>
        <v>0</v>
      </c>
      <c r="H32" s="132">
        <f t="shared" si="5"/>
        <v>0</v>
      </c>
      <c r="I32" s="134">
        <f t="shared" si="2"/>
        <v>59.754750331418471</v>
      </c>
      <c r="J32" s="134">
        <f t="shared" si="3"/>
        <v>162.27000000000001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104.11</v>
      </c>
      <c r="E33" s="132">
        <f t="shared" si="5"/>
        <v>61.89</v>
      </c>
      <c r="F33" s="134">
        <f t="shared" si="1"/>
        <v>61.128295772573289</v>
      </c>
      <c r="G33" s="132">
        <f t="shared" si="5"/>
        <v>0</v>
      </c>
      <c r="H33" s="132">
        <f t="shared" si="5"/>
        <v>0</v>
      </c>
      <c r="I33" s="134">
        <f t="shared" si="2"/>
        <v>61.128295772573289</v>
      </c>
      <c r="J33" s="134">
        <f t="shared" si="3"/>
        <v>166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106.5</v>
      </c>
      <c r="E34" s="132">
        <f t="shared" si="5"/>
        <v>63.31</v>
      </c>
      <c r="F34" s="134">
        <f t="shared" si="1"/>
        <v>62.531300633377526</v>
      </c>
      <c r="G34" s="132">
        <f t="shared" si="5"/>
        <v>0</v>
      </c>
      <c r="H34" s="132">
        <f t="shared" si="5"/>
        <v>0</v>
      </c>
      <c r="I34" s="134">
        <f t="shared" si="2"/>
        <v>62.531300633377526</v>
      </c>
      <c r="J34" s="134">
        <f t="shared" si="3"/>
        <v>169.81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108.95</v>
      </c>
      <c r="E35" s="132">
        <f t="shared" si="5"/>
        <v>64.77</v>
      </c>
      <c r="F35" s="134">
        <f t="shared" si="1"/>
        <v>63.971129768743559</v>
      </c>
      <c r="G35" s="132">
        <f t="shared" si="5"/>
        <v>0</v>
      </c>
      <c r="H35" s="132">
        <f t="shared" si="5"/>
        <v>0</v>
      </c>
      <c r="I35" s="134">
        <f t="shared" si="2"/>
        <v>63.971129768743559</v>
      </c>
      <c r="J35" s="134">
        <f t="shared" si="3"/>
        <v>173.72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111.46</v>
      </c>
      <c r="E36" s="132">
        <f t="shared" si="5"/>
        <v>66.260000000000005</v>
      </c>
      <c r="F36" s="134">
        <f t="shared" si="1"/>
        <v>65.444100751215203</v>
      </c>
      <c r="G36" s="132">
        <f t="shared" si="5"/>
        <v>0</v>
      </c>
      <c r="H36" s="132">
        <f t="shared" si="5"/>
        <v>0</v>
      </c>
      <c r="I36" s="134">
        <f t="shared" si="2"/>
        <v>65.444100751215203</v>
      </c>
      <c r="J36" s="134">
        <f t="shared" si="3"/>
        <v>177.72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123</v>
      </c>
      <c r="C55" s="185">
        <v>1369.7572941249264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0.31</v>
      </c>
      <c r="D63" s="121" t="s">
        <v>39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127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Walla Walla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11.77601538091805</v>
      </c>
      <c r="G13" s="132">
        <f t="shared" si="5"/>
        <v>0</v>
      </c>
      <c r="H13" s="132">
        <f t="shared" si="5"/>
        <v>0</v>
      </c>
      <c r="I13" s="134">
        <f t="shared" si="3"/>
        <v>11.77601538091805</v>
      </c>
      <c r="J13" s="134">
        <f t="shared" si="2"/>
        <v>39.200000000000003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12.034366738764721</v>
      </c>
      <c r="G14" s="132">
        <f t="shared" si="5"/>
        <v>0</v>
      </c>
      <c r="H14" s="132">
        <f t="shared" si="5"/>
        <v>0</v>
      </c>
      <c r="I14" s="134">
        <f t="shared" si="3"/>
        <v>12.034366738764721</v>
      </c>
      <c r="J14" s="134">
        <f t="shared" si="2"/>
        <v>40.06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12.32275895217496</v>
      </c>
      <c r="G15" s="132">
        <f t="shared" si="5"/>
        <v>0</v>
      </c>
      <c r="H15" s="132">
        <f t="shared" si="5"/>
        <v>0</v>
      </c>
      <c r="I15" s="134">
        <f t="shared" si="3"/>
        <v>12.32275895217496</v>
      </c>
      <c r="J15" s="134">
        <f t="shared" si="2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12.61715933669791</v>
      </c>
      <c r="G16" s="132">
        <f t="shared" si="5"/>
        <v>0</v>
      </c>
      <c r="H16" s="132">
        <f t="shared" si="5"/>
        <v>0</v>
      </c>
      <c r="I16" s="134">
        <f t="shared" si="3"/>
        <v>12.61715933669791</v>
      </c>
      <c r="J16" s="134">
        <f t="shared" si="2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12.920571977889932</v>
      </c>
      <c r="G17" s="132">
        <f t="shared" si="5"/>
        <v>0</v>
      </c>
      <c r="H17" s="132">
        <f t="shared" si="5"/>
        <v>0</v>
      </c>
      <c r="I17" s="134">
        <f t="shared" si="3"/>
        <v>12.920571977889932</v>
      </c>
      <c r="J17" s="134">
        <f t="shared" si="2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13.229992790194665</v>
      </c>
      <c r="G18" s="132">
        <f t="shared" si="5"/>
        <v>0</v>
      </c>
      <c r="H18" s="132">
        <f t="shared" si="5"/>
        <v>0</v>
      </c>
      <c r="I18" s="134">
        <f t="shared" si="3"/>
        <v>13.229992790194665</v>
      </c>
      <c r="J18" s="134">
        <f t="shared" si="2"/>
        <v>44.04</v>
      </c>
      <c r="K18" s="132">
        <f t="shared" si="6"/>
        <v>0.69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13.533405431386687</v>
      </c>
      <c r="G19" s="132">
        <f t="shared" si="5"/>
        <v>0</v>
      </c>
      <c r="H19" s="132">
        <f t="shared" si="5"/>
        <v>0</v>
      </c>
      <c r="I19" s="134">
        <f t="shared" si="3"/>
        <v>13.533405431386687</v>
      </c>
      <c r="J19" s="134">
        <f t="shared" si="2"/>
        <v>45.05</v>
      </c>
      <c r="K19" s="132">
        <f t="shared" si="6"/>
        <v>0.71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13.845830329247779</v>
      </c>
      <c r="G20" s="132">
        <f t="shared" si="5"/>
        <v>0</v>
      </c>
      <c r="H20" s="132">
        <f t="shared" si="5"/>
        <v>0</v>
      </c>
      <c r="I20" s="134">
        <f t="shared" si="3"/>
        <v>13.845830329247779</v>
      </c>
      <c r="J20" s="134">
        <f t="shared" si="2"/>
        <v>46.09</v>
      </c>
      <c r="K20" s="132">
        <f t="shared" si="6"/>
        <v>0.73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14.164263398221582</v>
      </c>
      <c r="G21" s="132">
        <f t="shared" si="5"/>
        <v>0</v>
      </c>
      <c r="H21" s="132">
        <f t="shared" si="5"/>
        <v>0</v>
      </c>
      <c r="I21" s="134">
        <f t="shared" si="3"/>
        <v>14.164263398221582</v>
      </c>
      <c r="J21" s="134">
        <f t="shared" si="2"/>
        <v>47.15</v>
      </c>
      <c r="K21" s="132">
        <f t="shared" si="6"/>
        <v>0.75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14.503725066089883</v>
      </c>
      <c r="G22" s="132">
        <f t="shared" si="5"/>
        <v>0</v>
      </c>
      <c r="H22" s="132">
        <f t="shared" si="5"/>
        <v>0</v>
      </c>
      <c r="I22" s="134">
        <f t="shared" si="3"/>
        <v>14.503725066089883</v>
      </c>
      <c r="J22" s="134">
        <f t="shared" si="2"/>
        <v>48.28</v>
      </c>
      <c r="K22" s="132">
        <f t="shared" si="6"/>
        <v>0.77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14.852198990627253</v>
      </c>
      <c r="G23" s="132">
        <f t="shared" si="5"/>
        <v>0</v>
      </c>
      <c r="H23" s="132">
        <f t="shared" si="5"/>
        <v>0</v>
      </c>
      <c r="I23" s="134">
        <f t="shared" si="3"/>
        <v>14.852198990627253</v>
      </c>
      <c r="J23" s="134">
        <f t="shared" si="2"/>
        <v>49.44</v>
      </c>
      <c r="K23" s="132">
        <f t="shared" si="6"/>
        <v>0.79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50.58</v>
      </c>
      <c r="F24" s="134">
        <f t="shared" si="1"/>
        <v>15.194664744051911</v>
      </c>
      <c r="G24" s="132">
        <f t="shared" si="5"/>
        <v>0</v>
      </c>
      <c r="H24" s="132">
        <f t="shared" si="5"/>
        <v>0</v>
      </c>
      <c r="I24" s="134">
        <f t="shared" si="3"/>
        <v>15.194664744051911</v>
      </c>
      <c r="J24" s="134">
        <f t="shared" si="2"/>
        <v>50.58</v>
      </c>
      <c r="K24" s="132">
        <f t="shared" si="6"/>
        <v>0.81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51.74</v>
      </c>
      <c r="F25" s="134">
        <f t="shared" si="1"/>
        <v>15.543138668589283</v>
      </c>
      <c r="G25" s="132">
        <f t="shared" si="5"/>
        <v>0</v>
      </c>
      <c r="H25" s="132">
        <f t="shared" si="5"/>
        <v>0</v>
      </c>
      <c r="I25" s="134">
        <f t="shared" si="3"/>
        <v>15.543138668589283</v>
      </c>
      <c r="J25" s="134">
        <f t="shared" si="2"/>
        <v>51.74</v>
      </c>
      <c r="K25" s="132">
        <f t="shared" si="6"/>
        <v>0.83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52.93</v>
      </c>
      <c r="F26" s="134">
        <f t="shared" si="1"/>
        <v>15.900624849795724</v>
      </c>
      <c r="G26" s="132">
        <f t="shared" si="5"/>
        <v>0</v>
      </c>
      <c r="H26" s="132">
        <f t="shared" si="5"/>
        <v>0</v>
      </c>
      <c r="I26" s="134">
        <f t="shared" si="3"/>
        <v>15.900624849795724</v>
      </c>
      <c r="J26" s="134">
        <f t="shared" si="2"/>
        <v>52.93</v>
      </c>
      <c r="K26" s="132">
        <f t="shared" si="6"/>
        <v>0.85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54.15</v>
      </c>
      <c r="F27" s="134">
        <f t="shared" si="1"/>
        <v>16.267123287671232</v>
      </c>
      <c r="G27" s="132">
        <f t="shared" si="5"/>
        <v>0</v>
      </c>
      <c r="H27" s="132">
        <f t="shared" si="5"/>
        <v>0</v>
      </c>
      <c r="I27" s="134">
        <f t="shared" si="3"/>
        <v>16.267123287671232</v>
      </c>
      <c r="J27" s="134">
        <f t="shared" si="2"/>
        <v>54.15</v>
      </c>
      <c r="K27" s="132">
        <f t="shared" si="6"/>
        <v>0.87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55.4</v>
      </c>
      <c r="F28" s="134">
        <f t="shared" si="1"/>
        <v>16.642633982215813</v>
      </c>
      <c r="G28" s="132">
        <f t="shared" si="5"/>
        <v>0</v>
      </c>
      <c r="H28" s="132">
        <f t="shared" si="5"/>
        <v>0</v>
      </c>
      <c r="I28" s="134">
        <f t="shared" si="3"/>
        <v>16.642633982215813</v>
      </c>
      <c r="J28" s="134">
        <f t="shared" si="2"/>
        <v>55.4</v>
      </c>
      <c r="K28" s="132">
        <f t="shared" si="6"/>
        <v>0.89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56.62</v>
      </c>
      <c r="F29" s="134">
        <f t="shared" si="1"/>
        <v>47.26667562075977</v>
      </c>
      <c r="G29" s="132">
        <f t="shared" si="5"/>
        <v>0</v>
      </c>
      <c r="H29" s="132">
        <f t="shared" si="5"/>
        <v>0</v>
      </c>
      <c r="I29" s="134">
        <f t="shared" si="3"/>
        <v>47.26667562075977</v>
      </c>
      <c r="J29" s="134">
        <f t="shared" si="2"/>
        <v>157.34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102.94</v>
      </c>
      <c r="E30" s="132">
        <f t="shared" si="5"/>
        <v>57.87</v>
      </c>
      <c r="F30" s="134">
        <f t="shared" si="1"/>
        <v>48.308699831771214</v>
      </c>
      <c r="G30" s="132">
        <f t="shared" si="5"/>
        <v>0</v>
      </c>
      <c r="H30" s="132">
        <f t="shared" si="5"/>
        <v>0</v>
      </c>
      <c r="I30" s="134">
        <f t="shared" si="3"/>
        <v>48.308699831771214</v>
      </c>
      <c r="J30" s="134">
        <f t="shared" si="2"/>
        <v>160.81</v>
      </c>
      <c r="K30" s="132">
        <f t="shared" si="6"/>
        <v>0.93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105.2</v>
      </c>
      <c r="E31" s="132">
        <f t="shared" si="5"/>
        <v>59.14</v>
      </c>
      <c r="F31" s="134">
        <f t="shared" si="1"/>
        <v>49.369142033165112</v>
      </c>
      <c r="G31" s="132">
        <f t="shared" si="5"/>
        <v>0</v>
      </c>
      <c r="H31" s="132">
        <f t="shared" si="5"/>
        <v>0</v>
      </c>
      <c r="I31" s="134">
        <f t="shared" si="3"/>
        <v>49.369142033165112</v>
      </c>
      <c r="J31" s="134">
        <f t="shared" si="2"/>
        <v>164.34</v>
      </c>
      <c r="K31" s="132">
        <f t="shared" si="6"/>
        <v>0.95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107.62</v>
      </c>
      <c r="E32" s="132">
        <f t="shared" si="5"/>
        <v>60.5</v>
      </c>
      <c r="F32" s="134">
        <f t="shared" si="1"/>
        <v>50.504686373467919</v>
      </c>
      <c r="G32" s="132">
        <f t="shared" si="5"/>
        <v>0</v>
      </c>
      <c r="H32" s="132">
        <f t="shared" si="5"/>
        <v>0</v>
      </c>
      <c r="I32" s="134">
        <f t="shared" si="3"/>
        <v>50.504686373467919</v>
      </c>
      <c r="J32" s="134">
        <f t="shared" si="2"/>
        <v>168.12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110.1</v>
      </c>
      <c r="E33" s="132">
        <f t="shared" si="5"/>
        <v>61.89</v>
      </c>
      <c r="F33" s="134">
        <f t="shared" si="1"/>
        <v>51.667267483777941</v>
      </c>
      <c r="G33" s="132">
        <f t="shared" si="5"/>
        <v>0</v>
      </c>
      <c r="H33" s="132">
        <f t="shared" si="5"/>
        <v>0</v>
      </c>
      <c r="I33" s="134">
        <f t="shared" si="3"/>
        <v>51.667267483777941</v>
      </c>
      <c r="J33" s="134">
        <f t="shared" si="2"/>
        <v>171.99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112.63</v>
      </c>
      <c r="E34" s="132">
        <f t="shared" si="5"/>
        <v>63.31</v>
      </c>
      <c r="F34" s="134">
        <f t="shared" si="1"/>
        <v>52.853881278538815</v>
      </c>
      <c r="G34" s="132">
        <f t="shared" si="5"/>
        <v>0</v>
      </c>
      <c r="H34" s="132">
        <f t="shared" si="5"/>
        <v>0</v>
      </c>
      <c r="I34" s="134">
        <f t="shared" si="3"/>
        <v>52.853881278538815</v>
      </c>
      <c r="J34" s="134">
        <f t="shared" si="2"/>
        <v>175.94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115.22</v>
      </c>
      <c r="E35" s="132">
        <f t="shared" si="5"/>
        <v>64.77</v>
      </c>
      <c r="F35" s="134">
        <f t="shared" si="1"/>
        <v>54.070535928863258</v>
      </c>
      <c r="G35" s="132">
        <f t="shared" si="5"/>
        <v>0</v>
      </c>
      <c r="H35" s="132">
        <f t="shared" si="5"/>
        <v>0</v>
      </c>
      <c r="I35" s="134">
        <f t="shared" si="3"/>
        <v>54.070535928863258</v>
      </c>
      <c r="J35" s="134">
        <f t="shared" si="2"/>
        <v>179.99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117.87</v>
      </c>
      <c r="E36" s="132">
        <f t="shared" si="5"/>
        <v>66.260000000000005</v>
      </c>
      <c r="F36" s="134">
        <f t="shared" si="1"/>
        <v>55.314227349194908</v>
      </c>
      <c r="G36" s="132">
        <f t="shared" si="5"/>
        <v>0</v>
      </c>
      <c r="H36" s="132">
        <f t="shared" si="5"/>
        <v>0</v>
      </c>
      <c r="I36" s="134">
        <f t="shared" si="3"/>
        <v>55.314227349194908</v>
      </c>
      <c r="J36" s="134">
        <f t="shared" si="2"/>
        <v>184.13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">
        <v>117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Walla Walla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126</v>
      </c>
      <c r="C55" s="185">
        <v>1417.4139219193135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128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11.77601538091805</v>
      </c>
      <c r="G13" s="132">
        <f t="shared" si="5"/>
        <v>0</v>
      </c>
      <c r="H13" s="132">
        <f t="shared" si="5"/>
        <v>0</v>
      </c>
      <c r="I13" s="134">
        <f t="shared" si="3"/>
        <v>11.77601538091805</v>
      </c>
      <c r="J13" s="134">
        <f t="shared" si="2"/>
        <v>39.200000000000003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12.034366738764721</v>
      </c>
      <c r="G14" s="132">
        <f t="shared" si="5"/>
        <v>0</v>
      </c>
      <c r="H14" s="132">
        <f t="shared" si="5"/>
        <v>0</v>
      </c>
      <c r="I14" s="134">
        <f t="shared" si="3"/>
        <v>12.034366738764721</v>
      </c>
      <c r="J14" s="134">
        <f t="shared" si="2"/>
        <v>40.06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12.32275895217496</v>
      </c>
      <c r="G15" s="132">
        <f t="shared" si="5"/>
        <v>0</v>
      </c>
      <c r="H15" s="132">
        <f t="shared" si="5"/>
        <v>0</v>
      </c>
      <c r="I15" s="134">
        <f t="shared" si="3"/>
        <v>12.32275895217496</v>
      </c>
      <c r="J15" s="134">
        <f t="shared" si="2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12.61715933669791</v>
      </c>
      <c r="G16" s="132">
        <f t="shared" si="5"/>
        <v>0</v>
      </c>
      <c r="H16" s="132">
        <f t="shared" si="5"/>
        <v>0</v>
      </c>
      <c r="I16" s="134">
        <f t="shared" si="3"/>
        <v>12.61715933669791</v>
      </c>
      <c r="J16" s="134">
        <f t="shared" si="2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12.920571977889932</v>
      </c>
      <c r="G17" s="132">
        <f t="shared" si="5"/>
        <v>0</v>
      </c>
      <c r="H17" s="132">
        <f t="shared" si="5"/>
        <v>0</v>
      </c>
      <c r="I17" s="134">
        <f t="shared" si="3"/>
        <v>12.920571977889932</v>
      </c>
      <c r="J17" s="134">
        <f t="shared" si="2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13.229992790194665</v>
      </c>
      <c r="G18" s="132">
        <f t="shared" si="5"/>
        <v>0</v>
      </c>
      <c r="H18" s="132">
        <f t="shared" si="5"/>
        <v>0</v>
      </c>
      <c r="I18" s="134">
        <f t="shared" si="3"/>
        <v>13.229992790194665</v>
      </c>
      <c r="J18" s="134">
        <f t="shared" si="2"/>
        <v>44.04</v>
      </c>
      <c r="K18" s="132">
        <f t="shared" si="6"/>
        <v>0.69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13.533405431386687</v>
      </c>
      <c r="G19" s="132">
        <f t="shared" si="5"/>
        <v>0</v>
      </c>
      <c r="H19" s="132">
        <f t="shared" si="5"/>
        <v>0</v>
      </c>
      <c r="I19" s="134">
        <f t="shared" si="3"/>
        <v>13.533405431386687</v>
      </c>
      <c r="J19" s="134">
        <f t="shared" si="2"/>
        <v>45.05</v>
      </c>
      <c r="K19" s="132">
        <f t="shared" si="6"/>
        <v>0.71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13.845830329247779</v>
      </c>
      <c r="G20" s="132">
        <f t="shared" si="5"/>
        <v>0</v>
      </c>
      <c r="H20" s="132">
        <f t="shared" si="5"/>
        <v>0</v>
      </c>
      <c r="I20" s="134">
        <f t="shared" si="3"/>
        <v>13.845830329247779</v>
      </c>
      <c r="J20" s="134">
        <f t="shared" si="2"/>
        <v>46.09</v>
      </c>
      <c r="K20" s="132">
        <f t="shared" si="6"/>
        <v>0.73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14.164263398221582</v>
      </c>
      <c r="G21" s="132">
        <f t="shared" si="5"/>
        <v>0</v>
      </c>
      <c r="H21" s="132">
        <f t="shared" si="5"/>
        <v>0</v>
      </c>
      <c r="I21" s="134">
        <f t="shared" si="3"/>
        <v>14.164263398221582</v>
      </c>
      <c r="J21" s="134">
        <f t="shared" si="2"/>
        <v>47.15</v>
      </c>
      <c r="K21" s="132">
        <f t="shared" si="6"/>
        <v>0.75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14.503725066089883</v>
      </c>
      <c r="G22" s="132">
        <f t="shared" si="5"/>
        <v>0</v>
      </c>
      <c r="H22" s="132">
        <f t="shared" si="5"/>
        <v>0</v>
      </c>
      <c r="I22" s="134">
        <f t="shared" si="3"/>
        <v>14.503725066089883</v>
      </c>
      <c r="J22" s="134">
        <f t="shared" si="2"/>
        <v>48.28</v>
      </c>
      <c r="K22" s="132">
        <f t="shared" si="6"/>
        <v>0.77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14.852198990627253</v>
      </c>
      <c r="G23" s="132">
        <f t="shared" si="5"/>
        <v>0</v>
      </c>
      <c r="H23" s="132">
        <f t="shared" si="5"/>
        <v>0</v>
      </c>
      <c r="I23" s="134">
        <f t="shared" si="3"/>
        <v>14.852198990627253</v>
      </c>
      <c r="J23" s="134">
        <f t="shared" si="2"/>
        <v>49.44</v>
      </c>
      <c r="K23" s="132">
        <f t="shared" si="6"/>
        <v>0.79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50.58</v>
      </c>
      <c r="F24" s="134">
        <f t="shared" si="1"/>
        <v>15.194664744051911</v>
      </c>
      <c r="G24" s="132">
        <f t="shared" si="5"/>
        <v>0</v>
      </c>
      <c r="H24" s="132">
        <f t="shared" si="5"/>
        <v>0</v>
      </c>
      <c r="I24" s="134">
        <f t="shared" si="3"/>
        <v>15.194664744051911</v>
      </c>
      <c r="J24" s="134">
        <f t="shared" si="2"/>
        <v>50.58</v>
      </c>
      <c r="K24" s="132">
        <f t="shared" si="6"/>
        <v>0.81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51.74</v>
      </c>
      <c r="F25" s="134">
        <f t="shared" si="1"/>
        <v>15.543138668589283</v>
      </c>
      <c r="G25" s="132">
        <f t="shared" si="5"/>
        <v>0</v>
      </c>
      <c r="H25" s="132">
        <f t="shared" si="5"/>
        <v>0</v>
      </c>
      <c r="I25" s="134">
        <f t="shared" si="3"/>
        <v>15.543138668589283</v>
      </c>
      <c r="J25" s="134">
        <f t="shared" si="2"/>
        <v>51.74</v>
      </c>
      <c r="K25" s="132">
        <f t="shared" si="6"/>
        <v>0.83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52.93</v>
      </c>
      <c r="F26" s="134">
        <f t="shared" si="1"/>
        <v>15.900624849795724</v>
      </c>
      <c r="G26" s="132">
        <f t="shared" si="5"/>
        <v>0</v>
      </c>
      <c r="H26" s="132">
        <f t="shared" si="5"/>
        <v>0</v>
      </c>
      <c r="I26" s="134">
        <f t="shared" si="3"/>
        <v>15.900624849795724</v>
      </c>
      <c r="J26" s="134">
        <f t="shared" si="2"/>
        <v>52.93</v>
      </c>
      <c r="K26" s="132">
        <f t="shared" si="6"/>
        <v>0.85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54.15</v>
      </c>
      <c r="F27" s="134">
        <f t="shared" si="1"/>
        <v>16.267123287671232</v>
      </c>
      <c r="G27" s="132">
        <f t="shared" si="5"/>
        <v>0</v>
      </c>
      <c r="H27" s="132">
        <f t="shared" si="5"/>
        <v>0</v>
      </c>
      <c r="I27" s="134">
        <f t="shared" si="3"/>
        <v>16.267123287671232</v>
      </c>
      <c r="J27" s="134">
        <f t="shared" si="2"/>
        <v>54.15</v>
      </c>
      <c r="K27" s="132">
        <f t="shared" si="6"/>
        <v>0.87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55.4</v>
      </c>
      <c r="F28" s="134">
        <f t="shared" si="1"/>
        <v>16.642633982215813</v>
      </c>
      <c r="G28" s="132">
        <f t="shared" si="5"/>
        <v>0</v>
      </c>
      <c r="H28" s="132">
        <f t="shared" si="5"/>
        <v>0</v>
      </c>
      <c r="I28" s="134">
        <f t="shared" si="3"/>
        <v>16.642633982215813</v>
      </c>
      <c r="J28" s="134">
        <f t="shared" si="2"/>
        <v>55.4</v>
      </c>
      <c r="K28" s="132">
        <f t="shared" si="6"/>
        <v>0.89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1417.4139219193135</v>
      </c>
      <c r="D29" s="132">
        <f>C29*$C$62</f>
        <v>100.72130980638511</v>
      </c>
      <c r="E29" s="132">
        <f t="shared" si="5"/>
        <v>56.62</v>
      </c>
      <c r="F29" s="134">
        <f t="shared" si="1"/>
        <v>47.26667562075977</v>
      </c>
      <c r="G29" s="132">
        <f t="shared" si="5"/>
        <v>0</v>
      </c>
      <c r="H29" s="132">
        <f t="shared" si="5"/>
        <v>0</v>
      </c>
      <c r="I29" s="134">
        <f t="shared" si="3"/>
        <v>47.26667562075977</v>
      </c>
      <c r="J29" s="134">
        <f t="shared" si="2"/>
        <v>157.34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102.94</v>
      </c>
      <c r="E30" s="132">
        <f t="shared" si="5"/>
        <v>57.87</v>
      </c>
      <c r="F30" s="134">
        <f t="shared" si="1"/>
        <v>48.308699831771214</v>
      </c>
      <c r="G30" s="132">
        <f t="shared" si="5"/>
        <v>0</v>
      </c>
      <c r="H30" s="132">
        <f t="shared" si="5"/>
        <v>0</v>
      </c>
      <c r="I30" s="134">
        <f t="shared" si="3"/>
        <v>48.308699831771214</v>
      </c>
      <c r="J30" s="134">
        <f t="shared" si="2"/>
        <v>160.81</v>
      </c>
      <c r="K30" s="132">
        <f t="shared" si="6"/>
        <v>0.93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105.2</v>
      </c>
      <c r="E31" s="132">
        <f t="shared" si="5"/>
        <v>59.14</v>
      </c>
      <c r="F31" s="134">
        <f t="shared" si="1"/>
        <v>49.369142033165112</v>
      </c>
      <c r="G31" s="132">
        <f t="shared" si="5"/>
        <v>0</v>
      </c>
      <c r="H31" s="132">
        <f t="shared" si="5"/>
        <v>0</v>
      </c>
      <c r="I31" s="134">
        <f t="shared" si="3"/>
        <v>49.369142033165112</v>
      </c>
      <c r="J31" s="134">
        <f t="shared" si="2"/>
        <v>164.34</v>
      </c>
      <c r="K31" s="132">
        <f t="shared" si="6"/>
        <v>0.95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107.62</v>
      </c>
      <c r="E32" s="132">
        <f t="shared" si="5"/>
        <v>60.5</v>
      </c>
      <c r="F32" s="134">
        <f t="shared" si="1"/>
        <v>50.504686373467919</v>
      </c>
      <c r="G32" s="132">
        <f t="shared" si="5"/>
        <v>0</v>
      </c>
      <c r="H32" s="132">
        <f t="shared" si="5"/>
        <v>0</v>
      </c>
      <c r="I32" s="134">
        <f t="shared" si="3"/>
        <v>50.504686373467919</v>
      </c>
      <c r="J32" s="134">
        <f t="shared" si="2"/>
        <v>168.12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110.1</v>
      </c>
      <c r="E33" s="132">
        <f t="shared" si="5"/>
        <v>61.89</v>
      </c>
      <c r="F33" s="134">
        <f t="shared" si="1"/>
        <v>51.667267483777941</v>
      </c>
      <c r="G33" s="132">
        <f t="shared" si="5"/>
        <v>0</v>
      </c>
      <c r="H33" s="132">
        <f t="shared" si="5"/>
        <v>0</v>
      </c>
      <c r="I33" s="134">
        <f t="shared" si="3"/>
        <v>51.667267483777941</v>
      </c>
      <c r="J33" s="134">
        <f t="shared" si="2"/>
        <v>171.99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112.63</v>
      </c>
      <c r="E34" s="132">
        <f t="shared" si="5"/>
        <v>63.31</v>
      </c>
      <c r="F34" s="134">
        <f t="shared" si="1"/>
        <v>52.853881278538815</v>
      </c>
      <c r="G34" s="132">
        <f t="shared" si="5"/>
        <v>0</v>
      </c>
      <c r="H34" s="132">
        <f t="shared" si="5"/>
        <v>0</v>
      </c>
      <c r="I34" s="134">
        <f t="shared" si="3"/>
        <v>52.853881278538815</v>
      </c>
      <c r="J34" s="134">
        <f t="shared" si="2"/>
        <v>175.94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115.22</v>
      </c>
      <c r="E35" s="132">
        <f t="shared" si="5"/>
        <v>64.77</v>
      </c>
      <c r="F35" s="134">
        <f t="shared" si="1"/>
        <v>54.070535928863258</v>
      </c>
      <c r="G35" s="132">
        <f t="shared" si="5"/>
        <v>0</v>
      </c>
      <c r="H35" s="132">
        <f t="shared" si="5"/>
        <v>0</v>
      </c>
      <c r="I35" s="134">
        <f t="shared" si="3"/>
        <v>54.070535928863258</v>
      </c>
      <c r="J35" s="134">
        <f t="shared" si="2"/>
        <v>179.99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117.87</v>
      </c>
      <c r="E36" s="132">
        <f t="shared" si="5"/>
        <v>66.260000000000005</v>
      </c>
      <c r="F36" s="134">
        <f t="shared" si="1"/>
        <v>55.314227349194908</v>
      </c>
      <c r="G36" s="132">
        <f t="shared" si="5"/>
        <v>0</v>
      </c>
      <c r="H36" s="132">
        <f t="shared" si="5"/>
        <v>0</v>
      </c>
      <c r="I36" s="134">
        <f t="shared" si="3"/>
        <v>55.314227349194908</v>
      </c>
      <c r="J36" s="134">
        <f t="shared" si="2"/>
        <v>184.13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">
        <v>117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126</v>
      </c>
      <c r="C55" s="185">
        <v>1417.4139219193135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129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11.77601538091805</v>
      </c>
      <c r="G13" s="132">
        <f t="shared" si="5"/>
        <v>0</v>
      </c>
      <c r="H13" s="132">
        <f t="shared" si="5"/>
        <v>0</v>
      </c>
      <c r="I13" s="134">
        <f t="shared" si="3"/>
        <v>11.77601538091805</v>
      </c>
      <c r="J13" s="134">
        <f t="shared" si="2"/>
        <v>39.200000000000003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12.034366738764721</v>
      </c>
      <c r="G14" s="132">
        <f t="shared" si="5"/>
        <v>0</v>
      </c>
      <c r="H14" s="132">
        <f t="shared" si="5"/>
        <v>0</v>
      </c>
      <c r="I14" s="134">
        <f t="shared" si="3"/>
        <v>12.034366738764721</v>
      </c>
      <c r="J14" s="134">
        <f t="shared" si="2"/>
        <v>40.06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12.32275895217496</v>
      </c>
      <c r="G15" s="132">
        <f t="shared" si="5"/>
        <v>0</v>
      </c>
      <c r="H15" s="132">
        <f t="shared" si="5"/>
        <v>0</v>
      </c>
      <c r="I15" s="134">
        <f t="shared" si="3"/>
        <v>12.32275895217496</v>
      </c>
      <c r="J15" s="134">
        <f t="shared" si="2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12.61715933669791</v>
      </c>
      <c r="G16" s="132">
        <f t="shared" si="5"/>
        <v>0</v>
      </c>
      <c r="H16" s="132">
        <f t="shared" si="5"/>
        <v>0</v>
      </c>
      <c r="I16" s="134">
        <f t="shared" si="3"/>
        <v>12.61715933669791</v>
      </c>
      <c r="J16" s="134">
        <f t="shared" si="2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12.920571977889932</v>
      </c>
      <c r="G17" s="132">
        <f t="shared" si="5"/>
        <v>0</v>
      </c>
      <c r="H17" s="132">
        <f t="shared" si="5"/>
        <v>0</v>
      </c>
      <c r="I17" s="134">
        <f t="shared" si="3"/>
        <v>12.920571977889932</v>
      </c>
      <c r="J17" s="134">
        <f t="shared" si="2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13.229992790194665</v>
      </c>
      <c r="G18" s="132">
        <f t="shared" si="5"/>
        <v>0</v>
      </c>
      <c r="H18" s="132">
        <f t="shared" si="5"/>
        <v>0</v>
      </c>
      <c r="I18" s="134">
        <f t="shared" si="3"/>
        <v>13.229992790194665</v>
      </c>
      <c r="J18" s="134">
        <f t="shared" si="2"/>
        <v>44.04</v>
      </c>
      <c r="K18" s="132">
        <f t="shared" si="6"/>
        <v>0.69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13.533405431386687</v>
      </c>
      <c r="G19" s="132">
        <f t="shared" si="5"/>
        <v>0</v>
      </c>
      <c r="H19" s="132">
        <f t="shared" si="5"/>
        <v>0</v>
      </c>
      <c r="I19" s="134">
        <f t="shared" si="3"/>
        <v>13.533405431386687</v>
      </c>
      <c r="J19" s="134">
        <f t="shared" si="2"/>
        <v>45.05</v>
      </c>
      <c r="K19" s="132">
        <f t="shared" si="6"/>
        <v>0.71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13.845830329247779</v>
      </c>
      <c r="G20" s="132">
        <f t="shared" si="5"/>
        <v>0</v>
      </c>
      <c r="H20" s="132">
        <f t="shared" si="5"/>
        <v>0</v>
      </c>
      <c r="I20" s="134">
        <f t="shared" si="3"/>
        <v>13.845830329247779</v>
      </c>
      <c r="J20" s="134">
        <f t="shared" si="2"/>
        <v>46.09</v>
      </c>
      <c r="K20" s="132">
        <f t="shared" si="6"/>
        <v>0.73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14.164263398221582</v>
      </c>
      <c r="G21" s="132">
        <f t="shared" si="5"/>
        <v>0</v>
      </c>
      <c r="H21" s="132">
        <f t="shared" si="5"/>
        <v>0</v>
      </c>
      <c r="I21" s="134">
        <f t="shared" si="3"/>
        <v>14.164263398221582</v>
      </c>
      <c r="J21" s="134">
        <f t="shared" si="2"/>
        <v>47.15</v>
      </c>
      <c r="K21" s="132">
        <f t="shared" si="6"/>
        <v>0.75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14.503725066089883</v>
      </c>
      <c r="G22" s="132">
        <f t="shared" si="5"/>
        <v>0</v>
      </c>
      <c r="H22" s="132">
        <f t="shared" si="5"/>
        <v>0</v>
      </c>
      <c r="I22" s="134">
        <f t="shared" si="3"/>
        <v>14.503725066089883</v>
      </c>
      <c r="J22" s="134">
        <f t="shared" si="2"/>
        <v>48.28</v>
      </c>
      <c r="K22" s="132">
        <f t="shared" si="6"/>
        <v>0.77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14.852198990627253</v>
      </c>
      <c r="G23" s="132">
        <f t="shared" si="5"/>
        <v>0</v>
      </c>
      <c r="H23" s="132">
        <f t="shared" si="5"/>
        <v>0</v>
      </c>
      <c r="I23" s="134">
        <f t="shared" si="3"/>
        <v>14.852198990627253</v>
      </c>
      <c r="J23" s="134">
        <f t="shared" si="2"/>
        <v>49.44</v>
      </c>
      <c r="K23" s="132">
        <f t="shared" si="6"/>
        <v>0.79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50.58</v>
      </c>
      <c r="F24" s="134">
        <f t="shared" si="1"/>
        <v>15.194664744051911</v>
      </c>
      <c r="G24" s="132">
        <f t="shared" si="5"/>
        <v>0</v>
      </c>
      <c r="H24" s="132">
        <f t="shared" si="5"/>
        <v>0</v>
      </c>
      <c r="I24" s="134">
        <f t="shared" si="3"/>
        <v>15.194664744051911</v>
      </c>
      <c r="J24" s="134">
        <f t="shared" si="2"/>
        <v>50.58</v>
      </c>
      <c r="K24" s="132">
        <f t="shared" si="6"/>
        <v>0.81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51.74</v>
      </c>
      <c r="F25" s="134">
        <f t="shared" si="1"/>
        <v>15.543138668589283</v>
      </c>
      <c r="G25" s="132">
        <f t="shared" si="5"/>
        <v>0</v>
      </c>
      <c r="H25" s="132">
        <f t="shared" si="5"/>
        <v>0</v>
      </c>
      <c r="I25" s="134">
        <f t="shared" si="3"/>
        <v>15.543138668589283</v>
      </c>
      <c r="J25" s="134">
        <f t="shared" si="2"/>
        <v>51.74</v>
      </c>
      <c r="K25" s="132">
        <f t="shared" si="6"/>
        <v>0.83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52.93</v>
      </c>
      <c r="F26" s="134">
        <f t="shared" si="1"/>
        <v>15.900624849795724</v>
      </c>
      <c r="G26" s="132">
        <f t="shared" si="5"/>
        <v>0</v>
      </c>
      <c r="H26" s="132">
        <f t="shared" si="5"/>
        <v>0</v>
      </c>
      <c r="I26" s="134">
        <f t="shared" si="3"/>
        <v>15.900624849795724</v>
      </c>
      <c r="J26" s="134">
        <f t="shared" si="2"/>
        <v>52.93</v>
      </c>
      <c r="K26" s="132">
        <f t="shared" si="6"/>
        <v>0.85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/>
      <c r="D27" s="132"/>
      <c r="E27" s="132">
        <f t="shared" si="5"/>
        <v>54.15</v>
      </c>
      <c r="F27" s="134">
        <f t="shared" si="1"/>
        <v>16.267123287671232</v>
      </c>
      <c r="G27" s="132">
        <f t="shared" si="5"/>
        <v>0</v>
      </c>
      <c r="H27" s="132">
        <f t="shared" si="5"/>
        <v>0</v>
      </c>
      <c r="I27" s="134">
        <f t="shared" si="3"/>
        <v>16.267123287671232</v>
      </c>
      <c r="J27" s="134">
        <f t="shared" si="2"/>
        <v>54.15</v>
      </c>
      <c r="K27" s="132">
        <f t="shared" si="6"/>
        <v>0.87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/>
      <c r="E28" s="132">
        <f t="shared" si="5"/>
        <v>55.4</v>
      </c>
      <c r="F28" s="134">
        <f t="shared" si="1"/>
        <v>16.642633982215813</v>
      </c>
      <c r="G28" s="132">
        <f t="shared" si="5"/>
        <v>0</v>
      </c>
      <c r="H28" s="132">
        <f t="shared" si="5"/>
        <v>0</v>
      </c>
      <c r="I28" s="134">
        <f t="shared" si="3"/>
        <v>16.642633982215813</v>
      </c>
      <c r="J28" s="134">
        <f t="shared" si="2"/>
        <v>55.4</v>
      </c>
      <c r="K28" s="132">
        <f t="shared" si="6"/>
        <v>0.89</v>
      </c>
      <c r="L28" s="123"/>
      <c r="P28" s="169">
        <f t="shared" si="7"/>
        <v>0</v>
      </c>
    </row>
    <row r="29" spans="2:16">
      <c r="B29" s="140">
        <f t="shared" si="0"/>
        <v>2035</v>
      </c>
      <c r="C29" s="131">
        <f>$C$55</f>
        <v>1397.0737350359179</v>
      </c>
      <c r="D29" s="132">
        <f>C29*$C$62</f>
        <v>99.275937898489545</v>
      </c>
      <c r="E29" s="132">
        <f t="shared" si="5"/>
        <v>56.62</v>
      </c>
      <c r="F29" s="134">
        <f t="shared" si="1"/>
        <v>46.832473533552495</v>
      </c>
      <c r="G29" s="132">
        <f t="shared" si="5"/>
        <v>0</v>
      </c>
      <c r="H29" s="132">
        <f t="shared" si="5"/>
        <v>0</v>
      </c>
      <c r="I29" s="134">
        <f t="shared" si="3"/>
        <v>46.832473533552495</v>
      </c>
      <c r="J29" s="134">
        <f t="shared" si="2"/>
        <v>155.9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101.46</v>
      </c>
      <c r="E30" s="132">
        <f t="shared" si="5"/>
        <v>57.87</v>
      </c>
      <c r="F30" s="134">
        <f t="shared" si="1"/>
        <v>47.864095169430421</v>
      </c>
      <c r="G30" s="132">
        <f t="shared" si="5"/>
        <v>0</v>
      </c>
      <c r="H30" s="132">
        <f t="shared" si="5"/>
        <v>0</v>
      </c>
      <c r="I30" s="134">
        <f t="shared" si="3"/>
        <v>47.864095169430421</v>
      </c>
      <c r="J30" s="134">
        <f t="shared" si="2"/>
        <v>159.33000000000001</v>
      </c>
      <c r="K30" s="132">
        <f t="shared" si="6"/>
        <v>0.93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103.69</v>
      </c>
      <c r="E31" s="132">
        <f t="shared" si="5"/>
        <v>59.14</v>
      </c>
      <c r="F31" s="134">
        <f t="shared" si="1"/>
        <v>48.915525114155251</v>
      </c>
      <c r="G31" s="132">
        <f t="shared" si="5"/>
        <v>0</v>
      </c>
      <c r="H31" s="132">
        <f t="shared" si="5"/>
        <v>0</v>
      </c>
      <c r="I31" s="134">
        <f t="shared" si="3"/>
        <v>48.915525114155251</v>
      </c>
      <c r="J31" s="134">
        <f t="shared" si="2"/>
        <v>162.83000000000001</v>
      </c>
      <c r="K31" s="132">
        <f t="shared" si="6"/>
        <v>0.95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106.07</v>
      </c>
      <c r="E32" s="132">
        <f t="shared" si="5"/>
        <v>60.5</v>
      </c>
      <c r="F32" s="134">
        <f t="shared" si="1"/>
        <v>50.039053112232637</v>
      </c>
      <c r="G32" s="132">
        <f t="shared" si="5"/>
        <v>0</v>
      </c>
      <c r="H32" s="132">
        <f t="shared" si="5"/>
        <v>0</v>
      </c>
      <c r="I32" s="134">
        <f t="shared" si="3"/>
        <v>50.039053112232637</v>
      </c>
      <c r="J32" s="134">
        <f t="shared" si="2"/>
        <v>166.57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108.51</v>
      </c>
      <c r="E33" s="132">
        <f t="shared" si="5"/>
        <v>61.89</v>
      </c>
      <c r="F33" s="134">
        <f t="shared" si="1"/>
        <v>51.189617880317236</v>
      </c>
      <c r="G33" s="132">
        <f t="shared" si="5"/>
        <v>0</v>
      </c>
      <c r="H33" s="132">
        <f t="shared" si="5"/>
        <v>0</v>
      </c>
      <c r="I33" s="134">
        <f t="shared" si="3"/>
        <v>51.189617880317236</v>
      </c>
      <c r="J33" s="134">
        <f t="shared" si="2"/>
        <v>170.4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111.01</v>
      </c>
      <c r="E34" s="132">
        <f t="shared" si="5"/>
        <v>63.31</v>
      </c>
      <c r="F34" s="134">
        <f t="shared" si="1"/>
        <v>52.367219418409036</v>
      </c>
      <c r="G34" s="132">
        <f t="shared" si="5"/>
        <v>0</v>
      </c>
      <c r="H34" s="132">
        <f t="shared" si="5"/>
        <v>0</v>
      </c>
      <c r="I34" s="134">
        <f t="shared" si="3"/>
        <v>52.367219418409036</v>
      </c>
      <c r="J34" s="134">
        <f t="shared" si="2"/>
        <v>174.32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113.56</v>
      </c>
      <c r="E35" s="132">
        <f t="shared" si="5"/>
        <v>64.77</v>
      </c>
      <c r="F35" s="134">
        <f t="shared" si="1"/>
        <v>53.57185772650805</v>
      </c>
      <c r="G35" s="132">
        <f t="shared" si="5"/>
        <v>0</v>
      </c>
      <c r="H35" s="132">
        <f t="shared" si="5"/>
        <v>0</v>
      </c>
      <c r="I35" s="134">
        <f t="shared" si="3"/>
        <v>53.57185772650805</v>
      </c>
      <c r="J35" s="134">
        <f t="shared" si="2"/>
        <v>178.33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116.17</v>
      </c>
      <c r="E36" s="132">
        <f t="shared" si="5"/>
        <v>66.260000000000005</v>
      </c>
      <c r="F36" s="134">
        <f t="shared" si="1"/>
        <v>54.803532804614278</v>
      </c>
      <c r="G36" s="132">
        <f t="shared" si="5"/>
        <v>0</v>
      </c>
      <c r="H36" s="132">
        <f t="shared" si="5"/>
        <v>0</v>
      </c>
      <c r="I36" s="134">
        <f t="shared" si="3"/>
        <v>54.803532804614278</v>
      </c>
      <c r="J36" s="134">
        <f t="shared" si="2"/>
        <v>182.43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">
        <v>117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126</v>
      </c>
      <c r="C55" s="185">
        <v>1397.0737350359179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170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Solar Resource-2030 - 25%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M11" s="239">
        <v>34.793006303232339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19.55</v>
      </c>
      <c r="F13" s="134">
        <f t="shared" si="1"/>
        <v>8.9627918064953889</v>
      </c>
      <c r="G13" s="132">
        <f t="shared" si="4"/>
        <v>0</v>
      </c>
      <c r="H13" s="132">
        <f t="shared" si="4"/>
        <v>0</v>
      </c>
      <c r="I13" s="134">
        <f t="shared" si="2"/>
        <v>8.9627918064953889</v>
      </c>
      <c r="J13" s="134">
        <f t="shared" si="3"/>
        <v>19.55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19.98</v>
      </c>
      <c r="F14" s="134">
        <f t="shared" si="1"/>
        <v>9.1599273807559012</v>
      </c>
      <c r="G14" s="132">
        <f t="shared" si="4"/>
        <v>0</v>
      </c>
      <c r="H14" s="132">
        <f t="shared" si="4"/>
        <v>0</v>
      </c>
      <c r="I14" s="134">
        <f t="shared" si="2"/>
        <v>9.1599273807559012</v>
      </c>
      <c r="J14" s="134">
        <f t="shared" si="3"/>
        <v>19.98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20.46</v>
      </c>
      <c r="F15" s="134">
        <f t="shared" si="1"/>
        <v>9.3799856962094967</v>
      </c>
      <c r="G15" s="132">
        <f t="shared" si="4"/>
        <v>0</v>
      </c>
      <c r="H15" s="132">
        <f t="shared" si="4"/>
        <v>0</v>
      </c>
      <c r="I15" s="134">
        <f t="shared" si="2"/>
        <v>9.3799856962094967</v>
      </c>
      <c r="J15" s="134">
        <f t="shared" si="3"/>
        <v>20.46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20.95</v>
      </c>
      <c r="F16" s="134">
        <f t="shared" si="1"/>
        <v>9.6046285599017072</v>
      </c>
      <c r="G16" s="132">
        <f t="shared" si="4"/>
        <v>0</v>
      </c>
      <c r="H16" s="132">
        <f t="shared" si="4"/>
        <v>0</v>
      </c>
      <c r="I16" s="134">
        <f t="shared" si="2"/>
        <v>9.6046285599017072</v>
      </c>
      <c r="J16" s="134">
        <f t="shared" si="3"/>
        <v>20.95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21.45</v>
      </c>
      <c r="F17" s="134">
        <f t="shared" si="1"/>
        <v>9.833855971832536</v>
      </c>
      <c r="G17" s="132">
        <f t="shared" si="4"/>
        <v>0</v>
      </c>
      <c r="H17" s="132">
        <f t="shared" si="4"/>
        <v>0</v>
      </c>
      <c r="I17" s="134">
        <f t="shared" si="2"/>
        <v>9.833855971832536</v>
      </c>
      <c r="J17" s="134">
        <f t="shared" si="3"/>
        <v>21.45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21.96</v>
      </c>
      <c r="F18" s="134">
        <f t="shared" si="1"/>
        <v>10.067667932001982</v>
      </c>
      <c r="G18" s="132">
        <f t="shared" si="4"/>
        <v>0</v>
      </c>
      <c r="H18" s="132">
        <f t="shared" si="4"/>
        <v>0</v>
      </c>
      <c r="I18" s="134">
        <f t="shared" si="2"/>
        <v>10.067667932001982</v>
      </c>
      <c r="J18" s="134">
        <f t="shared" si="3"/>
        <v>21.96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22.47</v>
      </c>
      <c r="F19" s="134">
        <f t="shared" si="1"/>
        <v>10.301479892171425</v>
      </c>
      <c r="G19" s="132">
        <f t="shared" si="4"/>
        <v>0</v>
      </c>
      <c r="H19" s="132">
        <f t="shared" si="4"/>
        <v>0</v>
      </c>
      <c r="I19" s="134">
        <f t="shared" si="2"/>
        <v>10.301479892171425</v>
      </c>
      <c r="J19" s="134">
        <f t="shared" si="3"/>
        <v>22.47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22.99</v>
      </c>
      <c r="F20" s="134">
        <f t="shared" si="1"/>
        <v>10.539876400579487</v>
      </c>
      <c r="G20" s="132">
        <f t="shared" si="4"/>
        <v>0</v>
      </c>
      <c r="H20" s="132">
        <f t="shared" si="4"/>
        <v>0</v>
      </c>
      <c r="I20" s="134">
        <f t="shared" si="2"/>
        <v>10.539876400579487</v>
      </c>
      <c r="J20" s="134">
        <f t="shared" si="3"/>
        <v>22.99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23.52</v>
      </c>
      <c r="F21" s="134">
        <f t="shared" si="1"/>
        <v>10.782857457226166</v>
      </c>
      <c r="G21" s="132">
        <f t="shared" si="4"/>
        <v>0</v>
      </c>
      <c r="H21" s="132">
        <f t="shared" si="4"/>
        <v>0</v>
      </c>
      <c r="I21" s="134">
        <f t="shared" si="2"/>
        <v>10.782857457226166</v>
      </c>
      <c r="J21" s="134">
        <f t="shared" si="3"/>
        <v>23.52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24.08</v>
      </c>
      <c r="F22" s="134">
        <f t="shared" si="1"/>
        <v>11.039592158588693</v>
      </c>
      <c r="G22" s="132">
        <f t="shared" si="4"/>
        <v>0</v>
      </c>
      <c r="H22" s="132">
        <f t="shared" si="4"/>
        <v>0</v>
      </c>
      <c r="I22" s="134">
        <f t="shared" si="2"/>
        <v>11.039592158588693</v>
      </c>
      <c r="J22" s="134">
        <f t="shared" si="3"/>
        <v>24.08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24.66</v>
      </c>
      <c r="F23" s="134">
        <f t="shared" si="1"/>
        <v>11.305495956428455</v>
      </c>
      <c r="G23" s="132">
        <f t="shared" si="4"/>
        <v>0</v>
      </c>
      <c r="H23" s="132">
        <f t="shared" si="4"/>
        <v>0</v>
      </c>
      <c r="I23" s="134">
        <f t="shared" si="2"/>
        <v>11.305495956428455</v>
      </c>
      <c r="J23" s="134">
        <f t="shared" si="3"/>
        <v>24.66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>
        <f>$C$55</f>
        <v>1192.5044909019937</v>
      </c>
      <c r="D24" s="132">
        <f>C24*$C$62</f>
        <v>92.05729505283152</v>
      </c>
      <c r="E24" s="132">
        <f t="shared" si="4"/>
        <v>25.23</v>
      </c>
      <c r="F24" s="134">
        <f t="shared" si="1"/>
        <v>53.770926194656035</v>
      </c>
      <c r="G24" s="132">
        <f t="shared" si="4"/>
        <v>0</v>
      </c>
      <c r="H24" s="132">
        <f t="shared" si="4"/>
        <v>0</v>
      </c>
      <c r="I24" s="134">
        <f t="shared" si="2"/>
        <v>53.770926194656035</v>
      </c>
      <c r="J24" s="134">
        <f t="shared" si="3"/>
        <v>117.29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94.17</v>
      </c>
      <c r="E25" s="132">
        <f t="shared" si="4"/>
        <v>25.81</v>
      </c>
      <c r="F25" s="134">
        <f t="shared" si="1"/>
        <v>55.005409766921574</v>
      </c>
      <c r="G25" s="132">
        <f t="shared" si="4"/>
        <v>0</v>
      </c>
      <c r="H25" s="132">
        <f t="shared" si="4"/>
        <v>0</v>
      </c>
      <c r="I25" s="134">
        <f t="shared" si="2"/>
        <v>55.005409766921574</v>
      </c>
      <c r="J25" s="134">
        <f t="shared" si="3"/>
        <v>119.98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96.34</v>
      </c>
      <c r="E26" s="132">
        <f t="shared" si="4"/>
        <v>26.4</v>
      </c>
      <c r="F26" s="134">
        <f t="shared" si="1"/>
        <v>56.270745080779747</v>
      </c>
      <c r="G26" s="132">
        <f t="shared" si="4"/>
        <v>0</v>
      </c>
      <c r="H26" s="132">
        <f t="shared" si="4"/>
        <v>0</v>
      </c>
      <c r="I26" s="134">
        <f t="shared" si="2"/>
        <v>56.270745080779747</v>
      </c>
      <c r="J26" s="134">
        <f t="shared" si="3"/>
        <v>122.74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98.56</v>
      </c>
      <c r="E27" s="132">
        <f t="shared" si="4"/>
        <v>27.01</v>
      </c>
      <c r="F27" s="134">
        <f t="shared" si="1"/>
        <v>57.568172232308235</v>
      </c>
      <c r="G27" s="132">
        <f t="shared" si="4"/>
        <v>0</v>
      </c>
      <c r="H27" s="132">
        <f t="shared" si="4"/>
        <v>0</v>
      </c>
      <c r="I27" s="134">
        <f t="shared" si="2"/>
        <v>57.568172232308235</v>
      </c>
      <c r="J27" s="134">
        <f t="shared" si="3"/>
        <v>125.57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100.83</v>
      </c>
      <c r="E28" s="132">
        <f t="shared" si="4"/>
        <v>27.63</v>
      </c>
      <c r="F28" s="134">
        <f t="shared" si="1"/>
        <v>58.893106673268427</v>
      </c>
      <c r="G28" s="132">
        <f t="shared" si="4"/>
        <v>0</v>
      </c>
      <c r="H28" s="132">
        <f t="shared" si="4"/>
        <v>0</v>
      </c>
      <c r="I28" s="134">
        <f t="shared" si="2"/>
        <v>58.893106673268427</v>
      </c>
      <c r="J28" s="134">
        <f t="shared" si="3"/>
        <v>128.46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103.05</v>
      </c>
      <c r="E29" s="132">
        <f t="shared" si="4"/>
        <v>28.24</v>
      </c>
      <c r="F29" s="134">
        <f t="shared" si="1"/>
        <v>60.190533824796908</v>
      </c>
      <c r="G29" s="132">
        <f t="shared" si="4"/>
        <v>0</v>
      </c>
      <c r="H29" s="132">
        <f t="shared" si="4"/>
        <v>0</v>
      </c>
      <c r="I29" s="134">
        <f t="shared" si="2"/>
        <v>60.190533824796908</v>
      </c>
      <c r="J29" s="134">
        <f t="shared" si="3"/>
        <v>131.29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105.32</v>
      </c>
      <c r="E30" s="132">
        <f t="shared" si="4"/>
        <v>28.86</v>
      </c>
      <c r="F30" s="134">
        <f t="shared" si="1"/>
        <v>61.5154682657571</v>
      </c>
      <c r="G30" s="132">
        <f t="shared" si="4"/>
        <v>0</v>
      </c>
      <c r="H30" s="132">
        <f t="shared" si="4"/>
        <v>0</v>
      </c>
      <c r="I30" s="134">
        <f t="shared" si="2"/>
        <v>61.5154682657571</v>
      </c>
      <c r="J30" s="134">
        <f t="shared" si="3"/>
        <v>134.18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107.64</v>
      </c>
      <c r="E31" s="132">
        <f t="shared" si="4"/>
        <v>29.49</v>
      </c>
      <c r="F31" s="134">
        <f t="shared" si="1"/>
        <v>62.867909996148981</v>
      </c>
      <c r="G31" s="132">
        <f t="shared" si="4"/>
        <v>0</v>
      </c>
      <c r="H31" s="132">
        <f t="shared" si="4"/>
        <v>0</v>
      </c>
      <c r="I31" s="134">
        <f t="shared" si="2"/>
        <v>62.867909996148981</v>
      </c>
      <c r="J31" s="134">
        <f t="shared" si="3"/>
        <v>137.13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110.12</v>
      </c>
      <c r="E32" s="132">
        <f t="shared" si="4"/>
        <v>30.17</v>
      </c>
      <c r="F32" s="134">
        <f t="shared" si="1"/>
        <v>64.316627239551835</v>
      </c>
      <c r="G32" s="132">
        <f t="shared" si="4"/>
        <v>0</v>
      </c>
      <c r="H32" s="132">
        <f t="shared" si="4"/>
        <v>0</v>
      </c>
      <c r="I32" s="134">
        <f t="shared" si="2"/>
        <v>64.316627239551835</v>
      </c>
      <c r="J32" s="134">
        <f t="shared" si="3"/>
        <v>140.29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112.65</v>
      </c>
      <c r="E33" s="132">
        <f t="shared" si="4"/>
        <v>30.86</v>
      </c>
      <c r="F33" s="134">
        <f t="shared" si="1"/>
        <v>65.792851772386356</v>
      </c>
      <c r="G33" s="132">
        <f t="shared" si="4"/>
        <v>0</v>
      </c>
      <c r="H33" s="132">
        <f t="shared" si="4"/>
        <v>0</v>
      </c>
      <c r="I33" s="134">
        <f t="shared" si="2"/>
        <v>65.792851772386356</v>
      </c>
      <c r="J33" s="134">
        <f t="shared" si="3"/>
        <v>143.51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115.24</v>
      </c>
      <c r="E34" s="132">
        <f t="shared" si="4"/>
        <v>31.57</v>
      </c>
      <c r="F34" s="134">
        <f t="shared" si="1"/>
        <v>67.305752691129825</v>
      </c>
      <c r="G34" s="132">
        <f t="shared" si="4"/>
        <v>0</v>
      </c>
      <c r="H34" s="132">
        <f t="shared" si="4"/>
        <v>0</v>
      </c>
      <c r="I34" s="134">
        <f t="shared" si="2"/>
        <v>67.305752691129825</v>
      </c>
      <c r="J34" s="134">
        <f t="shared" si="3"/>
        <v>146.81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117.89</v>
      </c>
      <c r="E35" s="132">
        <f t="shared" si="4"/>
        <v>32.299999999999997</v>
      </c>
      <c r="F35" s="134">
        <f t="shared" si="1"/>
        <v>68.855329995782213</v>
      </c>
      <c r="G35" s="132">
        <f t="shared" si="4"/>
        <v>0</v>
      </c>
      <c r="H35" s="132">
        <f t="shared" si="4"/>
        <v>0</v>
      </c>
      <c r="I35" s="134">
        <f t="shared" si="2"/>
        <v>68.855329995782213</v>
      </c>
      <c r="J35" s="134">
        <f t="shared" si="3"/>
        <v>150.19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120.6</v>
      </c>
      <c r="E36" s="132">
        <f t="shared" si="4"/>
        <v>33.04</v>
      </c>
      <c r="F36" s="134">
        <f t="shared" si="1"/>
        <v>70.436999138104923</v>
      </c>
      <c r="G36" s="132">
        <f t="shared" si="4"/>
        <v>0</v>
      </c>
      <c r="H36" s="132">
        <f t="shared" si="4"/>
        <v>0</v>
      </c>
      <c r="I36" s="134">
        <f t="shared" si="2"/>
        <v>70.436999138104923</v>
      </c>
      <c r="J36" s="134">
        <f t="shared" si="3"/>
        <v>153.63999999999999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Resource-2030 - 25%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119</v>
      </c>
      <c r="C55" s="185">
        <v>1192.5044909019937</v>
      </c>
      <c r="D55" s="121" t="s">
        <v>74</v>
      </c>
      <c r="H55" s="121" t="s">
        <v>9</v>
      </c>
    </row>
    <row r="56" spans="2:24">
      <c r="B56" s="85" t="s">
        <v>111</v>
      </c>
      <c r="C56" s="154">
        <v>18.74175672264068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Solar Resource-2032 - 25%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19.55</v>
      </c>
      <c r="F13" s="134">
        <f t="shared" si="1"/>
        <v>8.9627918064953889</v>
      </c>
      <c r="G13" s="132">
        <f t="shared" si="4"/>
        <v>0</v>
      </c>
      <c r="H13" s="132">
        <f t="shared" si="4"/>
        <v>0</v>
      </c>
      <c r="I13" s="134">
        <f t="shared" si="2"/>
        <v>8.9627918064953889</v>
      </c>
      <c r="J13" s="134">
        <f t="shared" si="3"/>
        <v>19.55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19.98</v>
      </c>
      <c r="F14" s="134">
        <f t="shared" si="1"/>
        <v>9.1599273807559012</v>
      </c>
      <c r="G14" s="132">
        <f t="shared" si="4"/>
        <v>0</v>
      </c>
      <c r="H14" s="132">
        <f t="shared" si="4"/>
        <v>0</v>
      </c>
      <c r="I14" s="134">
        <f t="shared" si="2"/>
        <v>9.1599273807559012</v>
      </c>
      <c r="J14" s="134">
        <f t="shared" si="3"/>
        <v>19.98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20.46</v>
      </c>
      <c r="F15" s="134">
        <f t="shared" si="1"/>
        <v>9.3799856962094967</v>
      </c>
      <c r="G15" s="132">
        <f t="shared" si="4"/>
        <v>0</v>
      </c>
      <c r="H15" s="132">
        <f t="shared" si="4"/>
        <v>0</v>
      </c>
      <c r="I15" s="134">
        <f t="shared" si="2"/>
        <v>9.3799856962094967</v>
      </c>
      <c r="J15" s="134">
        <f t="shared" si="3"/>
        <v>20.46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20.95</v>
      </c>
      <c r="F16" s="134">
        <f t="shared" si="1"/>
        <v>9.6046285599017072</v>
      </c>
      <c r="G16" s="132">
        <f t="shared" si="4"/>
        <v>0</v>
      </c>
      <c r="H16" s="132">
        <f t="shared" si="4"/>
        <v>0</v>
      </c>
      <c r="I16" s="134">
        <f t="shared" si="2"/>
        <v>9.6046285599017072</v>
      </c>
      <c r="J16" s="134">
        <f t="shared" si="3"/>
        <v>20.95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21.45</v>
      </c>
      <c r="F17" s="134">
        <f t="shared" si="1"/>
        <v>9.833855971832536</v>
      </c>
      <c r="G17" s="132">
        <f t="shared" si="4"/>
        <v>0</v>
      </c>
      <c r="H17" s="132">
        <f t="shared" si="4"/>
        <v>0</v>
      </c>
      <c r="I17" s="134">
        <f t="shared" si="2"/>
        <v>9.833855971832536</v>
      </c>
      <c r="J17" s="134">
        <f t="shared" si="3"/>
        <v>21.45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21.96</v>
      </c>
      <c r="F18" s="134">
        <f t="shared" si="1"/>
        <v>10.067667932001982</v>
      </c>
      <c r="G18" s="132">
        <f t="shared" si="4"/>
        <v>0</v>
      </c>
      <c r="H18" s="132">
        <f t="shared" si="4"/>
        <v>0</v>
      </c>
      <c r="I18" s="134">
        <f t="shared" si="2"/>
        <v>10.067667932001982</v>
      </c>
      <c r="J18" s="134">
        <f t="shared" si="3"/>
        <v>21.96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22.47</v>
      </c>
      <c r="F19" s="134">
        <f t="shared" si="1"/>
        <v>10.301479892171425</v>
      </c>
      <c r="G19" s="132">
        <f t="shared" si="4"/>
        <v>0</v>
      </c>
      <c r="H19" s="132">
        <f t="shared" si="4"/>
        <v>0</v>
      </c>
      <c r="I19" s="134">
        <f t="shared" si="2"/>
        <v>10.301479892171425</v>
      </c>
      <c r="J19" s="134">
        <f t="shared" si="3"/>
        <v>22.47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22.99</v>
      </c>
      <c r="F20" s="134">
        <f t="shared" si="1"/>
        <v>10.539876400579487</v>
      </c>
      <c r="G20" s="132">
        <f t="shared" si="4"/>
        <v>0</v>
      </c>
      <c r="H20" s="132">
        <f t="shared" si="4"/>
        <v>0</v>
      </c>
      <c r="I20" s="134">
        <f t="shared" si="2"/>
        <v>10.539876400579487</v>
      </c>
      <c r="J20" s="134">
        <f t="shared" si="3"/>
        <v>22.99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23.52</v>
      </c>
      <c r="F21" s="134">
        <f t="shared" si="1"/>
        <v>10.782857457226166</v>
      </c>
      <c r="G21" s="132">
        <f t="shared" si="4"/>
        <v>0</v>
      </c>
      <c r="H21" s="132">
        <f t="shared" si="4"/>
        <v>0</v>
      </c>
      <c r="I21" s="134">
        <f t="shared" si="2"/>
        <v>10.782857457226166</v>
      </c>
      <c r="J21" s="134">
        <f t="shared" si="3"/>
        <v>23.52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24.08</v>
      </c>
      <c r="F22" s="134">
        <f t="shared" si="1"/>
        <v>11.039592158588693</v>
      </c>
      <c r="G22" s="132">
        <f t="shared" si="4"/>
        <v>0</v>
      </c>
      <c r="H22" s="132">
        <f t="shared" si="4"/>
        <v>0</v>
      </c>
      <c r="I22" s="134">
        <f t="shared" si="2"/>
        <v>11.039592158588693</v>
      </c>
      <c r="J22" s="134">
        <f t="shared" si="3"/>
        <v>24.08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24.66</v>
      </c>
      <c r="F23" s="134">
        <f t="shared" si="1"/>
        <v>11.305495956428455</v>
      </c>
      <c r="G23" s="132">
        <f t="shared" si="4"/>
        <v>0</v>
      </c>
      <c r="H23" s="132">
        <f t="shared" si="4"/>
        <v>0</v>
      </c>
      <c r="I23" s="134">
        <f t="shared" si="2"/>
        <v>11.305495956428455</v>
      </c>
      <c r="J23" s="134">
        <f t="shared" si="3"/>
        <v>24.66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25.23</v>
      </c>
      <c r="F24" s="134">
        <f t="shared" si="1"/>
        <v>11.566815206029599</v>
      </c>
      <c r="G24" s="132">
        <f t="shared" si="4"/>
        <v>0</v>
      </c>
      <c r="H24" s="132">
        <f t="shared" si="4"/>
        <v>0</v>
      </c>
      <c r="I24" s="134">
        <f t="shared" si="2"/>
        <v>11.566815206029599</v>
      </c>
      <c r="J24" s="134">
        <f t="shared" si="3"/>
        <v>25.23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25.81</v>
      </c>
      <c r="F25" s="134">
        <f t="shared" si="1"/>
        <v>11.832719003869359</v>
      </c>
      <c r="G25" s="132">
        <f t="shared" si="4"/>
        <v>0</v>
      </c>
      <c r="H25" s="132">
        <f t="shared" si="4"/>
        <v>0</v>
      </c>
      <c r="I25" s="134">
        <f t="shared" si="2"/>
        <v>11.832719003869359</v>
      </c>
      <c r="J25" s="134">
        <f t="shared" si="3"/>
        <v>25.81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31">
        <f>$C$55</f>
        <v>1178.9486841766204</v>
      </c>
      <c r="D26" s="132">
        <f>C26*$C$62</f>
        <v>91.010832830745514</v>
      </c>
      <c r="E26" s="132">
        <f t="shared" si="4"/>
        <v>26.4</v>
      </c>
      <c r="F26" s="134">
        <f t="shared" si="1"/>
        <v>53.827562684869854</v>
      </c>
      <c r="G26" s="132">
        <f t="shared" si="4"/>
        <v>0</v>
      </c>
      <c r="H26" s="132">
        <f t="shared" si="4"/>
        <v>0</v>
      </c>
      <c r="I26" s="134">
        <f t="shared" si="2"/>
        <v>53.827562684869854</v>
      </c>
      <c r="J26" s="134">
        <f t="shared" si="3"/>
        <v>117.41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93.1</v>
      </c>
      <c r="E27" s="132">
        <f t="shared" si="4"/>
        <v>27.01</v>
      </c>
      <c r="F27" s="134">
        <f t="shared" si="1"/>
        <v>55.065008894023585</v>
      </c>
      <c r="G27" s="132">
        <f t="shared" si="4"/>
        <v>0</v>
      </c>
      <c r="H27" s="132">
        <f t="shared" si="4"/>
        <v>0</v>
      </c>
      <c r="I27" s="134">
        <f t="shared" si="2"/>
        <v>55.065008894023585</v>
      </c>
      <c r="J27" s="134">
        <f t="shared" si="3"/>
        <v>120.11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95.24</v>
      </c>
      <c r="E28" s="132">
        <f t="shared" si="4"/>
        <v>27.63</v>
      </c>
      <c r="F28" s="134">
        <f t="shared" si="1"/>
        <v>56.330344207881758</v>
      </c>
      <c r="G28" s="132">
        <f t="shared" si="4"/>
        <v>0</v>
      </c>
      <c r="H28" s="132">
        <f t="shared" si="4"/>
        <v>0</v>
      </c>
      <c r="I28" s="134">
        <f t="shared" si="2"/>
        <v>56.330344207881758</v>
      </c>
      <c r="J28" s="134">
        <f t="shared" si="3"/>
        <v>122.87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97.34</v>
      </c>
      <c r="E29" s="132">
        <f t="shared" si="4"/>
        <v>28.24</v>
      </c>
      <c r="F29" s="134">
        <f t="shared" si="1"/>
        <v>57.572756780546847</v>
      </c>
      <c r="G29" s="132">
        <f t="shared" si="4"/>
        <v>0</v>
      </c>
      <c r="H29" s="132">
        <f t="shared" si="4"/>
        <v>0</v>
      </c>
      <c r="I29" s="134">
        <f t="shared" si="2"/>
        <v>57.572756780546847</v>
      </c>
      <c r="J29" s="134">
        <f t="shared" si="3"/>
        <v>125.58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99.48</v>
      </c>
      <c r="E30" s="132">
        <f t="shared" si="4"/>
        <v>28.86</v>
      </c>
      <c r="F30" s="134">
        <f t="shared" si="1"/>
        <v>58.83809209440502</v>
      </c>
      <c r="G30" s="132">
        <f t="shared" si="4"/>
        <v>0</v>
      </c>
      <c r="H30" s="132">
        <f t="shared" si="4"/>
        <v>0</v>
      </c>
      <c r="I30" s="134">
        <f t="shared" si="2"/>
        <v>58.83809209440502</v>
      </c>
      <c r="J30" s="134">
        <f t="shared" si="3"/>
        <v>128.34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101.67</v>
      </c>
      <c r="E31" s="132">
        <f t="shared" si="4"/>
        <v>29.49</v>
      </c>
      <c r="F31" s="134">
        <f t="shared" si="1"/>
        <v>60.13093469769489</v>
      </c>
      <c r="G31" s="132">
        <f t="shared" si="4"/>
        <v>0</v>
      </c>
      <c r="H31" s="132">
        <f t="shared" si="4"/>
        <v>0</v>
      </c>
      <c r="I31" s="134">
        <f t="shared" si="2"/>
        <v>60.13093469769489</v>
      </c>
      <c r="J31" s="134">
        <f t="shared" si="3"/>
        <v>131.16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104.01</v>
      </c>
      <c r="E32" s="132">
        <f t="shared" si="4"/>
        <v>30.17</v>
      </c>
      <c r="F32" s="134">
        <f t="shared" si="1"/>
        <v>61.5154682657571</v>
      </c>
      <c r="G32" s="132">
        <f t="shared" si="4"/>
        <v>0</v>
      </c>
      <c r="H32" s="132">
        <f t="shared" si="4"/>
        <v>0</v>
      </c>
      <c r="I32" s="134">
        <f t="shared" si="2"/>
        <v>61.5154682657571</v>
      </c>
      <c r="J32" s="134">
        <f t="shared" si="3"/>
        <v>134.18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106.4</v>
      </c>
      <c r="E33" s="132">
        <f t="shared" si="4"/>
        <v>30.86</v>
      </c>
      <c r="F33" s="134">
        <f t="shared" si="1"/>
        <v>62.927509123250992</v>
      </c>
      <c r="G33" s="132">
        <f t="shared" si="4"/>
        <v>0</v>
      </c>
      <c r="H33" s="132">
        <f t="shared" si="4"/>
        <v>0</v>
      </c>
      <c r="I33" s="134">
        <f t="shared" si="2"/>
        <v>62.927509123250992</v>
      </c>
      <c r="J33" s="134">
        <f t="shared" si="3"/>
        <v>137.26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108.85</v>
      </c>
      <c r="E34" s="132">
        <f t="shared" si="4"/>
        <v>31.57</v>
      </c>
      <c r="F34" s="134">
        <f t="shared" si="1"/>
        <v>64.376226366653825</v>
      </c>
      <c r="G34" s="132">
        <f t="shared" si="4"/>
        <v>0</v>
      </c>
      <c r="H34" s="132">
        <f t="shared" si="4"/>
        <v>0</v>
      </c>
      <c r="I34" s="134">
        <f t="shared" si="2"/>
        <v>64.376226366653825</v>
      </c>
      <c r="J34" s="134">
        <f t="shared" si="3"/>
        <v>140.41999999999999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111.35</v>
      </c>
      <c r="E35" s="132">
        <f t="shared" si="4"/>
        <v>32.299999999999997</v>
      </c>
      <c r="F35" s="134">
        <f t="shared" si="1"/>
        <v>65.857035447726972</v>
      </c>
      <c r="G35" s="132">
        <f t="shared" si="4"/>
        <v>0</v>
      </c>
      <c r="H35" s="132">
        <f t="shared" si="4"/>
        <v>0</v>
      </c>
      <c r="I35" s="134">
        <f t="shared" si="2"/>
        <v>65.857035447726972</v>
      </c>
      <c r="J35" s="134">
        <f t="shared" si="3"/>
        <v>143.65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113.91</v>
      </c>
      <c r="E36" s="132">
        <f t="shared" si="4"/>
        <v>33.04</v>
      </c>
      <c r="F36" s="134">
        <f t="shared" si="1"/>
        <v>67.369936366470441</v>
      </c>
      <c r="G36" s="132">
        <f t="shared" si="4"/>
        <v>0</v>
      </c>
      <c r="H36" s="132">
        <f t="shared" si="4"/>
        <v>0</v>
      </c>
      <c r="I36" s="134">
        <f t="shared" si="2"/>
        <v>67.369936366470441</v>
      </c>
      <c r="J36" s="134">
        <f t="shared" si="3"/>
        <v>146.94999999999999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YK Solar 2030'!D44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Resource-2032 - 25%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130</v>
      </c>
      <c r="C55" s="185">
        <v>1178.9486841766204</v>
      </c>
      <c r="D55" s="121" t="s">
        <v>74</v>
      </c>
      <c r="H55" s="121" t="s">
        <v>9</v>
      </c>
    </row>
    <row r="56" spans="2:24">
      <c r="B56" s="85" t="s">
        <v>111</v>
      </c>
      <c r="C56" s="154">
        <v>18.74175672264068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25%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Yakima Solar Resource-2033 - 25%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18.74175672264068</v>
      </c>
      <c r="F11" s="133">
        <f t="shared" ref="F11:F36" si="1">(D11+E11)/(8.76*$C$63)</f>
        <v>8.5922487771362537</v>
      </c>
      <c r="G11" s="133">
        <f>$C$58</f>
        <v>0</v>
      </c>
      <c r="H11" s="132">
        <f>$C$59</f>
        <v>0</v>
      </c>
      <c r="I11" s="134">
        <f t="shared" ref="I11:I36" si="2">F11+H11+G11</f>
        <v>8.5922487771362537</v>
      </c>
      <c r="J11" s="134">
        <f t="shared" ref="J11:J36" si="3">ROUND(I11*$C$63*8.76,2)</f>
        <v>18.739999999999998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19.170000000000002</v>
      </c>
      <c r="F12" s="134">
        <f t="shared" si="1"/>
        <v>8.7885789734279598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8.7885789734279598</v>
      </c>
      <c r="J12" s="134">
        <f t="shared" si="3"/>
        <v>19.170000000000002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19.55</v>
      </c>
      <c r="F13" s="134">
        <f t="shared" si="1"/>
        <v>8.9627918064953889</v>
      </c>
      <c r="G13" s="132">
        <f t="shared" si="4"/>
        <v>0</v>
      </c>
      <c r="H13" s="132">
        <f t="shared" si="4"/>
        <v>0</v>
      </c>
      <c r="I13" s="134">
        <f t="shared" si="2"/>
        <v>8.9627918064953889</v>
      </c>
      <c r="J13" s="134">
        <f t="shared" si="3"/>
        <v>19.55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19.98</v>
      </c>
      <c r="F14" s="134">
        <f t="shared" si="1"/>
        <v>9.1599273807559012</v>
      </c>
      <c r="G14" s="132">
        <f t="shared" si="4"/>
        <v>0</v>
      </c>
      <c r="H14" s="132">
        <f t="shared" si="4"/>
        <v>0</v>
      </c>
      <c r="I14" s="134">
        <f t="shared" si="2"/>
        <v>9.1599273807559012</v>
      </c>
      <c r="J14" s="134">
        <f t="shared" si="3"/>
        <v>19.98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20.46</v>
      </c>
      <c r="F15" s="134">
        <f t="shared" si="1"/>
        <v>9.3799856962094967</v>
      </c>
      <c r="G15" s="132">
        <f t="shared" si="4"/>
        <v>0</v>
      </c>
      <c r="H15" s="132">
        <f t="shared" si="4"/>
        <v>0</v>
      </c>
      <c r="I15" s="134">
        <f t="shared" si="2"/>
        <v>9.3799856962094967</v>
      </c>
      <c r="J15" s="134">
        <f t="shared" si="3"/>
        <v>20.46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20.95</v>
      </c>
      <c r="F16" s="134">
        <f t="shared" si="1"/>
        <v>9.6046285599017072</v>
      </c>
      <c r="G16" s="132">
        <f t="shared" si="4"/>
        <v>0</v>
      </c>
      <c r="H16" s="132">
        <f t="shared" si="4"/>
        <v>0</v>
      </c>
      <c r="I16" s="134">
        <f t="shared" si="2"/>
        <v>9.6046285599017072</v>
      </c>
      <c r="J16" s="134">
        <f t="shared" si="3"/>
        <v>20.95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21.45</v>
      </c>
      <c r="F17" s="134">
        <f t="shared" si="1"/>
        <v>9.833855971832536</v>
      </c>
      <c r="G17" s="132">
        <f t="shared" si="4"/>
        <v>0</v>
      </c>
      <c r="H17" s="132">
        <f t="shared" si="4"/>
        <v>0</v>
      </c>
      <c r="I17" s="134">
        <f t="shared" si="2"/>
        <v>9.833855971832536</v>
      </c>
      <c r="J17" s="134">
        <f t="shared" si="3"/>
        <v>21.45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21.96</v>
      </c>
      <c r="F18" s="134">
        <f t="shared" si="1"/>
        <v>10.067667932001982</v>
      </c>
      <c r="G18" s="132">
        <f t="shared" si="4"/>
        <v>0</v>
      </c>
      <c r="H18" s="132">
        <f t="shared" si="4"/>
        <v>0</v>
      </c>
      <c r="I18" s="134">
        <f t="shared" si="2"/>
        <v>10.067667932001982</v>
      </c>
      <c r="J18" s="134">
        <f t="shared" si="3"/>
        <v>21.96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22.47</v>
      </c>
      <c r="F19" s="134">
        <f t="shared" si="1"/>
        <v>10.301479892171425</v>
      </c>
      <c r="G19" s="132">
        <f t="shared" si="4"/>
        <v>0</v>
      </c>
      <c r="H19" s="132">
        <f t="shared" si="4"/>
        <v>0</v>
      </c>
      <c r="I19" s="134">
        <f t="shared" si="2"/>
        <v>10.301479892171425</v>
      </c>
      <c r="J19" s="134">
        <f t="shared" si="3"/>
        <v>22.47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22.99</v>
      </c>
      <c r="F20" s="134">
        <f t="shared" si="1"/>
        <v>10.539876400579487</v>
      </c>
      <c r="G20" s="132">
        <f t="shared" si="4"/>
        <v>0</v>
      </c>
      <c r="H20" s="132">
        <f t="shared" si="4"/>
        <v>0</v>
      </c>
      <c r="I20" s="134">
        <f t="shared" si="2"/>
        <v>10.539876400579487</v>
      </c>
      <c r="J20" s="134">
        <f t="shared" si="3"/>
        <v>22.99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23.52</v>
      </c>
      <c r="F21" s="134">
        <f t="shared" si="1"/>
        <v>10.782857457226166</v>
      </c>
      <c r="G21" s="132">
        <f t="shared" si="4"/>
        <v>0</v>
      </c>
      <c r="H21" s="132">
        <f t="shared" si="4"/>
        <v>0</v>
      </c>
      <c r="I21" s="134">
        <f t="shared" si="2"/>
        <v>10.782857457226166</v>
      </c>
      <c r="J21" s="134">
        <f t="shared" si="3"/>
        <v>23.52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24.08</v>
      </c>
      <c r="F22" s="134">
        <f t="shared" si="1"/>
        <v>11.039592158588693</v>
      </c>
      <c r="G22" s="132">
        <f t="shared" si="4"/>
        <v>0</v>
      </c>
      <c r="H22" s="132">
        <f t="shared" si="4"/>
        <v>0</v>
      </c>
      <c r="I22" s="134">
        <f t="shared" si="2"/>
        <v>11.039592158588693</v>
      </c>
      <c r="J22" s="134">
        <f t="shared" si="3"/>
        <v>24.08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24.66</v>
      </c>
      <c r="F23" s="134">
        <f t="shared" si="1"/>
        <v>11.305495956428455</v>
      </c>
      <c r="G23" s="132">
        <f t="shared" si="4"/>
        <v>0</v>
      </c>
      <c r="H23" s="132">
        <f t="shared" si="4"/>
        <v>0</v>
      </c>
      <c r="I23" s="134">
        <f t="shared" si="2"/>
        <v>11.305495956428455</v>
      </c>
      <c r="J23" s="134">
        <f t="shared" si="3"/>
        <v>24.66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25.23</v>
      </c>
      <c r="F24" s="134">
        <f t="shared" si="1"/>
        <v>11.566815206029599</v>
      </c>
      <c r="G24" s="132">
        <f t="shared" si="4"/>
        <v>0</v>
      </c>
      <c r="H24" s="132">
        <f t="shared" si="4"/>
        <v>0</v>
      </c>
      <c r="I24" s="134">
        <f t="shared" si="2"/>
        <v>11.566815206029599</v>
      </c>
      <c r="J24" s="134">
        <f t="shared" si="3"/>
        <v>25.23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41"/>
      <c r="D25" s="132"/>
      <c r="E25" s="132">
        <f t="shared" si="4"/>
        <v>25.81</v>
      </c>
      <c r="F25" s="134">
        <f t="shared" si="1"/>
        <v>11.832719003869359</v>
      </c>
      <c r="G25" s="132">
        <f t="shared" si="4"/>
        <v>0</v>
      </c>
      <c r="H25" s="132">
        <f t="shared" si="4"/>
        <v>0</v>
      </c>
      <c r="I25" s="134">
        <f t="shared" si="2"/>
        <v>11.832719003869359</v>
      </c>
      <c r="J25" s="134">
        <f t="shared" si="3"/>
        <v>25.81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26.4</v>
      </c>
      <c r="F26" s="134">
        <f t="shared" si="1"/>
        <v>12.103207349947736</v>
      </c>
      <c r="G26" s="132">
        <f t="shared" si="4"/>
        <v>0</v>
      </c>
      <c r="H26" s="132">
        <f t="shared" si="4"/>
        <v>0</v>
      </c>
      <c r="I26" s="134">
        <f t="shared" si="2"/>
        <v>12.103207349947736</v>
      </c>
      <c r="J26" s="134">
        <f t="shared" si="3"/>
        <v>26.4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31">
        <f>$C$55</f>
        <v>1172.2286766768136</v>
      </c>
      <c r="D27" s="132">
        <f>C27*$C$62</f>
        <v>90.49207108361027</v>
      </c>
      <c r="E27" s="132">
        <f t="shared" si="4"/>
        <v>27.01</v>
      </c>
      <c r="F27" s="134">
        <f t="shared" si="1"/>
        <v>53.869391302016417</v>
      </c>
      <c r="G27" s="132">
        <f t="shared" si="4"/>
        <v>0</v>
      </c>
      <c r="H27" s="132">
        <f t="shared" si="4"/>
        <v>0</v>
      </c>
      <c r="I27" s="134">
        <f t="shared" si="2"/>
        <v>53.869391302016417</v>
      </c>
      <c r="J27" s="134">
        <f t="shared" si="3"/>
        <v>117.5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92.57</v>
      </c>
      <c r="E28" s="132">
        <f t="shared" si="4"/>
        <v>27.63</v>
      </c>
      <c r="F28" s="134">
        <f t="shared" si="1"/>
        <v>55.106269828171129</v>
      </c>
      <c r="G28" s="132">
        <f t="shared" si="4"/>
        <v>0</v>
      </c>
      <c r="H28" s="132">
        <f t="shared" si="4"/>
        <v>0</v>
      </c>
      <c r="I28" s="134">
        <f t="shared" si="2"/>
        <v>55.106269828171129</v>
      </c>
      <c r="J28" s="134">
        <f t="shared" si="3"/>
        <v>120.2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94.61</v>
      </c>
      <c r="E29" s="132">
        <f t="shared" si="4"/>
        <v>28.24</v>
      </c>
      <c r="F29" s="134">
        <f t="shared" si="1"/>
        <v>56.321175111404521</v>
      </c>
      <c r="G29" s="132">
        <f t="shared" si="4"/>
        <v>0</v>
      </c>
      <c r="H29" s="132">
        <f t="shared" si="4"/>
        <v>0</v>
      </c>
      <c r="I29" s="134">
        <f t="shared" si="2"/>
        <v>56.321175111404521</v>
      </c>
      <c r="J29" s="134">
        <f t="shared" si="3"/>
        <v>122.85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96.69</v>
      </c>
      <c r="E30" s="132">
        <f t="shared" si="4"/>
        <v>28.86</v>
      </c>
      <c r="F30" s="134">
        <f t="shared" si="1"/>
        <v>57.559003135830999</v>
      </c>
      <c r="G30" s="132">
        <f t="shared" si="4"/>
        <v>0</v>
      </c>
      <c r="H30" s="132">
        <f t="shared" si="4"/>
        <v>0</v>
      </c>
      <c r="I30" s="134">
        <f t="shared" si="2"/>
        <v>57.559003135830999</v>
      </c>
      <c r="J30" s="134">
        <f t="shared" si="3"/>
        <v>125.55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98.82</v>
      </c>
      <c r="E31" s="132">
        <f t="shared" si="4"/>
        <v>29.49</v>
      </c>
      <c r="F31" s="134">
        <f t="shared" si="1"/>
        <v>58.824338449689172</v>
      </c>
      <c r="G31" s="132">
        <f t="shared" si="4"/>
        <v>0</v>
      </c>
      <c r="H31" s="132">
        <f t="shared" si="4"/>
        <v>0</v>
      </c>
      <c r="I31" s="134">
        <f t="shared" si="2"/>
        <v>58.824338449689172</v>
      </c>
      <c r="J31" s="134">
        <f t="shared" si="3"/>
        <v>128.31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101.09</v>
      </c>
      <c r="E32" s="132">
        <f t="shared" si="4"/>
        <v>30.17</v>
      </c>
      <c r="F32" s="134">
        <f t="shared" si="1"/>
        <v>60.176780180081053</v>
      </c>
      <c r="G32" s="132">
        <f t="shared" si="4"/>
        <v>0</v>
      </c>
      <c r="H32" s="132">
        <f t="shared" si="4"/>
        <v>0</v>
      </c>
      <c r="I32" s="134">
        <f t="shared" si="2"/>
        <v>60.176780180081053</v>
      </c>
      <c r="J32" s="134">
        <f t="shared" si="3"/>
        <v>131.26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103.42</v>
      </c>
      <c r="E33" s="132">
        <f t="shared" si="4"/>
        <v>30.86</v>
      </c>
      <c r="F33" s="134">
        <f t="shared" si="1"/>
        <v>61.561313748143263</v>
      </c>
      <c r="G33" s="132">
        <f t="shared" si="4"/>
        <v>0</v>
      </c>
      <c r="H33" s="132">
        <f t="shared" si="4"/>
        <v>0</v>
      </c>
      <c r="I33" s="134">
        <f t="shared" si="2"/>
        <v>61.561313748143263</v>
      </c>
      <c r="J33" s="134">
        <f t="shared" si="3"/>
        <v>134.28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105.8</v>
      </c>
      <c r="E34" s="132">
        <f t="shared" si="4"/>
        <v>31.57</v>
      </c>
      <c r="F34" s="134">
        <f t="shared" si="1"/>
        <v>62.977939153875781</v>
      </c>
      <c r="G34" s="132">
        <f t="shared" si="4"/>
        <v>0</v>
      </c>
      <c r="H34" s="132">
        <f t="shared" si="4"/>
        <v>0</v>
      </c>
      <c r="I34" s="134">
        <f t="shared" si="2"/>
        <v>62.977939153875781</v>
      </c>
      <c r="J34" s="134">
        <f t="shared" si="3"/>
        <v>137.37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108.23</v>
      </c>
      <c r="E35" s="132">
        <f t="shared" si="4"/>
        <v>32.299999999999997</v>
      </c>
      <c r="F35" s="134">
        <f t="shared" si="1"/>
        <v>64.42665639727862</v>
      </c>
      <c r="G35" s="132">
        <f t="shared" si="4"/>
        <v>0</v>
      </c>
      <c r="H35" s="132">
        <f t="shared" si="4"/>
        <v>0</v>
      </c>
      <c r="I35" s="134">
        <f t="shared" si="2"/>
        <v>64.42665639727862</v>
      </c>
      <c r="J35" s="134">
        <f t="shared" si="3"/>
        <v>140.53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110.72</v>
      </c>
      <c r="E36" s="132">
        <f t="shared" si="4"/>
        <v>33.04</v>
      </c>
      <c r="F36" s="134">
        <f t="shared" si="1"/>
        <v>65.907465478351767</v>
      </c>
      <c r="G36" s="132">
        <f t="shared" si="4"/>
        <v>0</v>
      </c>
      <c r="H36" s="132">
        <f t="shared" si="4"/>
        <v>0</v>
      </c>
      <c r="I36" s="134">
        <f t="shared" si="2"/>
        <v>65.907465478351767</v>
      </c>
      <c r="J36" s="134">
        <f t="shared" si="3"/>
        <v>143.76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YK Solar 2032'!D44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24.9%)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Yakima Solar Resource-2033 - 25%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1172.2286766768136</v>
      </c>
      <c r="D55" s="121" t="s">
        <v>74</v>
      </c>
      <c r="H55" s="121" t="s">
        <v>9</v>
      </c>
    </row>
    <row r="56" spans="2:24">
      <c r="B56" s="85" t="s">
        <v>111</v>
      </c>
      <c r="C56" s="154">
        <v>18.74175672264068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0.249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X102"/>
  <sheetViews>
    <sheetView topLeftCell="A2"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Resource-2033 - 31%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3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20.54</v>
      </c>
      <c r="F13" s="134">
        <f t="shared" si="1"/>
        <v>7.539385396937262</v>
      </c>
      <c r="G13" s="132">
        <f t="shared" si="5"/>
        <v>0</v>
      </c>
      <c r="H13" s="132">
        <f t="shared" si="5"/>
        <v>0</v>
      </c>
      <c r="I13" s="134">
        <f t="shared" si="2"/>
        <v>7.539385396937262</v>
      </c>
      <c r="J13" s="134">
        <f t="shared" si="3"/>
        <v>20.54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20.99</v>
      </c>
      <c r="F14" s="134">
        <f t="shared" si="1"/>
        <v>7.704561805341438</v>
      </c>
      <c r="G14" s="132">
        <f t="shared" si="5"/>
        <v>0</v>
      </c>
      <c r="H14" s="132">
        <f t="shared" si="5"/>
        <v>0</v>
      </c>
      <c r="I14" s="134">
        <f t="shared" si="2"/>
        <v>7.704561805341438</v>
      </c>
      <c r="J14" s="134">
        <f t="shared" si="3"/>
        <v>20.99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21.49</v>
      </c>
      <c r="F15" s="134">
        <f t="shared" si="1"/>
        <v>7.8880911480127436</v>
      </c>
      <c r="G15" s="132">
        <f t="shared" si="5"/>
        <v>0</v>
      </c>
      <c r="H15" s="132">
        <f t="shared" si="5"/>
        <v>0</v>
      </c>
      <c r="I15" s="134">
        <f t="shared" si="2"/>
        <v>7.8880911480127436</v>
      </c>
      <c r="J15" s="134">
        <f t="shared" si="3"/>
        <v>21.49</v>
      </c>
      <c r="K15" s="132">
        <f t="shared" si="6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22.01</v>
      </c>
      <c r="F16" s="134">
        <f t="shared" si="1"/>
        <v>8.0789616643909046</v>
      </c>
      <c r="G16" s="132">
        <f t="shared" si="5"/>
        <v>0</v>
      </c>
      <c r="H16" s="132">
        <f t="shared" si="5"/>
        <v>0</v>
      </c>
      <c r="I16" s="134">
        <f t="shared" si="2"/>
        <v>8.0789616643909046</v>
      </c>
      <c r="J16" s="134">
        <f t="shared" si="3"/>
        <v>22.01</v>
      </c>
      <c r="K16" s="132">
        <f t="shared" si="6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22.54</v>
      </c>
      <c r="F17" s="134">
        <f t="shared" si="1"/>
        <v>8.273502767622487</v>
      </c>
      <c r="G17" s="132">
        <f t="shared" si="5"/>
        <v>0</v>
      </c>
      <c r="H17" s="132">
        <f t="shared" si="5"/>
        <v>0</v>
      </c>
      <c r="I17" s="134">
        <f t="shared" si="2"/>
        <v>8.273502767622487</v>
      </c>
      <c r="J17" s="134">
        <f t="shared" si="3"/>
        <v>22.54</v>
      </c>
      <c r="K17" s="132">
        <f t="shared" si="6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23.08</v>
      </c>
      <c r="F18" s="134">
        <f t="shared" si="1"/>
        <v>8.4717144577074972</v>
      </c>
      <c r="G18" s="132">
        <f t="shared" si="5"/>
        <v>0</v>
      </c>
      <c r="H18" s="132">
        <f t="shared" si="5"/>
        <v>0</v>
      </c>
      <c r="I18" s="134">
        <f t="shared" si="2"/>
        <v>8.4717144577074972</v>
      </c>
      <c r="J18" s="134">
        <f t="shared" si="3"/>
        <v>23.08</v>
      </c>
      <c r="K18" s="132">
        <f t="shared" si="6"/>
        <v>0.73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23.61</v>
      </c>
      <c r="F19" s="134">
        <f t="shared" si="1"/>
        <v>8.6662555609390832</v>
      </c>
      <c r="G19" s="132">
        <f t="shared" si="5"/>
        <v>0</v>
      </c>
      <c r="H19" s="132">
        <f t="shared" si="5"/>
        <v>0</v>
      </c>
      <c r="I19" s="134">
        <f t="shared" si="2"/>
        <v>8.6662555609390832</v>
      </c>
      <c r="J19" s="134">
        <f t="shared" si="3"/>
        <v>23.61</v>
      </c>
      <c r="K19" s="132">
        <f t="shared" si="6"/>
        <v>0.75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24.15</v>
      </c>
      <c r="F20" s="134">
        <f t="shared" si="1"/>
        <v>8.8644672510240934</v>
      </c>
      <c r="G20" s="132">
        <f t="shared" si="5"/>
        <v>0</v>
      </c>
      <c r="H20" s="132">
        <f t="shared" si="5"/>
        <v>0</v>
      </c>
      <c r="I20" s="134">
        <f t="shared" si="2"/>
        <v>8.8644672510240934</v>
      </c>
      <c r="J20" s="134">
        <f t="shared" si="3"/>
        <v>24.15</v>
      </c>
      <c r="K20" s="132">
        <f t="shared" si="6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24.71</v>
      </c>
      <c r="F21" s="134">
        <f t="shared" si="1"/>
        <v>9.0700201148159572</v>
      </c>
      <c r="G21" s="132">
        <f t="shared" si="5"/>
        <v>0</v>
      </c>
      <c r="H21" s="132">
        <f t="shared" si="5"/>
        <v>0</v>
      </c>
      <c r="I21" s="134">
        <f t="shared" si="2"/>
        <v>9.0700201148159572</v>
      </c>
      <c r="J21" s="134">
        <f t="shared" si="3"/>
        <v>24.71</v>
      </c>
      <c r="K21" s="132">
        <f t="shared" si="6"/>
        <v>0.79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25.3</v>
      </c>
      <c r="F22" s="134">
        <f t="shared" si="1"/>
        <v>9.2865847391680987</v>
      </c>
      <c r="G22" s="132">
        <f t="shared" si="5"/>
        <v>0</v>
      </c>
      <c r="H22" s="132">
        <f t="shared" si="5"/>
        <v>0</v>
      </c>
      <c r="I22" s="134">
        <f t="shared" si="2"/>
        <v>9.2865847391680987</v>
      </c>
      <c r="J22" s="134">
        <f t="shared" si="3"/>
        <v>25.3</v>
      </c>
      <c r="K22" s="132">
        <f t="shared" si="6"/>
        <v>0.81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25.91</v>
      </c>
      <c r="F23" s="134">
        <f t="shared" si="1"/>
        <v>9.510490537227092</v>
      </c>
      <c r="G23" s="132">
        <f t="shared" si="5"/>
        <v>0</v>
      </c>
      <c r="H23" s="132">
        <f t="shared" si="5"/>
        <v>0</v>
      </c>
      <c r="I23" s="134">
        <f t="shared" si="2"/>
        <v>9.510490537227092</v>
      </c>
      <c r="J23" s="134">
        <f t="shared" si="3"/>
        <v>25.91</v>
      </c>
      <c r="K23" s="132">
        <f t="shared" si="6"/>
        <v>0.83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26.51</v>
      </c>
      <c r="F24" s="134">
        <f t="shared" si="1"/>
        <v>9.7307257484326612</v>
      </c>
      <c r="G24" s="132">
        <f t="shared" si="5"/>
        <v>0</v>
      </c>
      <c r="H24" s="132">
        <f t="shared" si="5"/>
        <v>0</v>
      </c>
      <c r="I24" s="134">
        <f t="shared" si="2"/>
        <v>9.7307257484326612</v>
      </c>
      <c r="J24" s="134">
        <f t="shared" si="3"/>
        <v>26.51</v>
      </c>
      <c r="K24" s="132">
        <f t="shared" si="6"/>
        <v>0.85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27.12</v>
      </c>
      <c r="F25" s="134">
        <f t="shared" si="1"/>
        <v>9.9546315464916546</v>
      </c>
      <c r="G25" s="132">
        <f t="shared" si="5"/>
        <v>0</v>
      </c>
      <c r="H25" s="132">
        <f t="shared" si="5"/>
        <v>0</v>
      </c>
      <c r="I25" s="134">
        <f t="shared" si="2"/>
        <v>9.9546315464916546</v>
      </c>
      <c r="J25" s="134">
        <f t="shared" si="3"/>
        <v>27.12</v>
      </c>
      <c r="K25" s="132">
        <f t="shared" si="6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27.74</v>
      </c>
      <c r="F26" s="134">
        <f t="shared" si="1"/>
        <v>10.182207931404072</v>
      </c>
      <c r="G26" s="132">
        <f t="shared" si="5"/>
        <v>0</v>
      </c>
      <c r="H26" s="132">
        <f t="shared" si="5"/>
        <v>0</v>
      </c>
      <c r="I26" s="134">
        <f t="shared" si="2"/>
        <v>10.182207931404072</v>
      </c>
      <c r="J26" s="134">
        <f t="shared" si="3"/>
        <v>27.74</v>
      </c>
      <c r="K26" s="132">
        <f t="shared" si="6"/>
        <v>0.89</v>
      </c>
      <c r="L26" s="123"/>
      <c r="P26" s="169"/>
    </row>
    <row r="27" spans="2:17">
      <c r="B27" s="140">
        <f t="shared" si="0"/>
        <v>2033</v>
      </c>
      <c r="C27" s="131">
        <f>$C$55</f>
        <v>1165.8805905559132</v>
      </c>
      <c r="D27" s="132">
        <f>C27*$C$62</f>
        <v>90.002020403289137</v>
      </c>
      <c r="E27" s="132">
        <f t="shared" si="5"/>
        <v>28.38</v>
      </c>
      <c r="F27" s="134">
        <f t="shared" si="1"/>
        <v>43.453148777433647</v>
      </c>
      <c r="G27" s="132">
        <f t="shared" si="5"/>
        <v>0</v>
      </c>
      <c r="H27" s="132">
        <f t="shared" si="5"/>
        <v>0</v>
      </c>
      <c r="I27" s="134">
        <f t="shared" si="2"/>
        <v>43.453148777433647</v>
      </c>
      <c r="J27" s="134">
        <f t="shared" si="3"/>
        <v>118.38</v>
      </c>
      <c r="K27" s="132">
        <f t="shared" si="6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5"/>
        <v>92.07</v>
      </c>
      <c r="E28" s="132">
        <f t="shared" si="5"/>
        <v>29.03</v>
      </c>
      <c r="F28" s="134">
        <f t="shared" si="1"/>
        <v>44.450806794990385</v>
      </c>
      <c r="G28" s="132">
        <f t="shared" si="5"/>
        <v>0</v>
      </c>
      <c r="H28" s="132">
        <f t="shared" si="5"/>
        <v>0</v>
      </c>
      <c r="I28" s="134">
        <f t="shared" si="2"/>
        <v>44.450806794990385</v>
      </c>
      <c r="J28" s="134">
        <f t="shared" si="3"/>
        <v>121.1</v>
      </c>
      <c r="K28" s="132">
        <f t="shared" si="6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5"/>
        <v>94.1</v>
      </c>
      <c r="E29" s="132">
        <f t="shared" si="5"/>
        <v>29.67</v>
      </c>
      <c r="F29" s="134">
        <f t="shared" si="1"/>
        <v>45.430853484855156</v>
      </c>
      <c r="G29" s="132">
        <f t="shared" si="5"/>
        <v>0</v>
      </c>
      <c r="H29" s="132">
        <f t="shared" si="5"/>
        <v>0</v>
      </c>
      <c r="I29" s="134">
        <f t="shared" si="2"/>
        <v>45.430853484855156</v>
      </c>
      <c r="J29" s="134">
        <f t="shared" si="3"/>
        <v>123.77</v>
      </c>
      <c r="K29" s="132">
        <f t="shared" si="6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96.17</v>
      </c>
      <c r="E30" s="132">
        <f t="shared" si="5"/>
        <v>30.32</v>
      </c>
      <c r="F30" s="134">
        <f t="shared" si="1"/>
        <v>46.429253108987069</v>
      </c>
      <c r="G30" s="132">
        <f t="shared" si="5"/>
        <v>0</v>
      </c>
      <c r="H30" s="132">
        <f t="shared" si="5"/>
        <v>0</v>
      </c>
      <c r="I30" s="134">
        <f t="shared" si="2"/>
        <v>46.429253108987069</v>
      </c>
      <c r="J30" s="134">
        <f t="shared" si="3"/>
        <v>126.49</v>
      </c>
      <c r="K30" s="132">
        <f t="shared" si="6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98.29</v>
      </c>
      <c r="E31" s="132">
        <f t="shared" si="5"/>
        <v>30.99</v>
      </c>
      <c r="F31" s="134">
        <f t="shared" si="1"/>
        <v>47.453346841092959</v>
      </c>
      <c r="G31" s="132">
        <f t="shared" si="5"/>
        <v>0</v>
      </c>
      <c r="H31" s="132">
        <f t="shared" si="5"/>
        <v>0</v>
      </c>
      <c r="I31" s="134">
        <f t="shared" si="2"/>
        <v>47.453346841092959</v>
      </c>
      <c r="J31" s="134">
        <f t="shared" si="3"/>
        <v>129.28</v>
      </c>
      <c r="K31" s="132">
        <f t="shared" si="6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100.55</v>
      </c>
      <c r="E32" s="132">
        <f t="shared" si="5"/>
        <v>31.7</v>
      </c>
      <c r="F32" s="134">
        <f t="shared" si="1"/>
        <v>48.543511136560518</v>
      </c>
      <c r="G32" s="132">
        <f t="shared" si="5"/>
        <v>0</v>
      </c>
      <c r="H32" s="132">
        <f t="shared" si="5"/>
        <v>0</v>
      </c>
      <c r="I32" s="134">
        <f t="shared" si="2"/>
        <v>48.543511136560518</v>
      </c>
      <c r="J32" s="134">
        <f t="shared" si="3"/>
        <v>132.25</v>
      </c>
      <c r="K32" s="132">
        <f t="shared" si="6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102.86</v>
      </c>
      <c r="E33" s="132">
        <f t="shared" si="5"/>
        <v>32.43</v>
      </c>
      <c r="F33" s="134">
        <f t="shared" si="1"/>
        <v>49.659369540002054</v>
      </c>
      <c r="G33" s="132">
        <f t="shared" si="5"/>
        <v>0</v>
      </c>
      <c r="H33" s="132">
        <f t="shared" si="5"/>
        <v>0</v>
      </c>
      <c r="I33" s="134">
        <f t="shared" si="2"/>
        <v>49.659369540002054</v>
      </c>
      <c r="J33" s="134">
        <f t="shared" si="3"/>
        <v>135.29</v>
      </c>
      <c r="K33" s="132">
        <f t="shared" si="6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105.23</v>
      </c>
      <c r="E34" s="132">
        <f t="shared" si="5"/>
        <v>33.18</v>
      </c>
      <c r="F34" s="134">
        <f t="shared" ref="F34:F36" si="8">(D34+E34)/(8.76*$C$63)</f>
        <v>50.804592638271011</v>
      </c>
      <c r="G34" s="132">
        <f t="shared" si="5"/>
        <v>0</v>
      </c>
      <c r="H34" s="132">
        <f t="shared" si="5"/>
        <v>0</v>
      </c>
      <c r="I34" s="134">
        <f t="shared" si="2"/>
        <v>50.804592638271011</v>
      </c>
      <c r="J34" s="134">
        <f t="shared" si="3"/>
        <v>138.41</v>
      </c>
      <c r="K34" s="132">
        <f t="shared" si="6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107.65</v>
      </c>
      <c r="E35" s="132">
        <f t="shared" si="5"/>
        <v>33.94</v>
      </c>
      <c r="F35" s="134">
        <f t="shared" si="8"/>
        <v>51.97183925766052</v>
      </c>
      <c r="G35" s="132">
        <f t="shared" si="5"/>
        <v>0</v>
      </c>
      <c r="H35" s="132">
        <f t="shared" si="5"/>
        <v>0</v>
      </c>
      <c r="I35" s="134">
        <f t="shared" si="2"/>
        <v>51.97183925766052</v>
      </c>
      <c r="J35" s="134">
        <f t="shared" si="3"/>
        <v>141.59</v>
      </c>
      <c r="K35" s="132">
        <f t="shared" si="6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110.13</v>
      </c>
      <c r="E36" s="132">
        <f t="shared" si="5"/>
        <v>34.72</v>
      </c>
      <c r="F36" s="134">
        <f t="shared" si="8"/>
        <v>53.168450571877429</v>
      </c>
      <c r="G36" s="132">
        <f t="shared" si="5"/>
        <v>0</v>
      </c>
      <c r="H36" s="132">
        <f t="shared" si="5"/>
        <v>0</v>
      </c>
      <c r="I36" s="134">
        <f t="shared" si="2"/>
        <v>53.168450571877429</v>
      </c>
      <c r="J36" s="134">
        <f t="shared" si="3"/>
        <v>144.85</v>
      </c>
      <c r="K36" s="132">
        <f t="shared" si="6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OR Solar 2033'!D44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1165.8805905559132</v>
      </c>
      <c r="D55" s="121" t="s">
        <v>74</v>
      </c>
      <c r="H55" s="121" t="s">
        <v>9</v>
      </c>
    </row>
    <row r="56" spans="2:24">
      <c r="B56" s="85" t="s">
        <v>111</v>
      </c>
      <c r="C56" s="154">
        <v>19.691768539314772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39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Resource-2033 - 31%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19.691768539314772</v>
      </c>
      <c r="F11" s="133">
        <f t="shared" ref="F11:F36" si="1">(D11+E11)/(8.76*$C$63)</f>
        <v>7.2280346721118987</v>
      </c>
      <c r="G11" s="133">
        <f>$C$58</f>
        <v>0</v>
      </c>
      <c r="H11" s="142">
        <f>$C$59</f>
        <v>0</v>
      </c>
      <c r="I11" s="134">
        <f t="shared" ref="I11:I36" si="2">F11+H11+G11</f>
        <v>7.2280346721118987</v>
      </c>
      <c r="J11" s="134">
        <f t="shared" ref="J11:J36" si="3">ROUND(I11*$C$63*8.76,2)</f>
        <v>19.690000000000001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20.14</v>
      </c>
      <c r="F12" s="134">
        <f t="shared" si="1"/>
        <v>7.3925619228002182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7.3925619228002182</v>
      </c>
      <c r="J12" s="134">
        <f t="shared" si="3"/>
        <v>20.14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20.54</v>
      </c>
      <c r="F13" s="134">
        <f t="shared" si="1"/>
        <v>7.539385396937262</v>
      </c>
      <c r="G13" s="132">
        <f t="shared" si="5"/>
        <v>0</v>
      </c>
      <c r="H13" s="132">
        <f t="shared" si="5"/>
        <v>0</v>
      </c>
      <c r="I13" s="134">
        <f t="shared" si="2"/>
        <v>7.539385396937262</v>
      </c>
      <c r="J13" s="134">
        <f t="shared" si="3"/>
        <v>20.54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20.99</v>
      </c>
      <c r="F14" s="134">
        <f t="shared" si="1"/>
        <v>7.704561805341438</v>
      </c>
      <c r="G14" s="132">
        <f t="shared" si="5"/>
        <v>0</v>
      </c>
      <c r="H14" s="132">
        <f t="shared" si="5"/>
        <v>0</v>
      </c>
      <c r="I14" s="134">
        <f t="shared" si="2"/>
        <v>7.704561805341438</v>
      </c>
      <c r="J14" s="134">
        <f t="shared" si="3"/>
        <v>20.99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21.49</v>
      </c>
      <c r="F15" s="134">
        <f t="shared" si="1"/>
        <v>7.8880911480127436</v>
      </c>
      <c r="G15" s="132">
        <f t="shared" si="5"/>
        <v>0</v>
      </c>
      <c r="H15" s="132">
        <f t="shared" si="5"/>
        <v>0</v>
      </c>
      <c r="I15" s="134">
        <f t="shared" si="2"/>
        <v>7.8880911480127436</v>
      </c>
      <c r="J15" s="134">
        <f t="shared" si="3"/>
        <v>21.49</v>
      </c>
      <c r="K15" s="132">
        <f t="shared" si="6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22.01</v>
      </c>
      <c r="F16" s="134">
        <f t="shared" si="1"/>
        <v>8.0789616643909046</v>
      </c>
      <c r="G16" s="132">
        <f t="shared" si="5"/>
        <v>0</v>
      </c>
      <c r="H16" s="132">
        <f t="shared" si="5"/>
        <v>0</v>
      </c>
      <c r="I16" s="134">
        <f t="shared" si="2"/>
        <v>8.0789616643909046</v>
      </c>
      <c r="J16" s="134">
        <f t="shared" si="3"/>
        <v>22.01</v>
      </c>
      <c r="K16" s="132">
        <f t="shared" si="6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22.54</v>
      </c>
      <c r="F17" s="134">
        <f t="shared" si="1"/>
        <v>8.273502767622487</v>
      </c>
      <c r="G17" s="132">
        <f t="shared" si="5"/>
        <v>0</v>
      </c>
      <c r="H17" s="132">
        <f t="shared" si="5"/>
        <v>0</v>
      </c>
      <c r="I17" s="134">
        <f t="shared" si="2"/>
        <v>8.273502767622487</v>
      </c>
      <c r="J17" s="134">
        <f t="shared" si="3"/>
        <v>22.54</v>
      </c>
      <c r="K17" s="132">
        <f t="shared" si="6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23.08</v>
      </c>
      <c r="F18" s="134">
        <f t="shared" si="1"/>
        <v>8.4717144577074972</v>
      </c>
      <c r="G18" s="132">
        <f t="shared" si="5"/>
        <v>0</v>
      </c>
      <c r="H18" s="132">
        <f t="shared" si="5"/>
        <v>0</v>
      </c>
      <c r="I18" s="134">
        <f t="shared" si="2"/>
        <v>8.4717144577074972</v>
      </c>
      <c r="J18" s="134">
        <f t="shared" si="3"/>
        <v>23.08</v>
      </c>
      <c r="K18" s="132">
        <f t="shared" si="6"/>
        <v>0.73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23.61</v>
      </c>
      <c r="F19" s="134">
        <f t="shared" si="1"/>
        <v>8.6662555609390832</v>
      </c>
      <c r="G19" s="132">
        <f t="shared" si="5"/>
        <v>0</v>
      </c>
      <c r="H19" s="132">
        <f t="shared" si="5"/>
        <v>0</v>
      </c>
      <c r="I19" s="134">
        <f t="shared" si="2"/>
        <v>8.6662555609390832</v>
      </c>
      <c r="J19" s="134">
        <f t="shared" si="3"/>
        <v>23.61</v>
      </c>
      <c r="K19" s="132">
        <f t="shared" si="6"/>
        <v>0.75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24.15</v>
      </c>
      <c r="F20" s="134">
        <f t="shared" si="1"/>
        <v>8.8644672510240934</v>
      </c>
      <c r="G20" s="132">
        <f t="shared" si="5"/>
        <v>0</v>
      </c>
      <c r="H20" s="132">
        <f t="shared" si="5"/>
        <v>0</v>
      </c>
      <c r="I20" s="134">
        <f t="shared" si="2"/>
        <v>8.8644672510240934</v>
      </c>
      <c r="J20" s="134">
        <f t="shared" si="3"/>
        <v>24.15</v>
      </c>
      <c r="K20" s="132">
        <f t="shared" si="6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6" si="7">ROUND(D20*(1+$G67),2)</f>
        <v>0</v>
      </c>
      <c r="E21" s="132">
        <f t="shared" si="5"/>
        <v>24.71</v>
      </c>
      <c r="F21" s="134">
        <f t="shared" si="1"/>
        <v>9.0700201148159572</v>
      </c>
      <c r="G21" s="132">
        <f t="shared" si="5"/>
        <v>0</v>
      </c>
      <c r="H21" s="132">
        <f t="shared" si="5"/>
        <v>0</v>
      </c>
      <c r="I21" s="134">
        <f t="shared" si="2"/>
        <v>9.0700201148159572</v>
      </c>
      <c r="J21" s="134">
        <f t="shared" si="3"/>
        <v>24.71</v>
      </c>
      <c r="K21" s="132">
        <f t="shared" si="6"/>
        <v>0.79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25.3</v>
      </c>
      <c r="F22" s="134">
        <f t="shared" si="1"/>
        <v>9.2865847391680987</v>
      </c>
      <c r="G22" s="132">
        <f t="shared" si="5"/>
        <v>0</v>
      </c>
      <c r="H22" s="132">
        <f t="shared" si="5"/>
        <v>0</v>
      </c>
      <c r="I22" s="134">
        <f t="shared" si="2"/>
        <v>9.2865847391680987</v>
      </c>
      <c r="J22" s="134">
        <f t="shared" si="3"/>
        <v>25.3</v>
      </c>
      <c r="K22" s="132">
        <f t="shared" si="6"/>
        <v>0.81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25.91</v>
      </c>
      <c r="F23" s="134">
        <f t="shared" si="1"/>
        <v>9.510490537227092</v>
      </c>
      <c r="G23" s="132">
        <f t="shared" si="5"/>
        <v>0</v>
      </c>
      <c r="H23" s="132">
        <f t="shared" si="5"/>
        <v>0</v>
      </c>
      <c r="I23" s="134">
        <f t="shared" si="2"/>
        <v>9.510490537227092</v>
      </c>
      <c r="J23" s="134">
        <f t="shared" si="3"/>
        <v>25.91</v>
      </c>
      <c r="K23" s="132">
        <f t="shared" si="6"/>
        <v>0.83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26.51</v>
      </c>
      <c r="F24" s="134">
        <f t="shared" si="1"/>
        <v>9.7307257484326612</v>
      </c>
      <c r="G24" s="132">
        <f t="shared" si="5"/>
        <v>0</v>
      </c>
      <c r="H24" s="132">
        <f t="shared" si="5"/>
        <v>0</v>
      </c>
      <c r="I24" s="134">
        <f t="shared" si="2"/>
        <v>9.7307257484326612</v>
      </c>
      <c r="J24" s="134">
        <f t="shared" si="3"/>
        <v>26.51</v>
      </c>
      <c r="K24" s="132">
        <f t="shared" si="6"/>
        <v>0.85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27.12</v>
      </c>
      <c r="F25" s="134">
        <f t="shared" si="1"/>
        <v>9.9546315464916546</v>
      </c>
      <c r="G25" s="132">
        <f t="shared" si="5"/>
        <v>0</v>
      </c>
      <c r="H25" s="132">
        <f t="shared" si="5"/>
        <v>0</v>
      </c>
      <c r="I25" s="134">
        <f t="shared" si="2"/>
        <v>9.9546315464916546</v>
      </c>
      <c r="J25" s="134">
        <f t="shared" si="3"/>
        <v>27.12</v>
      </c>
      <c r="K25" s="132">
        <f t="shared" si="6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27.74</v>
      </c>
      <c r="F26" s="134">
        <f t="shared" si="1"/>
        <v>10.182207931404072</v>
      </c>
      <c r="G26" s="132">
        <f t="shared" si="5"/>
        <v>0</v>
      </c>
      <c r="H26" s="132">
        <f t="shared" si="5"/>
        <v>0</v>
      </c>
      <c r="I26" s="134">
        <f t="shared" si="2"/>
        <v>10.182207931404072</v>
      </c>
      <c r="J26" s="134">
        <f t="shared" si="3"/>
        <v>27.74</v>
      </c>
      <c r="K26" s="132">
        <f t="shared" si="6"/>
        <v>0.89</v>
      </c>
      <c r="L26" s="123"/>
      <c r="P26" s="169"/>
    </row>
    <row r="27" spans="2:17">
      <c r="B27" s="140">
        <f t="shared" si="0"/>
        <v>2033</v>
      </c>
      <c r="C27" s="131"/>
      <c r="D27" s="132">
        <f t="shared" ref="D27" si="8">ROUND(D26*(1+$G73),2)</f>
        <v>0</v>
      </c>
      <c r="E27" s="132">
        <f t="shared" si="5"/>
        <v>28.38</v>
      </c>
      <c r="F27" s="134">
        <f t="shared" si="1"/>
        <v>10.417125490023345</v>
      </c>
      <c r="G27" s="132">
        <f t="shared" si="5"/>
        <v>0</v>
      </c>
      <c r="H27" s="132">
        <f t="shared" si="5"/>
        <v>0</v>
      </c>
      <c r="I27" s="134">
        <f t="shared" si="2"/>
        <v>10.417125490023345</v>
      </c>
      <c r="J27" s="134">
        <f t="shared" si="3"/>
        <v>28.38</v>
      </c>
      <c r="K27" s="132">
        <f t="shared" si="6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ref="D28" si="9">ROUND(D27*(1+$G74),2)</f>
        <v>0</v>
      </c>
      <c r="E28" s="132">
        <f t="shared" si="5"/>
        <v>29.03</v>
      </c>
      <c r="F28" s="134">
        <f t="shared" si="1"/>
        <v>10.655713635496044</v>
      </c>
      <c r="G28" s="132">
        <f t="shared" si="5"/>
        <v>0</v>
      </c>
      <c r="H28" s="132">
        <f t="shared" si="5"/>
        <v>0</v>
      </c>
      <c r="I28" s="134">
        <f t="shared" si="2"/>
        <v>10.655713635496044</v>
      </c>
      <c r="J28" s="134">
        <f t="shared" si="3"/>
        <v>29.03</v>
      </c>
      <c r="K28" s="132">
        <f t="shared" si="6"/>
        <v>0.93</v>
      </c>
      <c r="L28" s="123"/>
      <c r="P28" s="169"/>
    </row>
    <row r="29" spans="2:17">
      <c r="B29" s="140">
        <f t="shared" si="0"/>
        <v>2035</v>
      </c>
      <c r="C29" s="131">
        <f>$C$55</f>
        <v>1152.6274312839628</v>
      </c>
      <c r="D29" s="132">
        <f>C29*$C$62</f>
        <v>88.978921536334539</v>
      </c>
      <c r="E29" s="132">
        <f t="shared" si="5"/>
        <v>29.67</v>
      </c>
      <c r="F29" s="134">
        <f t="shared" si="1"/>
        <v>43.551117156445748</v>
      </c>
      <c r="G29" s="132">
        <f t="shared" si="5"/>
        <v>0</v>
      </c>
      <c r="H29" s="132">
        <f t="shared" si="5"/>
        <v>0</v>
      </c>
      <c r="I29" s="134">
        <f t="shared" si="2"/>
        <v>43.551117156445748</v>
      </c>
      <c r="J29" s="134">
        <f t="shared" si="3"/>
        <v>118.65</v>
      </c>
      <c r="K29" s="132">
        <f t="shared" si="6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90.94</v>
      </c>
      <c r="E30" s="132">
        <f t="shared" si="5"/>
        <v>30.32</v>
      </c>
      <c r="F30" s="134">
        <f t="shared" si="1"/>
        <v>44.509536184645199</v>
      </c>
      <c r="G30" s="132">
        <f t="shared" si="5"/>
        <v>0</v>
      </c>
      <c r="H30" s="132">
        <f t="shared" si="5"/>
        <v>0</v>
      </c>
      <c r="I30" s="134">
        <f t="shared" si="2"/>
        <v>44.509536184645199</v>
      </c>
      <c r="J30" s="134">
        <f t="shared" si="3"/>
        <v>121.26</v>
      </c>
      <c r="K30" s="132">
        <f t="shared" si="6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92.94</v>
      </c>
      <c r="E31" s="132">
        <f t="shared" si="5"/>
        <v>30.99</v>
      </c>
      <c r="F31" s="134">
        <f t="shared" si="1"/>
        <v>45.489582874509978</v>
      </c>
      <c r="G31" s="132">
        <f t="shared" si="5"/>
        <v>0</v>
      </c>
      <c r="H31" s="132">
        <f t="shared" si="5"/>
        <v>0</v>
      </c>
      <c r="I31" s="134">
        <f t="shared" si="2"/>
        <v>45.489582874509978</v>
      </c>
      <c r="J31" s="134">
        <f t="shared" si="3"/>
        <v>123.93</v>
      </c>
      <c r="K31" s="132">
        <f t="shared" si="6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95.08</v>
      </c>
      <c r="E32" s="132">
        <f t="shared" si="5"/>
        <v>31.7</v>
      </c>
      <c r="F32" s="134">
        <f t="shared" si="1"/>
        <v>46.535700127736426</v>
      </c>
      <c r="G32" s="132">
        <f t="shared" si="5"/>
        <v>0</v>
      </c>
      <c r="H32" s="132">
        <f t="shared" si="5"/>
        <v>0</v>
      </c>
      <c r="I32" s="134">
        <f t="shared" si="2"/>
        <v>46.535700127736426</v>
      </c>
      <c r="J32" s="134">
        <f t="shared" si="3"/>
        <v>126.78</v>
      </c>
      <c r="K32" s="132">
        <f t="shared" si="6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97.27</v>
      </c>
      <c r="E33" s="132">
        <f t="shared" si="5"/>
        <v>32.43</v>
      </c>
      <c r="F33" s="134">
        <f t="shared" si="1"/>
        <v>47.607511488936851</v>
      </c>
      <c r="G33" s="132">
        <f t="shared" si="5"/>
        <v>0</v>
      </c>
      <c r="H33" s="132">
        <f t="shared" si="5"/>
        <v>0</v>
      </c>
      <c r="I33" s="134">
        <f t="shared" si="2"/>
        <v>47.607511488936851</v>
      </c>
      <c r="J33" s="134">
        <f t="shared" si="3"/>
        <v>129.69999999999999</v>
      </c>
      <c r="K33" s="132">
        <f t="shared" si="6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99.51</v>
      </c>
      <c r="E34" s="132">
        <f t="shared" si="5"/>
        <v>33.18</v>
      </c>
      <c r="F34" s="134">
        <f t="shared" si="1"/>
        <v>48.705016958111266</v>
      </c>
      <c r="G34" s="132">
        <f t="shared" si="5"/>
        <v>0</v>
      </c>
      <c r="H34" s="132">
        <f t="shared" si="5"/>
        <v>0</v>
      </c>
      <c r="I34" s="134">
        <f t="shared" si="2"/>
        <v>48.705016958111266</v>
      </c>
      <c r="J34" s="134">
        <f t="shared" si="3"/>
        <v>132.69</v>
      </c>
      <c r="K34" s="132">
        <f t="shared" si="6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101.8</v>
      </c>
      <c r="E35" s="132">
        <f t="shared" si="5"/>
        <v>33.94</v>
      </c>
      <c r="F35" s="134">
        <f t="shared" si="1"/>
        <v>49.824545948406239</v>
      </c>
      <c r="G35" s="132">
        <f t="shared" si="5"/>
        <v>0</v>
      </c>
      <c r="H35" s="132">
        <f t="shared" si="5"/>
        <v>0</v>
      </c>
      <c r="I35" s="134">
        <f t="shared" si="2"/>
        <v>49.824545948406239</v>
      </c>
      <c r="J35" s="134">
        <f t="shared" si="3"/>
        <v>135.74</v>
      </c>
      <c r="K35" s="132">
        <f t="shared" si="6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104.14</v>
      </c>
      <c r="E36" s="132">
        <f t="shared" si="5"/>
        <v>34.72</v>
      </c>
      <c r="F36" s="134">
        <f t="shared" si="1"/>
        <v>50.969769046675189</v>
      </c>
      <c r="G36" s="132">
        <f t="shared" si="5"/>
        <v>0</v>
      </c>
      <c r="H36" s="132">
        <f t="shared" si="5"/>
        <v>0</v>
      </c>
      <c r="I36" s="134">
        <f t="shared" si="2"/>
        <v>50.969769046675189</v>
      </c>
      <c r="J36" s="134">
        <f t="shared" si="3"/>
        <v>138.86000000000001</v>
      </c>
      <c r="K36" s="132">
        <f t="shared" si="6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UT Solar 2033 ST'!D44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31.1%)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Resource-2033 - 31%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1152.6274312839628</v>
      </c>
      <c r="D55" s="121" t="s">
        <v>74</v>
      </c>
      <c r="H55" s="121" t="s">
        <v>9</v>
      </c>
    </row>
    <row r="56" spans="2:24">
      <c r="B56" s="85" t="s">
        <v>111</v>
      </c>
      <c r="C56" s="154">
        <v>19.691768539314772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0.311</v>
      </c>
      <c r="D63" s="121" t="s">
        <v>39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2.3E-2</v>
      </c>
      <c r="H67" s="85"/>
      <c r="I67" s="87">
        <f t="shared" ref="I67:I74" si="12">I66+1</f>
        <v>2036</v>
      </c>
      <c r="J67" s="41">
        <v>2.1999999999999999E-2</v>
      </c>
    </row>
    <row r="68" spans="3:11">
      <c r="C68" s="87">
        <f t="shared" si="10"/>
        <v>2019</v>
      </c>
      <c r="D68" s="41">
        <v>0.02</v>
      </c>
      <c r="E68" s="85"/>
      <c r="F68" s="87">
        <f t="shared" si="11"/>
        <v>2028</v>
      </c>
      <c r="G68" s="41">
        <v>2.4E-2</v>
      </c>
      <c r="H68" s="85"/>
      <c r="I68" s="87">
        <f t="shared" si="12"/>
        <v>2037</v>
      </c>
      <c r="J68" s="41">
        <v>2.1999999999999999E-2</v>
      </c>
    </row>
    <row r="69" spans="3:11">
      <c r="C69" s="87">
        <f t="shared" si="10"/>
        <v>2020</v>
      </c>
      <c r="D69" s="41">
        <v>2.1999999999999999E-2</v>
      </c>
      <c r="E69" s="85"/>
      <c r="F69" s="87">
        <f t="shared" si="11"/>
        <v>2029</v>
      </c>
      <c r="G69" s="41">
        <v>2.4E-2</v>
      </c>
      <c r="H69" s="85"/>
      <c r="I69" s="87">
        <f t="shared" si="12"/>
        <v>2038</v>
      </c>
      <c r="J69" s="41">
        <v>2.3E-2</v>
      </c>
    </row>
    <row r="70" spans="3:11">
      <c r="C70" s="87">
        <f t="shared" si="10"/>
        <v>2021</v>
      </c>
      <c r="D70" s="41">
        <v>2.4E-2</v>
      </c>
      <c r="E70" s="85"/>
      <c r="F70" s="87">
        <f t="shared" si="11"/>
        <v>2030</v>
      </c>
      <c r="G70" s="41">
        <v>2.3E-2</v>
      </c>
      <c r="H70" s="85"/>
      <c r="I70" s="87">
        <f t="shared" si="12"/>
        <v>2039</v>
      </c>
      <c r="J70" s="41">
        <v>2.3E-2</v>
      </c>
    </row>
    <row r="71" spans="3:11">
      <c r="C71" s="87">
        <f t="shared" si="10"/>
        <v>2022</v>
      </c>
      <c r="D71" s="41">
        <v>2.4E-2</v>
      </c>
      <c r="E71" s="85"/>
      <c r="F71" s="87">
        <f t="shared" si="11"/>
        <v>2031</v>
      </c>
      <c r="G71" s="41">
        <v>2.3E-2</v>
      </c>
      <c r="H71" s="85"/>
      <c r="I71" s="87">
        <f t="shared" si="12"/>
        <v>2040</v>
      </c>
      <c r="J71" s="41">
        <v>2.3E-2</v>
      </c>
    </row>
    <row r="72" spans="3:11" s="123" customFormat="1">
      <c r="C72" s="87">
        <f t="shared" si="10"/>
        <v>2023</v>
      </c>
      <c r="D72" s="41">
        <v>2.4E-2</v>
      </c>
      <c r="E72" s="86"/>
      <c r="F72" s="87">
        <f t="shared" si="11"/>
        <v>2032</v>
      </c>
      <c r="G72" s="41">
        <v>2.3E-2</v>
      </c>
      <c r="H72" s="86"/>
      <c r="I72" s="87">
        <f t="shared" si="12"/>
        <v>2041</v>
      </c>
      <c r="J72" s="41">
        <v>2.3E-2</v>
      </c>
    </row>
    <row r="73" spans="3:11" s="123" customFormat="1">
      <c r="C73" s="87">
        <f t="shared" si="10"/>
        <v>2024</v>
      </c>
      <c r="D73" s="41">
        <v>2.4E-2</v>
      </c>
      <c r="E73" s="86"/>
      <c r="F73" s="87">
        <f t="shared" si="11"/>
        <v>2033</v>
      </c>
      <c r="G73" s="41">
        <v>2.3E-2</v>
      </c>
      <c r="H73" s="86"/>
      <c r="I73" s="87">
        <f t="shared" si="12"/>
        <v>2042</v>
      </c>
      <c r="J73" s="41">
        <v>2.3E-2</v>
      </c>
    </row>
    <row r="74" spans="3:11" s="123" customFormat="1">
      <c r="C74" s="87">
        <f t="shared" si="10"/>
        <v>2025</v>
      </c>
      <c r="D74" s="41">
        <v>2.3E-2</v>
      </c>
      <c r="E74" s="86"/>
      <c r="F74" s="87">
        <f t="shared" si="11"/>
        <v>2034</v>
      </c>
      <c r="G74" s="41">
        <v>2.3E-2</v>
      </c>
      <c r="H74" s="86"/>
      <c r="I74" s="87">
        <f t="shared" si="12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131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27%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  <c r="P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79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Utah Solar Resource-2035 - 27%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>
        <f>ROUND(D10*(1+$D66),2)</f>
        <v>0</v>
      </c>
      <c r="E11" s="132">
        <f>$C$56</f>
        <v>18.718009285501743</v>
      </c>
      <c r="F11" s="133">
        <f t="shared" ref="F11:F36" si="1">(D11+E11)/(8.76*$C$63)</f>
        <v>7.9729815330461324</v>
      </c>
      <c r="G11" s="133">
        <f>$C$58</f>
        <v>0</v>
      </c>
      <c r="H11" s="142">
        <f>$C$59</f>
        <v>0</v>
      </c>
      <c r="I11" s="134">
        <f t="shared" ref="I11:I36" si="2">F11+H11+G11</f>
        <v>7.9729815330461324</v>
      </c>
      <c r="J11" s="134">
        <f t="shared" ref="J11:J36" si="3">ROUND(I11*$C$63*8.76,2)</f>
        <v>18.72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>
        <f t="shared" ref="D12:D19" si="4">ROUND(D11*(1+$D67),2)</f>
        <v>0</v>
      </c>
      <c r="E12" s="132">
        <f>ROUND(E11*(1+(IFERROR(INDEX($D$66:$D$74,MATCH($B12,$C$66:$C$74,0),1),0)+IFERROR(INDEX($G$66:$G$74,MATCH($B12,$F$66:$F$74,0),1),0)+IFERROR(INDEX($J$66:$J$74,MATCH($B12,$I$66:$I$74,0),1),0))),2)</f>
        <v>19.149999999999999</v>
      </c>
      <c r="F12" s="134">
        <f t="shared" si="1"/>
        <v>8.1569890274654124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8.1569890274654124</v>
      </c>
      <c r="J12" s="134">
        <f t="shared" si="3"/>
        <v>19.149999999999999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>
        <f t="shared" si="4"/>
        <v>0</v>
      </c>
      <c r="E13" s="132">
        <f t="shared" ref="D13:H36" si="5">ROUND(E12*(1+(IFERROR(INDEX($D$66:$D$74,MATCH($B13,$C$66:$C$74,0),1),0)+IFERROR(INDEX($G$66:$G$74,MATCH($B13,$F$66:$F$74,0),1),0)+IFERROR(INDEX($J$66:$J$74,MATCH($B13,$I$66:$I$74,0),1),0))),2)</f>
        <v>19.53</v>
      </c>
      <c r="F13" s="134">
        <f t="shared" si="1"/>
        <v>8.3188509507258228</v>
      </c>
      <c r="G13" s="132">
        <f t="shared" si="5"/>
        <v>0</v>
      </c>
      <c r="H13" s="132">
        <f t="shared" si="5"/>
        <v>0</v>
      </c>
      <c r="I13" s="134">
        <f t="shared" si="2"/>
        <v>8.3188509507258228</v>
      </c>
      <c r="J13" s="134">
        <f t="shared" si="3"/>
        <v>19.53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>
        <f t="shared" si="4"/>
        <v>0</v>
      </c>
      <c r="E14" s="132">
        <f t="shared" si="5"/>
        <v>19.96</v>
      </c>
      <c r="F14" s="134">
        <f t="shared" si="1"/>
        <v>8.5020104954678661</v>
      </c>
      <c r="G14" s="132">
        <f t="shared" si="5"/>
        <v>0</v>
      </c>
      <c r="H14" s="132">
        <f t="shared" si="5"/>
        <v>0</v>
      </c>
      <c r="I14" s="134">
        <f t="shared" si="2"/>
        <v>8.5020104954678661</v>
      </c>
      <c r="J14" s="134">
        <f t="shared" si="3"/>
        <v>19.96</v>
      </c>
      <c r="K14" s="132">
        <f t="shared" si="6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0</v>
      </c>
      <c r="E15" s="132">
        <f t="shared" si="5"/>
        <v>20.440000000000001</v>
      </c>
      <c r="F15" s="134">
        <f t="shared" si="1"/>
        <v>8.7064676616915424</v>
      </c>
      <c r="G15" s="132">
        <f t="shared" si="5"/>
        <v>0</v>
      </c>
      <c r="H15" s="132">
        <f t="shared" si="5"/>
        <v>0</v>
      </c>
      <c r="I15" s="134">
        <f t="shared" si="2"/>
        <v>8.7064676616915424</v>
      </c>
      <c r="J15" s="134">
        <f t="shared" si="3"/>
        <v>20.440000000000001</v>
      </c>
      <c r="K15" s="132">
        <f t="shared" si="6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0</v>
      </c>
      <c r="E16" s="132">
        <f t="shared" si="5"/>
        <v>20.93</v>
      </c>
      <c r="F16" s="134">
        <f t="shared" si="1"/>
        <v>8.9151843522115453</v>
      </c>
      <c r="G16" s="132">
        <f t="shared" si="5"/>
        <v>0</v>
      </c>
      <c r="H16" s="132">
        <f t="shared" si="5"/>
        <v>0</v>
      </c>
      <c r="I16" s="134">
        <f t="shared" si="2"/>
        <v>8.9151843522115453</v>
      </c>
      <c r="J16" s="134">
        <f t="shared" si="3"/>
        <v>20.93</v>
      </c>
      <c r="K16" s="132">
        <f t="shared" si="6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>
        <f t="shared" si="4"/>
        <v>0</v>
      </c>
      <c r="E17" s="132">
        <f t="shared" si="5"/>
        <v>21.43</v>
      </c>
      <c r="F17" s="134">
        <f t="shared" si="1"/>
        <v>9.1281605670278747</v>
      </c>
      <c r="G17" s="132">
        <f t="shared" si="5"/>
        <v>0</v>
      </c>
      <c r="H17" s="132">
        <f t="shared" si="5"/>
        <v>0</v>
      </c>
      <c r="I17" s="134">
        <f t="shared" si="2"/>
        <v>9.1281605670278747</v>
      </c>
      <c r="J17" s="134">
        <f t="shared" si="3"/>
        <v>21.43</v>
      </c>
      <c r="K17" s="132">
        <f t="shared" si="6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>
        <f t="shared" si="4"/>
        <v>0</v>
      </c>
      <c r="E18" s="132">
        <f t="shared" si="5"/>
        <v>21.94</v>
      </c>
      <c r="F18" s="134">
        <f t="shared" si="1"/>
        <v>9.3453963061405307</v>
      </c>
      <c r="G18" s="132">
        <f t="shared" si="5"/>
        <v>0</v>
      </c>
      <c r="H18" s="132">
        <f t="shared" si="5"/>
        <v>0</v>
      </c>
      <c r="I18" s="134">
        <f t="shared" si="2"/>
        <v>9.3453963061405307</v>
      </c>
      <c r="J18" s="134">
        <f t="shared" si="3"/>
        <v>21.94</v>
      </c>
      <c r="K18" s="132">
        <f t="shared" si="6"/>
        <v>0.73</v>
      </c>
      <c r="L18" s="123"/>
      <c r="P18" s="169"/>
    </row>
    <row r="19" spans="2:17">
      <c r="B19" s="140">
        <f t="shared" si="0"/>
        <v>2025</v>
      </c>
      <c r="C19" s="141"/>
      <c r="D19" s="132">
        <f t="shared" si="4"/>
        <v>0</v>
      </c>
      <c r="E19" s="132">
        <f t="shared" si="5"/>
        <v>22.44</v>
      </c>
      <c r="F19" s="134">
        <f t="shared" si="1"/>
        <v>9.5583725209568602</v>
      </c>
      <c r="G19" s="132">
        <f t="shared" si="5"/>
        <v>0</v>
      </c>
      <c r="H19" s="132">
        <f t="shared" si="5"/>
        <v>0</v>
      </c>
      <c r="I19" s="134">
        <f t="shared" si="2"/>
        <v>9.5583725209568602</v>
      </c>
      <c r="J19" s="134">
        <f t="shared" si="3"/>
        <v>22.44</v>
      </c>
      <c r="K19" s="132">
        <f t="shared" si="6"/>
        <v>0.75</v>
      </c>
      <c r="L19" s="123"/>
      <c r="P19" s="169"/>
    </row>
    <row r="20" spans="2:17">
      <c r="B20" s="140">
        <f t="shared" si="0"/>
        <v>2026</v>
      </c>
      <c r="C20" s="141"/>
      <c r="D20" s="132">
        <f>ROUND(D19*(1+$G66),2)</f>
        <v>0</v>
      </c>
      <c r="E20" s="132">
        <f t="shared" si="5"/>
        <v>22.96</v>
      </c>
      <c r="F20" s="134">
        <f t="shared" si="1"/>
        <v>9.7798677843658428</v>
      </c>
      <c r="G20" s="132">
        <f t="shared" si="5"/>
        <v>0</v>
      </c>
      <c r="H20" s="132">
        <f t="shared" si="5"/>
        <v>0</v>
      </c>
      <c r="I20" s="134">
        <f t="shared" si="2"/>
        <v>9.7798677843658428</v>
      </c>
      <c r="J20" s="134">
        <f t="shared" si="3"/>
        <v>22.96</v>
      </c>
      <c r="K20" s="132">
        <f t="shared" si="6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>
        <f t="shared" ref="D21:D28" si="7">ROUND(D20*(1+$G67),2)</f>
        <v>0</v>
      </c>
      <c r="E21" s="132">
        <f t="shared" si="5"/>
        <v>23.49</v>
      </c>
      <c r="F21" s="134">
        <f t="shared" si="1"/>
        <v>10.00562257207115</v>
      </c>
      <c r="G21" s="132">
        <f t="shared" si="5"/>
        <v>0</v>
      </c>
      <c r="H21" s="132">
        <f t="shared" si="5"/>
        <v>0</v>
      </c>
      <c r="I21" s="134">
        <f t="shared" si="2"/>
        <v>10.00562257207115</v>
      </c>
      <c r="J21" s="134">
        <f t="shared" si="3"/>
        <v>23.49</v>
      </c>
      <c r="K21" s="132">
        <f t="shared" si="6"/>
        <v>0.79</v>
      </c>
      <c r="L21" s="123"/>
      <c r="P21" s="169"/>
    </row>
    <row r="22" spans="2:17">
      <c r="B22" s="140">
        <f t="shared" si="0"/>
        <v>2028</v>
      </c>
      <c r="C22" s="141"/>
      <c r="D22" s="132">
        <f t="shared" si="7"/>
        <v>0</v>
      </c>
      <c r="E22" s="132">
        <f t="shared" si="5"/>
        <v>24.05</v>
      </c>
      <c r="F22" s="134">
        <f t="shared" si="1"/>
        <v>10.244155932665441</v>
      </c>
      <c r="G22" s="132">
        <f t="shared" si="5"/>
        <v>0</v>
      </c>
      <c r="H22" s="132">
        <f t="shared" si="5"/>
        <v>0</v>
      </c>
      <c r="I22" s="134">
        <f t="shared" si="2"/>
        <v>10.244155932665441</v>
      </c>
      <c r="J22" s="134">
        <f t="shared" si="3"/>
        <v>24.05</v>
      </c>
      <c r="K22" s="132">
        <f t="shared" si="6"/>
        <v>0.81</v>
      </c>
      <c r="L22" s="123"/>
      <c r="P22" s="169"/>
    </row>
    <row r="23" spans="2:17">
      <c r="B23" s="140">
        <f t="shared" si="0"/>
        <v>2029</v>
      </c>
      <c r="C23" s="141"/>
      <c r="D23" s="132">
        <f t="shared" si="7"/>
        <v>0</v>
      </c>
      <c r="E23" s="132">
        <f t="shared" si="5"/>
        <v>24.63</v>
      </c>
      <c r="F23" s="134">
        <f t="shared" si="1"/>
        <v>10.491208341852381</v>
      </c>
      <c r="G23" s="132">
        <f t="shared" si="5"/>
        <v>0</v>
      </c>
      <c r="H23" s="132">
        <f t="shared" si="5"/>
        <v>0</v>
      </c>
      <c r="I23" s="134">
        <f t="shared" si="2"/>
        <v>10.491208341852381</v>
      </c>
      <c r="J23" s="134">
        <f t="shared" si="3"/>
        <v>24.63</v>
      </c>
      <c r="K23" s="132">
        <f t="shared" si="6"/>
        <v>0.83</v>
      </c>
      <c r="L23" s="123"/>
      <c r="P23" s="169"/>
    </row>
    <row r="24" spans="2:17">
      <c r="B24" s="140">
        <f t="shared" si="0"/>
        <v>2030</v>
      </c>
      <c r="C24" s="141"/>
      <c r="D24" s="132">
        <f t="shared" si="7"/>
        <v>0</v>
      </c>
      <c r="E24" s="132">
        <f t="shared" si="5"/>
        <v>25.2</v>
      </c>
      <c r="F24" s="134">
        <f t="shared" si="1"/>
        <v>10.734001226742997</v>
      </c>
      <c r="G24" s="132">
        <f t="shared" si="5"/>
        <v>0</v>
      </c>
      <c r="H24" s="132">
        <f t="shared" si="5"/>
        <v>0</v>
      </c>
      <c r="I24" s="134">
        <f t="shared" si="2"/>
        <v>10.734001226742997</v>
      </c>
      <c r="J24" s="134">
        <f t="shared" si="3"/>
        <v>25.2</v>
      </c>
      <c r="K24" s="132">
        <f t="shared" si="6"/>
        <v>0.85</v>
      </c>
      <c r="L24" s="123"/>
      <c r="P24" s="169"/>
    </row>
    <row r="25" spans="2:17">
      <c r="B25" s="140">
        <f t="shared" si="0"/>
        <v>2031</v>
      </c>
      <c r="C25" s="141"/>
      <c r="D25" s="132">
        <f t="shared" si="7"/>
        <v>0</v>
      </c>
      <c r="E25" s="132">
        <f t="shared" si="5"/>
        <v>25.78</v>
      </c>
      <c r="F25" s="134">
        <f t="shared" si="1"/>
        <v>10.981053635929939</v>
      </c>
      <c r="G25" s="132">
        <f t="shared" si="5"/>
        <v>0</v>
      </c>
      <c r="H25" s="132">
        <f t="shared" si="5"/>
        <v>0</v>
      </c>
      <c r="I25" s="134">
        <f t="shared" si="2"/>
        <v>10.981053635929939</v>
      </c>
      <c r="J25" s="134">
        <f t="shared" si="3"/>
        <v>25.78</v>
      </c>
      <c r="K25" s="132">
        <f t="shared" si="6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7"/>
        <v>0</v>
      </c>
      <c r="E26" s="132">
        <f t="shared" si="5"/>
        <v>26.37</v>
      </c>
      <c r="F26" s="134">
        <f t="shared" si="1"/>
        <v>11.232365569413208</v>
      </c>
      <c r="G26" s="132">
        <f t="shared" si="5"/>
        <v>0</v>
      </c>
      <c r="H26" s="132">
        <f t="shared" si="5"/>
        <v>0</v>
      </c>
      <c r="I26" s="134">
        <f t="shared" si="2"/>
        <v>11.232365569413208</v>
      </c>
      <c r="J26" s="134">
        <f t="shared" si="3"/>
        <v>26.37</v>
      </c>
      <c r="K26" s="132">
        <f t="shared" si="6"/>
        <v>0.89</v>
      </c>
      <c r="L26" s="123"/>
      <c r="P26" s="169"/>
    </row>
    <row r="27" spans="2:17">
      <c r="B27" s="140">
        <f t="shared" si="0"/>
        <v>2033</v>
      </c>
      <c r="C27" s="131"/>
      <c r="D27" s="132">
        <f t="shared" si="7"/>
        <v>0</v>
      </c>
      <c r="E27" s="132">
        <f t="shared" si="5"/>
        <v>26.98</v>
      </c>
      <c r="F27" s="134">
        <f t="shared" si="1"/>
        <v>11.49219655148913</v>
      </c>
      <c r="G27" s="132">
        <f t="shared" si="5"/>
        <v>0</v>
      </c>
      <c r="H27" s="132">
        <f t="shared" si="5"/>
        <v>0</v>
      </c>
      <c r="I27" s="134">
        <f t="shared" si="2"/>
        <v>11.49219655148913</v>
      </c>
      <c r="J27" s="134">
        <f t="shared" si="3"/>
        <v>26.98</v>
      </c>
      <c r="K27" s="132">
        <f t="shared" si="6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7"/>
        <v>0</v>
      </c>
      <c r="E28" s="132">
        <f t="shared" si="5"/>
        <v>27.6</v>
      </c>
      <c r="F28" s="134">
        <f t="shared" si="1"/>
        <v>11.756287057861378</v>
      </c>
      <c r="G28" s="132">
        <f t="shared" si="5"/>
        <v>0</v>
      </c>
      <c r="H28" s="132">
        <f t="shared" si="5"/>
        <v>0</v>
      </c>
      <c r="I28" s="134">
        <f t="shared" si="2"/>
        <v>11.756287057861378</v>
      </c>
      <c r="J28" s="134">
        <f t="shared" si="3"/>
        <v>27.6</v>
      </c>
      <c r="K28" s="132">
        <f t="shared" si="6"/>
        <v>0.93</v>
      </c>
      <c r="L28" s="123"/>
      <c r="P28" s="169"/>
    </row>
    <row r="29" spans="2:17">
      <c r="B29" s="140">
        <f t="shared" si="0"/>
        <v>2035</v>
      </c>
      <c r="C29" s="131">
        <f>$C$55</f>
        <v>1129.0663267642597</v>
      </c>
      <c r="D29" s="132">
        <f>C29*$C$62</f>
        <v>87.160084318455105</v>
      </c>
      <c r="E29" s="132">
        <f t="shared" si="5"/>
        <v>28.21</v>
      </c>
      <c r="F29" s="134">
        <f t="shared" si="1"/>
        <v>49.142167722370637</v>
      </c>
      <c r="G29" s="132">
        <f t="shared" si="5"/>
        <v>0</v>
      </c>
      <c r="H29" s="132">
        <f t="shared" si="5"/>
        <v>0</v>
      </c>
      <c r="I29" s="134">
        <f t="shared" si="2"/>
        <v>49.142167722370637</v>
      </c>
      <c r="J29" s="134">
        <f t="shared" si="3"/>
        <v>115.37</v>
      </c>
      <c r="K29" s="132">
        <f t="shared" si="6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5"/>
        <v>89.08</v>
      </c>
      <c r="E30" s="132">
        <f t="shared" si="5"/>
        <v>28.83</v>
      </c>
      <c r="F30" s="134">
        <f t="shared" si="1"/>
        <v>50.224050977986778</v>
      </c>
      <c r="G30" s="132">
        <f t="shared" si="5"/>
        <v>0</v>
      </c>
      <c r="H30" s="132">
        <f t="shared" si="5"/>
        <v>0</v>
      </c>
      <c r="I30" s="134">
        <f t="shared" si="2"/>
        <v>50.224050977986778</v>
      </c>
      <c r="J30" s="134">
        <f t="shared" si="3"/>
        <v>117.91</v>
      </c>
      <c r="K30" s="132">
        <f t="shared" si="6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5"/>
        <v>91.04</v>
      </c>
      <c r="E31" s="132">
        <f t="shared" si="5"/>
        <v>29.46</v>
      </c>
      <c r="F31" s="134">
        <f t="shared" si="1"/>
        <v>51.327267770735368</v>
      </c>
      <c r="G31" s="132">
        <f t="shared" si="5"/>
        <v>0</v>
      </c>
      <c r="H31" s="132">
        <f t="shared" si="5"/>
        <v>0</v>
      </c>
      <c r="I31" s="134">
        <f t="shared" si="2"/>
        <v>51.327267770735368</v>
      </c>
      <c r="J31" s="134">
        <f t="shared" si="3"/>
        <v>120.5</v>
      </c>
      <c r="K31" s="132">
        <f t="shared" si="6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5"/>
        <v>93.13</v>
      </c>
      <c r="E32" s="132">
        <f t="shared" si="5"/>
        <v>30.14</v>
      </c>
      <c r="F32" s="134">
        <f t="shared" si="1"/>
        <v>52.50715600081783</v>
      </c>
      <c r="G32" s="132">
        <f t="shared" si="5"/>
        <v>0</v>
      </c>
      <c r="H32" s="132">
        <f t="shared" si="5"/>
        <v>0</v>
      </c>
      <c r="I32" s="134">
        <f t="shared" si="2"/>
        <v>52.50715600081783</v>
      </c>
      <c r="J32" s="134">
        <f t="shared" si="3"/>
        <v>123.27</v>
      </c>
      <c r="K32" s="132">
        <f t="shared" si="6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5"/>
        <v>95.27</v>
      </c>
      <c r="E33" s="132">
        <f t="shared" si="5"/>
        <v>30.83</v>
      </c>
      <c r="F33" s="134">
        <f t="shared" si="1"/>
        <v>53.712601376678251</v>
      </c>
      <c r="G33" s="132">
        <f t="shared" si="5"/>
        <v>0</v>
      </c>
      <c r="H33" s="132">
        <f t="shared" si="5"/>
        <v>0</v>
      </c>
      <c r="I33" s="134">
        <f t="shared" si="2"/>
        <v>53.712601376678251</v>
      </c>
      <c r="J33" s="134">
        <f t="shared" si="3"/>
        <v>126.1</v>
      </c>
      <c r="K33" s="132">
        <f t="shared" si="6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5"/>
        <v>97.46</v>
      </c>
      <c r="E34" s="132">
        <f t="shared" si="5"/>
        <v>31.54</v>
      </c>
      <c r="F34" s="134">
        <f t="shared" si="1"/>
        <v>54.947863422612961</v>
      </c>
      <c r="G34" s="132">
        <f t="shared" si="5"/>
        <v>0</v>
      </c>
      <c r="H34" s="132">
        <f t="shared" si="5"/>
        <v>0</v>
      </c>
      <c r="I34" s="134">
        <f t="shared" si="2"/>
        <v>54.947863422612961</v>
      </c>
      <c r="J34" s="134">
        <f t="shared" si="3"/>
        <v>129</v>
      </c>
      <c r="K34" s="132">
        <f t="shared" si="6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5"/>
        <v>99.7</v>
      </c>
      <c r="E35" s="132">
        <f t="shared" si="5"/>
        <v>32.270000000000003</v>
      </c>
      <c r="F35" s="134">
        <f t="shared" si="1"/>
        <v>56.212942138621962</v>
      </c>
      <c r="G35" s="132">
        <f t="shared" si="5"/>
        <v>0</v>
      </c>
      <c r="H35" s="132">
        <f t="shared" si="5"/>
        <v>0</v>
      </c>
      <c r="I35" s="134">
        <f t="shared" si="2"/>
        <v>56.212942138621962</v>
      </c>
      <c r="J35" s="134">
        <f t="shared" si="3"/>
        <v>131.97</v>
      </c>
      <c r="K35" s="132">
        <f t="shared" si="6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5"/>
        <v>101.99</v>
      </c>
      <c r="E36" s="132">
        <f t="shared" si="5"/>
        <v>33.01</v>
      </c>
      <c r="F36" s="134">
        <f t="shared" si="1"/>
        <v>57.503578000408915</v>
      </c>
      <c r="G36" s="132">
        <f t="shared" si="5"/>
        <v>0</v>
      </c>
      <c r="H36" s="132">
        <f t="shared" si="5"/>
        <v>0</v>
      </c>
      <c r="I36" s="134">
        <f t="shared" si="2"/>
        <v>57.503578000408915</v>
      </c>
      <c r="J36" s="134">
        <f t="shared" si="3"/>
        <v>135</v>
      </c>
      <c r="K36" s="132">
        <f t="shared" si="6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UT Solar 2035 ST'!D44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26.8%)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Solar Resource-2035 - 27%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126</v>
      </c>
      <c r="C55" s="185">
        <v>1129.0663267642597</v>
      </c>
      <c r="D55" s="121" t="s">
        <v>74</v>
      </c>
      <c r="H55" s="121" t="s">
        <v>9</v>
      </c>
    </row>
    <row r="56" spans="2:24">
      <c r="B56" s="85" t="s">
        <v>111</v>
      </c>
      <c r="C56" s="154">
        <v>18.718009285501743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226"/>
      <c r="O59" s="22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226"/>
      <c r="O60" s="22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L62" s="164"/>
      <c r="M62" s="164"/>
      <c r="N62" s="156"/>
      <c r="O62" s="52"/>
      <c r="P62" s="158"/>
    </row>
    <row r="63" spans="2:24">
      <c r="C63" s="168">
        <v>0.26800000000000002</v>
      </c>
      <c r="D63" s="121" t="s">
        <v>39</v>
      </c>
      <c r="N63" s="226"/>
      <c r="O63" s="227"/>
      <c r="P63" s="171"/>
    </row>
    <row r="64" spans="2:24" ht="13.5" thickBot="1">
      <c r="D64" s="160"/>
      <c r="N64" s="226"/>
      <c r="O64" s="22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8">C66+1</f>
        <v>2018</v>
      </c>
      <c r="D67" s="41">
        <v>2.3E-2</v>
      </c>
      <c r="E67" s="85"/>
      <c r="F67" s="87">
        <f t="shared" ref="F67:F74" si="9">F66+1</f>
        <v>2027</v>
      </c>
      <c r="G67" s="41">
        <v>2.3E-2</v>
      </c>
      <c r="H67" s="85"/>
      <c r="I67" s="87">
        <f t="shared" ref="I67:I74" si="10">I66+1</f>
        <v>2036</v>
      </c>
      <c r="J67" s="41">
        <v>2.1999999999999999E-2</v>
      </c>
    </row>
    <row r="68" spans="3:11">
      <c r="C68" s="87">
        <f t="shared" si="8"/>
        <v>2019</v>
      </c>
      <c r="D68" s="41">
        <v>0.02</v>
      </c>
      <c r="E68" s="85"/>
      <c r="F68" s="87">
        <f t="shared" si="9"/>
        <v>2028</v>
      </c>
      <c r="G68" s="41">
        <v>2.4E-2</v>
      </c>
      <c r="H68" s="85"/>
      <c r="I68" s="87">
        <f t="shared" si="10"/>
        <v>2037</v>
      </c>
      <c r="J68" s="41">
        <v>2.1999999999999999E-2</v>
      </c>
    </row>
    <row r="69" spans="3:11">
      <c r="C69" s="87">
        <f t="shared" si="8"/>
        <v>2020</v>
      </c>
      <c r="D69" s="41">
        <v>2.1999999999999999E-2</v>
      </c>
      <c r="E69" s="85"/>
      <c r="F69" s="87">
        <f t="shared" si="9"/>
        <v>2029</v>
      </c>
      <c r="G69" s="41">
        <v>2.4E-2</v>
      </c>
      <c r="H69" s="85"/>
      <c r="I69" s="87">
        <f t="shared" si="10"/>
        <v>2038</v>
      </c>
      <c r="J69" s="41">
        <v>2.3E-2</v>
      </c>
    </row>
    <row r="70" spans="3:11">
      <c r="C70" s="87">
        <f t="shared" si="8"/>
        <v>2021</v>
      </c>
      <c r="D70" s="41">
        <v>2.4E-2</v>
      </c>
      <c r="E70" s="85"/>
      <c r="F70" s="87">
        <f t="shared" si="9"/>
        <v>2030</v>
      </c>
      <c r="G70" s="41">
        <v>2.3E-2</v>
      </c>
      <c r="H70" s="85"/>
      <c r="I70" s="87">
        <f t="shared" si="10"/>
        <v>2039</v>
      </c>
      <c r="J70" s="41">
        <v>2.3E-2</v>
      </c>
    </row>
    <row r="71" spans="3:11">
      <c r="C71" s="87">
        <f t="shared" si="8"/>
        <v>2022</v>
      </c>
      <c r="D71" s="41">
        <v>2.4E-2</v>
      </c>
      <c r="E71" s="85"/>
      <c r="F71" s="87">
        <f t="shared" si="9"/>
        <v>2031</v>
      </c>
      <c r="G71" s="41">
        <v>2.3E-2</v>
      </c>
      <c r="H71" s="85"/>
      <c r="I71" s="87">
        <f t="shared" si="10"/>
        <v>2040</v>
      </c>
      <c r="J71" s="41">
        <v>2.3E-2</v>
      </c>
    </row>
    <row r="72" spans="3:11" s="123" customFormat="1">
      <c r="C72" s="87">
        <f t="shared" si="8"/>
        <v>2023</v>
      </c>
      <c r="D72" s="41">
        <v>2.4E-2</v>
      </c>
      <c r="E72" s="86"/>
      <c r="F72" s="87">
        <f t="shared" si="9"/>
        <v>2032</v>
      </c>
      <c r="G72" s="41">
        <v>2.3E-2</v>
      </c>
      <c r="H72" s="86"/>
      <c r="I72" s="87">
        <f t="shared" si="10"/>
        <v>2041</v>
      </c>
      <c r="J72" s="41">
        <v>2.3E-2</v>
      </c>
    </row>
    <row r="73" spans="3:11" s="123" customFormat="1">
      <c r="C73" s="87">
        <f t="shared" si="8"/>
        <v>2024</v>
      </c>
      <c r="D73" s="41">
        <v>2.4E-2</v>
      </c>
      <c r="E73" s="86"/>
      <c r="F73" s="87">
        <f t="shared" si="9"/>
        <v>2033</v>
      </c>
      <c r="G73" s="41">
        <v>2.3E-2</v>
      </c>
      <c r="H73" s="86"/>
      <c r="I73" s="87">
        <f t="shared" si="10"/>
        <v>2042</v>
      </c>
      <c r="J73" s="41">
        <v>2.3E-2</v>
      </c>
    </row>
    <row r="74" spans="3:11" s="123" customFormat="1">
      <c r="C74" s="87">
        <f t="shared" si="8"/>
        <v>2025</v>
      </c>
      <c r="D74" s="41">
        <v>2.3E-2</v>
      </c>
      <c r="E74" s="86"/>
      <c r="F74" s="87">
        <f t="shared" si="9"/>
        <v>2034</v>
      </c>
      <c r="G74" s="41">
        <v>2.3E-2</v>
      </c>
      <c r="H74" s="86"/>
      <c r="I74" s="87">
        <f t="shared" si="10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zoomScale="85" zoomScaleNormal="100" zoomScaleSheetLayoutView="85" workbookViewId="0">
      <pane xSplit="2" ySplit="6" topLeftCell="C7" activePane="bottomRight" state="frozen"/>
      <selection activeCell="E15" sqref="E15"/>
      <selection pane="topRight" activeCell="E15" sqref="E15"/>
      <selection pane="bottomLeft" activeCell="E15" sqref="E15"/>
      <selection pane="bottomRight" activeCell="D34" sqref="D34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56" customFormat="1" ht="15.75" hidden="1">
      <c r="B1" s="1" t="s">
        <v>37</v>
      </c>
      <c r="C1" s="1"/>
      <c r="D1" s="1"/>
      <c r="E1" s="1"/>
      <c r="F1" s="1"/>
      <c r="G1" s="253"/>
      <c r="H1" s="1"/>
      <c r="I1" s="1"/>
      <c r="J1" s="1"/>
      <c r="K1" s="1"/>
      <c r="L1" s="254"/>
      <c r="M1" s="255"/>
      <c r="N1" s="255"/>
      <c r="O1" s="255"/>
      <c r="P1" s="255"/>
    </row>
    <row r="2" spans="2:16" s="256" customFormat="1" ht="5.25" customHeight="1">
      <c r="B2" s="1"/>
      <c r="C2" s="1"/>
      <c r="D2" s="1"/>
      <c r="E2" s="1"/>
      <c r="F2" s="1"/>
      <c r="G2" s="253"/>
      <c r="H2" s="1"/>
      <c r="I2" s="1"/>
      <c r="J2" s="1"/>
      <c r="K2" s="1"/>
      <c r="L2" s="254"/>
      <c r="M2" s="255"/>
      <c r="N2" s="255"/>
      <c r="O2" s="255"/>
      <c r="P2" s="255"/>
    </row>
    <row r="3" spans="2:16" s="256" customFormat="1" ht="15.75">
      <c r="B3" s="1" t="s">
        <v>165</v>
      </c>
      <c r="C3" s="1"/>
      <c r="D3" s="1"/>
      <c r="E3" s="1"/>
      <c r="F3" s="1"/>
      <c r="G3" s="253"/>
      <c r="H3" s="1"/>
      <c r="I3" s="1"/>
      <c r="J3" s="1"/>
      <c r="K3" s="1"/>
      <c r="L3" s="254"/>
      <c r="M3" s="255"/>
      <c r="N3" s="255"/>
      <c r="O3" s="255"/>
      <c r="P3" s="255"/>
    </row>
    <row r="4" spans="2:16" s="258" customFormat="1" ht="15">
      <c r="B4" s="4" t="s">
        <v>166</v>
      </c>
      <c r="C4" s="4"/>
      <c r="D4" s="4"/>
      <c r="E4" s="4"/>
      <c r="F4" s="4"/>
      <c r="G4" s="4"/>
      <c r="H4" s="4"/>
      <c r="I4" s="4"/>
      <c r="J4" s="4"/>
      <c r="K4" s="4"/>
      <c r="L4" s="4"/>
      <c r="M4" s="257"/>
      <c r="N4" s="257"/>
      <c r="O4" s="257"/>
      <c r="P4" s="257"/>
    </row>
    <row r="5" spans="2:16" s="258" customFormat="1" ht="15">
      <c r="B5" s="4" t="str">
        <f ca="1">'Table 1'!B5</f>
        <v>Kennecott Refinery Non Firm - 6.2 MW and 85.0%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58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57"/>
      <c r="N6" s="257"/>
      <c r="O6" s="257"/>
      <c r="P6" s="257"/>
    </row>
    <row r="7" spans="2:16">
      <c r="D7" s="259"/>
      <c r="E7" s="259"/>
      <c r="F7" s="259"/>
      <c r="G7" s="260"/>
      <c r="H7" s="260"/>
      <c r="I7" s="260"/>
      <c r="J7" s="260"/>
      <c r="K7" s="260"/>
      <c r="L7" s="260"/>
      <c r="M7" s="261"/>
    </row>
    <row r="8" spans="2:16">
      <c r="B8" s="262"/>
      <c r="C8" s="262"/>
      <c r="D8" s="263" t="s">
        <v>167</v>
      </c>
      <c r="E8" s="264"/>
      <c r="F8" s="264"/>
      <c r="G8" s="263"/>
      <c r="H8" s="263"/>
      <c r="I8" s="265" t="s">
        <v>168</v>
      </c>
      <c r="J8" s="266"/>
      <c r="K8" s="266"/>
      <c r="L8" s="267"/>
      <c r="M8" s="268" t="s">
        <v>167</v>
      </c>
      <c r="N8" s="269"/>
      <c r="O8" s="270"/>
    </row>
    <row r="9" spans="2:16">
      <c r="B9" s="271" t="str">
        <f>'[10]Avoided Costs'!B4</f>
        <v>Year</v>
      </c>
      <c r="C9" s="271" t="str">
        <f>'[10]Avoided Costs'!C4</f>
        <v>Annual</v>
      </c>
      <c r="D9" s="272" t="str">
        <f>'[10]Avoided Costs'!D4</f>
        <v>Jan</v>
      </c>
      <c r="E9" s="273" t="str">
        <f>'[10]Avoided Costs'!E4</f>
        <v>Feb</v>
      </c>
      <c r="F9" s="273" t="str">
        <f>'[10]Avoided Costs'!F4</f>
        <v>Mar</v>
      </c>
      <c r="G9" s="273" t="str">
        <f>'[10]Avoided Costs'!G4</f>
        <v>Apr</v>
      </c>
      <c r="H9" s="274" t="str">
        <f>'[10]Avoided Costs'!H4</f>
        <v>May</v>
      </c>
      <c r="I9" s="188" t="str">
        <f>'[10]Avoided Costs'!I4</f>
        <v>Jun</v>
      </c>
      <c r="J9" s="188" t="str">
        <f>'[10]Avoided Costs'!J4</f>
        <v>Jul</v>
      </c>
      <c r="K9" s="188" t="str">
        <f>'[10]Avoided Costs'!K4</f>
        <v>Aug</v>
      </c>
      <c r="L9" s="188" t="str">
        <f>'[10]Avoided Costs'!L4</f>
        <v>Sep</v>
      </c>
      <c r="M9" s="272" t="str">
        <f>'[10]Avoided Costs'!M4</f>
        <v>Oct</v>
      </c>
      <c r="N9" s="273" t="str">
        <f>'[10]Avoided Costs'!N4</f>
        <v>Nov</v>
      </c>
      <c r="O9" s="274" t="str">
        <f>'[10]Avoided Costs'!O4</f>
        <v>Dec</v>
      </c>
    </row>
    <row r="10" spans="2:16" ht="12.75" customHeight="1">
      <c r="B10" s="252"/>
      <c r="C10" s="252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5"/>
    </row>
    <row r="11" spans="2:16" ht="12.75" customHeight="1">
      <c r="B11" s="276" t="s">
        <v>169</v>
      </c>
      <c r="C11" s="276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5"/>
    </row>
    <row r="12" spans="2:16" ht="12.75" hidden="1" customHeight="1">
      <c r="B12" s="277"/>
      <c r="C12" s="278"/>
      <c r="D12" s="8"/>
      <c r="E12" s="8"/>
      <c r="F12" s="8"/>
      <c r="G12" s="8"/>
      <c r="H12" s="13"/>
      <c r="I12" s="279"/>
      <c r="J12" s="280"/>
      <c r="K12" s="280"/>
      <c r="L12" s="281"/>
      <c r="M12" s="279"/>
      <c r="N12" s="280"/>
      <c r="O12" s="281"/>
    </row>
    <row r="13" spans="2:16" ht="12.75" customHeight="1">
      <c r="B13" s="282">
        <f>'[10]Avoided Costs'!B7</f>
        <v>2020</v>
      </c>
      <c r="C13" s="283">
        <f>'[10]Avoided Costs'!C7</f>
        <v>20.285573822302116</v>
      </c>
      <c r="D13" s="284">
        <f>'[10]Avoided Costs'!D7</f>
        <v>19.330774142365893</v>
      </c>
      <c r="E13" s="284">
        <f>'[10]Avoided Costs'!E7</f>
        <v>20.632032419347148</v>
      </c>
      <c r="F13" s="284">
        <f>'[10]Avoided Costs'!F7</f>
        <v>17.343304933504783</v>
      </c>
      <c r="G13" s="284">
        <f>'[10]Avoided Costs'!G7</f>
        <v>16.764937749169036</v>
      </c>
      <c r="H13" s="285">
        <f>'[10]Avoided Costs'!H7</f>
        <v>15.748619418809026</v>
      </c>
      <c r="I13" s="286">
        <f>'[10]Avoided Costs'!I7</f>
        <v>16.686979083160942</v>
      </c>
      <c r="J13" s="284">
        <f>'[10]Avoided Costs'!J7</f>
        <v>31.579493222507455</v>
      </c>
      <c r="K13" s="284">
        <f>'[10]Avoided Costs'!K7</f>
        <v>31.368344725826194</v>
      </c>
      <c r="L13" s="285">
        <f>'[10]Avoided Costs'!L7</f>
        <v>22.305291035200206</v>
      </c>
      <c r="M13" s="286">
        <f>'[10]Avoided Costs'!M7</f>
        <v>16.390153346365672</v>
      </c>
      <c r="N13" s="284">
        <f>'[10]Avoided Costs'!N7</f>
        <v>17.591342483832726</v>
      </c>
      <c r="O13" s="285">
        <f>'[10]Avoided Costs'!O7</f>
        <v>17.456554348132521</v>
      </c>
    </row>
    <row r="14" spans="2:16" ht="12.75" hidden="1" customHeight="1">
      <c r="B14" s="299">
        <f>'[10]Avoided Costs'!B8</f>
        <v>2021</v>
      </c>
      <c r="C14" s="287">
        <f>'[10]Avoided Costs'!C8</f>
        <v>0</v>
      </c>
      <c r="D14" s="288">
        <f>'[10]Avoided Costs'!D8</f>
        <v>0</v>
      </c>
      <c r="E14" s="288">
        <f>'[10]Avoided Costs'!E8</f>
        <v>0</v>
      </c>
      <c r="F14" s="288">
        <f>'[10]Avoided Costs'!F8</f>
        <v>0</v>
      </c>
      <c r="G14" s="288">
        <f>'[10]Avoided Costs'!G8</f>
        <v>0</v>
      </c>
      <c r="H14" s="289">
        <f>'[10]Avoided Costs'!H8</f>
        <v>0</v>
      </c>
      <c r="I14" s="290">
        <f>'[10]Avoided Costs'!I8</f>
        <v>0</v>
      </c>
      <c r="J14" s="288">
        <f>'[10]Avoided Costs'!J8</f>
        <v>0</v>
      </c>
      <c r="K14" s="288">
        <f>'[10]Avoided Costs'!K8</f>
        <v>0</v>
      </c>
      <c r="L14" s="289">
        <f>'[10]Avoided Costs'!L8</f>
        <v>0</v>
      </c>
      <c r="M14" s="290">
        <f>'[10]Avoided Costs'!M8</f>
        <v>0</v>
      </c>
      <c r="N14" s="288">
        <f>'[10]Avoided Costs'!N8</f>
        <v>0</v>
      </c>
      <c r="O14" s="289">
        <f>'[10]Avoided Costs'!O8</f>
        <v>0</v>
      </c>
    </row>
    <row r="15" spans="2:16" ht="12.75" hidden="1" customHeight="1">
      <c r="B15" s="299">
        <f>'[10]Avoided Costs'!B9</f>
        <v>2022</v>
      </c>
      <c r="C15" s="287">
        <f>'[10]Avoided Costs'!C9</f>
        <v>0</v>
      </c>
      <c r="D15" s="288">
        <f>'[10]Avoided Costs'!D9</f>
        <v>0</v>
      </c>
      <c r="E15" s="288">
        <f>'[10]Avoided Costs'!E9</f>
        <v>0</v>
      </c>
      <c r="F15" s="288">
        <f>'[10]Avoided Costs'!F9</f>
        <v>0</v>
      </c>
      <c r="G15" s="288">
        <f>'[10]Avoided Costs'!G9</f>
        <v>0</v>
      </c>
      <c r="H15" s="289">
        <f>'[10]Avoided Costs'!H9</f>
        <v>0</v>
      </c>
      <c r="I15" s="290">
        <f>'[10]Avoided Costs'!I9</f>
        <v>0</v>
      </c>
      <c r="J15" s="288">
        <f>'[10]Avoided Costs'!J9</f>
        <v>0</v>
      </c>
      <c r="K15" s="288">
        <f>'[10]Avoided Costs'!K9</f>
        <v>0</v>
      </c>
      <c r="L15" s="289">
        <f>'[10]Avoided Costs'!L9</f>
        <v>0</v>
      </c>
      <c r="M15" s="290">
        <f>'[10]Avoided Costs'!M9</f>
        <v>0</v>
      </c>
      <c r="N15" s="288">
        <f>'[10]Avoided Costs'!N9</f>
        <v>0</v>
      </c>
      <c r="O15" s="289">
        <f>'[10]Avoided Costs'!O9</f>
        <v>0</v>
      </c>
    </row>
    <row r="16" spans="2:16" ht="12.75" hidden="1" customHeight="1">
      <c r="B16" s="299">
        <f>'[10]Avoided Costs'!B10</f>
        <v>2023</v>
      </c>
      <c r="C16" s="287">
        <f>'[10]Avoided Costs'!C10</f>
        <v>0</v>
      </c>
      <c r="D16" s="288">
        <f>'[10]Avoided Costs'!D10</f>
        <v>0</v>
      </c>
      <c r="E16" s="288">
        <f>'[10]Avoided Costs'!E10</f>
        <v>0</v>
      </c>
      <c r="F16" s="288">
        <f>'[10]Avoided Costs'!F10</f>
        <v>0</v>
      </c>
      <c r="G16" s="288">
        <f>'[10]Avoided Costs'!G10</f>
        <v>0</v>
      </c>
      <c r="H16" s="289">
        <f>'[10]Avoided Costs'!H10</f>
        <v>0</v>
      </c>
      <c r="I16" s="290">
        <f>'[10]Avoided Costs'!I10</f>
        <v>0</v>
      </c>
      <c r="J16" s="288">
        <f>'[10]Avoided Costs'!J10</f>
        <v>0</v>
      </c>
      <c r="K16" s="288">
        <f>'[10]Avoided Costs'!K10</f>
        <v>0</v>
      </c>
      <c r="L16" s="289">
        <f>'[10]Avoided Costs'!L10</f>
        <v>0</v>
      </c>
      <c r="M16" s="290">
        <f>'[10]Avoided Costs'!M10</f>
        <v>0</v>
      </c>
      <c r="N16" s="288">
        <f>'[10]Avoided Costs'!N10</f>
        <v>0</v>
      </c>
      <c r="O16" s="289">
        <f>'[10]Avoided Costs'!O10</f>
        <v>0</v>
      </c>
    </row>
    <row r="17" spans="2:15" ht="12.75" hidden="1" customHeight="1">
      <c r="B17" s="299">
        <f>'[10]Avoided Costs'!B11</f>
        <v>2024</v>
      </c>
      <c r="C17" s="287">
        <f>'[10]Avoided Costs'!C11</f>
        <v>0</v>
      </c>
      <c r="D17" s="288">
        <f>'[10]Avoided Costs'!D11</f>
        <v>0</v>
      </c>
      <c r="E17" s="288">
        <f>'[10]Avoided Costs'!E11</f>
        <v>0</v>
      </c>
      <c r="F17" s="288">
        <f>'[10]Avoided Costs'!F11</f>
        <v>0</v>
      </c>
      <c r="G17" s="288">
        <f>'[10]Avoided Costs'!G11</f>
        <v>0</v>
      </c>
      <c r="H17" s="289">
        <f>'[10]Avoided Costs'!H11</f>
        <v>0</v>
      </c>
      <c r="I17" s="290">
        <f>'[10]Avoided Costs'!I11</f>
        <v>0</v>
      </c>
      <c r="J17" s="288">
        <f>'[10]Avoided Costs'!J11</f>
        <v>0</v>
      </c>
      <c r="K17" s="288">
        <f>'[10]Avoided Costs'!K11</f>
        <v>0</v>
      </c>
      <c r="L17" s="289">
        <f>'[10]Avoided Costs'!L11</f>
        <v>0</v>
      </c>
      <c r="M17" s="290">
        <f>'[10]Avoided Costs'!M11</f>
        <v>0</v>
      </c>
      <c r="N17" s="288">
        <f>'[10]Avoided Costs'!N11</f>
        <v>0</v>
      </c>
      <c r="O17" s="289">
        <f>'[10]Avoided Costs'!O11</f>
        <v>0</v>
      </c>
    </row>
    <row r="18" spans="2:15" ht="12.75" hidden="1" customHeight="1">
      <c r="B18" s="299">
        <f>'[10]Avoided Costs'!B12</f>
        <v>2025</v>
      </c>
      <c r="C18" s="287">
        <f>'[10]Avoided Costs'!C12</f>
        <v>0</v>
      </c>
      <c r="D18" s="288">
        <f>'[10]Avoided Costs'!D12</f>
        <v>0</v>
      </c>
      <c r="E18" s="288">
        <f>'[10]Avoided Costs'!E12</f>
        <v>0</v>
      </c>
      <c r="F18" s="288">
        <f>'[10]Avoided Costs'!F12</f>
        <v>0</v>
      </c>
      <c r="G18" s="288">
        <f>'[10]Avoided Costs'!G12</f>
        <v>0</v>
      </c>
      <c r="H18" s="289">
        <f>'[10]Avoided Costs'!H12</f>
        <v>0</v>
      </c>
      <c r="I18" s="290">
        <f>'[10]Avoided Costs'!I12</f>
        <v>0</v>
      </c>
      <c r="J18" s="288">
        <f>'[10]Avoided Costs'!J12</f>
        <v>0</v>
      </c>
      <c r="K18" s="288">
        <f>'[10]Avoided Costs'!K12</f>
        <v>0</v>
      </c>
      <c r="L18" s="289">
        <f>'[10]Avoided Costs'!L12</f>
        <v>0</v>
      </c>
      <c r="M18" s="290">
        <f>'[10]Avoided Costs'!M12</f>
        <v>0</v>
      </c>
      <c r="N18" s="288">
        <f>'[10]Avoided Costs'!N12</f>
        <v>0</v>
      </c>
      <c r="O18" s="289">
        <f>'[10]Avoided Costs'!O12</f>
        <v>0</v>
      </c>
    </row>
    <row r="19" spans="2:15" ht="12.75" hidden="1" customHeight="1">
      <c r="B19" s="299">
        <f>'[10]Avoided Costs'!B13</f>
        <v>2026</v>
      </c>
      <c r="C19" s="287">
        <f>'[10]Avoided Costs'!C13</f>
        <v>0</v>
      </c>
      <c r="D19" s="288">
        <f>'[10]Avoided Costs'!D13</f>
        <v>0</v>
      </c>
      <c r="E19" s="288">
        <f>'[10]Avoided Costs'!E13</f>
        <v>0</v>
      </c>
      <c r="F19" s="288">
        <f>'[10]Avoided Costs'!F13</f>
        <v>0</v>
      </c>
      <c r="G19" s="288">
        <f>'[10]Avoided Costs'!G13</f>
        <v>0</v>
      </c>
      <c r="H19" s="289">
        <f>'[10]Avoided Costs'!H13</f>
        <v>0</v>
      </c>
      <c r="I19" s="290">
        <f>'[10]Avoided Costs'!I13</f>
        <v>0</v>
      </c>
      <c r="J19" s="288">
        <f>'[10]Avoided Costs'!J13</f>
        <v>0</v>
      </c>
      <c r="K19" s="288">
        <f>'[10]Avoided Costs'!K13</f>
        <v>0</v>
      </c>
      <c r="L19" s="289">
        <f>'[10]Avoided Costs'!L13</f>
        <v>0</v>
      </c>
      <c r="M19" s="290">
        <f>'[10]Avoided Costs'!M13</f>
        <v>0</v>
      </c>
      <c r="N19" s="288">
        <f>'[10]Avoided Costs'!N13</f>
        <v>0</v>
      </c>
      <c r="O19" s="289">
        <f>'[10]Avoided Costs'!O13</f>
        <v>0</v>
      </c>
    </row>
    <row r="20" spans="2:15" ht="12.75" hidden="1" customHeight="1">
      <c r="B20" s="299">
        <f>'[10]Avoided Costs'!B14</f>
        <v>2027</v>
      </c>
      <c r="C20" s="287">
        <f>'[10]Avoided Costs'!C14</f>
        <v>0</v>
      </c>
      <c r="D20" s="288">
        <f>'[10]Avoided Costs'!D14</f>
        <v>0</v>
      </c>
      <c r="E20" s="288">
        <f>'[10]Avoided Costs'!E14</f>
        <v>0</v>
      </c>
      <c r="F20" s="288">
        <f>'[10]Avoided Costs'!F14</f>
        <v>0</v>
      </c>
      <c r="G20" s="288">
        <f>'[10]Avoided Costs'!G14</f>
        <v>0</v>
      </c>
      <c r="H20" s="289">
        <f>'[10]Avoided Costs'!H14</f>
        <v>0</v>
      </c>
      <c r="I20" s="290">
        <f>'[10]Avoided Costs'!I14</f>
        <v>0</v>
      </c>
      <c r="J20" s="288">
        <f>'[10]Avoided Costs'!J14</f>
        <v>0</v>
      </c>
      <c r="K20" s="288">
        <f>'[10]Avoided Costs'!K14</f>
        <v>0</v>
      </c>
      <c r="L20" s="289">
        <f>'[10]Avoided Costs'!L14</f>
        <v>0</v>
      </c>
      <c r="M20" s="290">
        <f>'[10]Avoided Costs'!M14</f>
        <v>0</v>
      </c>
      <c r="N20" s="288">
        <f>'[10]Avoided Costs'!N14</f>
        <v>0</v>
      </c>
      <c r="O20" s="289">
        <f>'[10]Avoided Costs'!O14</f>
        <v>0</v>
      </c>
    </row>
    <row r="21" spans="2:15" ht="12.75" hidden="1" customHeight="1">
      <c r="B21" s="299">
        <f>'[10]Avoided Costs'!B15</f>
        <v>2028</v>
      </c>
      <c r="C21" s="287">
        <f>'[10]Avoided Costs'!C15</f>
        <v>0</v>
      </c>
      <c r="D21" s="288">
        <f>'[10]Avoided Costs'!D15</f>
        <v>0</v>
      </c>
      <c r="E21" s="288">
        <f>'[10]Avoided Costs'!E15</f>
        <v>0</v>
      </c>
      <c r="F21" s="288">
        <f>'[10]Avoided Costs'!F15</f>
        <v>0</v>
      </c>
      <c r="G21" s="288">
        <f>'[10]Avoided Costs'!G15</f>
        <v>0</v>
      </c>
      <c r="H21" s="289">
        <f>'[10]Avoided Costs'!H15</f>
        <v>0</v>
      </c>
      <c r="I21" s="290">
        <f>'[10]Avoided Costs'!I15</f>
        <v>0</v>
      </c>
      <c r="J21" s="288">
        <f>'[10]Avoided Costs'!J15</f>
        <v>0</v>
      </c>
      <c r="K21" s="288">
        <f>'[10]Avoided Costs'!K15</f>
        <v>0</v>
      </c>
      <c r="L21" s="289">
        <f>'[10]Avoided Costs'!L15</f>
        <v>0</v>
      </c>
      <c r="M21" s="290">
        <f>'[10]Avoided Costs'!M15</f>
        <v>0</v>
      </c>
      <c r="N21" s="288">
        <f>'[10]Avoided Costs'!N15</f>
        <v>0</v>
      </c>
      <c r="O21" s="289">
        <f>'[10]Avoided Costs'!O15</f>
        <v>0</v>
      </c>
    </row>
    <row r="22" spans="2:15" ht="12.75" hidden="1" customHeight="1">
      <c r="B22" s="299">
        <f>'[10]Avoided Costs'!B16</f>
        <v>2029</v>
      </c>
      <c r="C22" s="287">
        <f>'[10]Avoided Costs'!C16</f>
        <v>0</v>
      </c>
      <c r="D22" s="288">
        <f>'[10]Avoided Costs'!D16</f>
        <v>0</v>
      </c>
      <c r="E22" s="288">
        <f>'[10]Avoided Costs'!E16</f>
        <v>0</v>
      </c>
      <c r="F22" s="288">
        <f>'[10]Avoided Costs'!F16</f>
        <v>0</v>
      </c>
      <c r="G22" s="288">
        <f>'[10]Avoided Costs'!G16</f>
        <v>0</v>
      </c>
      <c r="H22" s="289">
        <f>'[10]Avoided Costs'!H16</f>
        <v>0</v>
      </c>
      <c r="I22" s="290">
        <f>'[10]Avoided Costs'!I16</f>
        <v>0</v>
      </c>
      <c r="J22" s="288">
        <f>'[10]Avoided Costs'!J16</f>
        <v>0</v>
      </c>
      <c r="K22" s="288">
        <f>'[10]Avoided Costs'!K16</f>
        <v>0</v>
      </c>
      <c r="L22" s="289">
        <f>'[10]Avoided Costs'!L16</f>
        <v>0</v>
      </c>
      <c r="M22" s="290">
        <f>'[10]Avoided Costs'!M16</f>
        <v>0</v>
      </c>
      <c r="N22" s="288">
        <f>'[10]Avoided Costs'!N16</f>
        <v>0</v>
      </c>
      <c r="O22" s="289">
        <f>'[10]Avoided Costs'!O16</f>
        <v>0</v>
      </c>
    </row>
    <row r="23" spans="2:15" ht="12.75" hidden="1" customHeight="1">
      <c r="B23" s="299">
        <f>'[10]Avoided Costs'!B17</f>
        <v>0</v>
      </c>
      <c r="C23" s="287">
        <f>'[10]Avoided Costs'!C17</f>
        <v>0</v>
      </c>
      <c r="D23" s="288">
        <f>'[10]Avoided Costs'!D17</f>
        <v>0</v>
      </c>
      <c r="E23" s="288">
        <f>'[10]Avoided Costs'!E17</f>
        <v>0</v>
      </c>
      <c r="F23" s="288">
        <f>'[10]Avoided Costs'!F17</f>
        <v>0</v>
      </c>
      <c r="G23" s="288">
        <f>'[10]Avoided Costs'!G17</f>
        <v>0</v>
      </c>
      <c r="H23" s="289">
        <f>'[10]Avoided Costs'!H17</f>
        <v>0</v>
      </c>
      <c r="I23" s="290">
        <f>'[10]Avoided Costs'!I17</f>
        <v>0</v>
      </c>
      <c r="J23" s="288">
        <f>'[10]Avoided Costs'!J17</f>
        <v>0</v>
      </c>
      <c r="K23" s="288">
        <f>'[10]Avoided Costs'!K17</f>
        <v>0</v>
      </c>
      <c r="L23" s="289">
        <f>'[10]Avoided Costs'!L17</f>
        <v>0</v>
      </c>
      <c r="M23" s="290">
        <f>'[10]Avoided Costs'!M17</f>
        <v>0</v>
      </c>
      <c r="N23" s="288">
        <f>'[10]Avoided Costs'!N17</f>
        <v>0</v>
      </c>
      <c r="O23" s="289">
        <f>'[10]Avoided Costs'!O17</f>
        <v>0</v>
      </c>
    </row>
    <row r="24" spans="2:15" ht="12.75" hidden="1" customHeight="1">
      <c r="B24" s="299">
        <f>'[10]Avoided Costs'!B18</f>
        <v>0</v>
      </c>
      <c r="C24" s="287">
        <f>'[10]Avoided Costs'!C18</f>
        <v>0</v>
      </c>
      <c r="D24" s="288">
        <f>'[10]Avoided Costs'!D18</f>
        <v>0</v>
      </c>
      <c r="E24" s="288">
        <f>'[10]Avoided Costs'!E18</f>
        <v>0</v>
      </c>
      <c r="F24" s="288">
        <f>'[10]Avoided Costs'!F18</f>
        <v>0</v>
      </c>
      <c r="G24" s="288">
        <f>'[10]Avoided Costs'!G18</f>
        <v>0</v>
      </c>
      <c r="H24" s="289">
        <f>'[10]Avoided Costs'!H18</f>
        <v>0</v>
      </c>
      <c r="I24" s="290">
        <f>'[10]Avoided Costs'!I18</f>
        <v>0</v>
      </c>
      <c r="J24" s="288">
        <f>'[10]Avoided Costs'!J18</f>
        <v>0</v>
      </c>
      <c r="K24" s="288">
        <f>'[10]Avoided Costs'!K18</f>
        <v>0</v>
      </c>
      <c r="L24" s="289">
        <f>'[10]Avoided Costs'!L18</f>
        <v>0</v>
      </c>
      <c r="M24" s="290">
        <f>'[10]Avoided Costs'!M18</f>
        <v>0</v>
      </c>
      <c r="N24" s="288">
        <f>'[10]Avoided Costs'!N18</f>
        <v>0</v>
      </c>
      <c r="O24" s="289">
        <f>'[10]Avoided Costs'!O18</f>
        <v>0</v>
      </c>
    </row>
    <row r="25" spans="2:15" ht="12.75" hidden="1" customHeight="1">
      <c r="B25" s="299">
        <f>'[10]Avoided Costs'!B19</f>
        <v>0</v>
      </c>
      <c r="C25" s="287">
        <f>'[10]Avoided Costs'!C19</f>
        <v>0</v>
      </c>
      <c r="D25" s="288">
        <f>'[10]Avoided Costs'!D19</f>
        <v>0</v>
      </c>
      <c r="E25" s="288">
        <f>'[10]Avoided Costs'!E19</f>
        <v>0</v>
      </c>
      <c r="F25" s="288">
        <f>'[10]Avoided Costs'!F19</f>
        <v>0</v>
      </c>
      <c r="G25" s="288">
        <f>'[10]Avoided Costs'!G19</f>
        <v>0</v>
      </c>
      <c r="H25" s="289">
        <f>'[10]Avoided Costs'!H19</f>
        <v>0</v>
      </c>
      <c r="I25" s="290">
        <f>'[10]Avoided Costs'!I19</f>
        <v>0</v>
      </c>
      <c r="J25" s="288">
        <f>'[10]Avoided Costs'!J19</f>
        <v>0</v>
      </c>
      <c r="K25" s="288">
        <f>'[10]Avoided Costs'!K19</f>
        <v>0</v>
      </c>
      <c r="L25" s="289">
        <f>'[10]Avoided Costs'!L19</f>
        <v>0</v>
      </c>
      <c r="M25" s="290">
        <f>'[10]Avoided Costs'!M19</f>
        <v>0</v>
      </c>
      <c r="N25" s="288">
        <f>'[10]Avoided Costs'!N19</f>
        <v>0</v>
      </c>
      <c r="O25" s="289">
        <f>'[10]Avoided Costs'!O19</f>
        <v>0</v>
      </c>
    </row>
    <row r="26" spans="2:15" ht="12.75" hidden="1" customHeight="1">
      <c r="B26" s="299">
        <f>'[10]Avoided Costs'!B20</f>
        <v>0</v>
      </c>
      <c r="C26" s="287">
        <f>'[10]Avoided Costs'!C20</f>
        <v>0</v>
      </c>
      <c r="D26" s="288">
        <f>'[10]Avoided Costs'!D20</f>
        <v>0</v>
      </c>
      <c r="E26" s="288">
        <f>'[10]Avoided Costs'!E20</f>
        <v>0</v>
      </c>
      <c r="F26" s="288">
        <f>'[10]Avoided Costs'!F20</f>
        <v>0</v>
      </c>
      <c r="G26" s="288">
        <f>'[10]Avoided Costs'!G20</f>
        <v>0</v>
      </c>
      <c r="H26" s="289">
        <f>'[10]Avoided Costs'!H20</f>
        <v>0</v>
      </c>
      <c r="I26" s="290">
        <f>'[10]Avoided Costs'!I20</f>
        <v>0</v>
      </c>
      <c r="J26" s="288">
        <f>'[10]Avoided Costs'!J20</f>
        <v>0</v>
      </c>
      <c r="K26" s="288">
        <f>'[10]Avoided Costs'!K20</f>
        <v>0</v>
      </c>
      <c r="L26" s="289">
        <f>'[10]Avoided Costs'!L20</f>
        <v>0</v>
      </c>
      <c r="M26" s="290">
        <f>'[10]Avoided Costs'!M20</f>
        <v>0</v>
      </c>
      <c r="N26" s="288">
        <f>'[10]Avoided Costs'!N20</f>
        <v>0</v>
      </c>
      <c r="O26" s="289">
        <f>'[10]Avoided Costs'!O20</f>
        <v>0</v>
      </c>
    </row>
    <row r="27" spans="2:15" ht="12.75" hidden="1" customHeight="1">
      <c r="B27" s="299">
        <f>'[10]Avoided Costs'!B21</f>
        <v>0</v>
      </c>
      <c r="C27" s="287">
        <f>'[10]Avoided Costs'!C21</f>
        <v>0</v>
      </c>
      <c r="D27" s="288">
        <f>'[10]Avoided Costs'!D21</f>
        <v>0</v>
      </c>
      <c r="E27" s="288">
        <f>'[10]Avoided Costs'!E21</f>
        <v>0</v>
      </c>
      <c r="F27" s="288">
        <f>'[10]Avoided Costs'!F21</f>
        <v>0</v>
      </c>
      <c r="G27" s="288">
        <f>'[10]Avoided Costs'!G21</f>
        <v>0</v>
      </c>
      <c r="H27" s="289">
        <f>'[10]Avoided Costs'!H21</f>
        <v>0</v>
      </c>
      <c r="I27" s="290">
        <f>'[10]Avoided Costs'!I21</f>
        <v>0</v>
      </c>
      <c r="J27" s="288">
        <f>'[10]Avoided Costs'!J21</f>
        <v>0</v>
      </c>
      <c r="K27" s="288">
        <f>'[10]Avoided Costs'!K21</f>
        <v>0</v>
      </c>
      <c r="L27" s="289">
        <f>'[10]Avoided Costs'!L21</f>
        <v>0</v>
      </c>
      <c r="M27" s="290">
        <f>'[10]Avoided Costs'!M21</f>
        <v>0</v>
      </c>
      <c r="N27" s="288">
        <f>'[10]Avoided Costs'!N21</f>
        <v>0</v>
      </c>
      <c r="O27" s="289">
        <f>'[10]Avoided Costs'!O21</f>
        <v>0</v>
      </c>
    </row>
    <row r="28" spans="2:15" ht="12.75" hidden="1" customHeight="1">
      <c r="B28" s="299">
        <f>'[10]Avoided Costs'!B22</f>
        <v>0</v>
      </c>
      <c r="C28" s="287">
        <f>'[10]Avoided Costs'!C22</f>
        <v>0</v>
      </c>
      <c r="D28" s="288">
        <f>'[10]Avoided Costs'!D22</f>
        <v>0</v>
      </c>
      <c r="E28" s="288">
        <f>'[10]Avoided Costs'!E22</f>
        <v>0</v>
      </c>
      <c r="F28" s="288">
        <f>'[10]Avoided Costs'!F22</f>
        <v>0</v>
      </c>
      <c r="G28" s="288">
        <f>'[10]Avoided Costs'!G22</f>
        <v>0</v>
      </c>
      <c r="H28" s="289">
        <f>'[10]Avoided Costs'!H22</f>
        <v>0</v>
      </c>
      <c r="I28" s="290">
        <f>'[10]Avoided Costs'!I22</f>
        <v>0</v>
      </c>
      <c r="J28" s="288">
        <f>'[10]Avoided Costs'!J22</f>
        <v>0</v>
      </c>
      <c r="K28" s="288">
        <f>'[10]Avoided Costs'!K22</f>
        <v>0</v>
      </c>
      <c r="L28" s="289">
        <f>'[10]Avoided Costs'!L22</f>
        <v>0</v>
      </c>
      <c r="M28" s="290">
        <f>'[10]Avoided Costs'!M22</f>
        <v>0</v>
      </c>
      <c r="N28" s="288">
        <f>'[10]Avoided Costs'!N22</f>
        <v>0</v>
      </c>
      <c r="O28" s="289">
        <f>'[10]Avoided Costs'!O22</f>
        <v>0</v>
      </c>
    </row>
    <row r="29" spans="2:15" ht="12.75" hidden="1" customHeight="1">
      <c r="B29" s="299">
        <f>'[10]Avoided Costs'!B23</f>
        <v>0</v>
      </c>
      <c r="C29" s="287">
        <f>'[10]Avoided Costs'!C23</f>
        <v>0</v>
      </c>
      <c r="D29" s="288">
        <f>'[10]Avoided Costs'!D23</f>
        <v>0</v>
      </c>
      <c r="E29" s="288">
        <f>'[10]Avoided Costs'!E23</f>
        <v>0</v>
      </c>
      <c r="F29" s="288">
        <f>'[10]Avoided Costs'!F23</f>
        <v>0</v>
      </c>
      <c r="G29" s="288">
        <f>'[10]Avoided Costs'!G23</f>
        <v>0</v>
      </c>
      <c r="H29" s="289">
        <f>'[10]Avoided Costs'!H23</f>
        <v>0</v>
      </c>
      <c r="I29" s="290">
        <f>'[10]Avoided Costs'!I23</f>
        <v>0</v>
      </c>
      <c r="J29" s="288">
        <f>'[10]Avoided Costs'!J23</f>
        <v>0</v>
      </c>
      <c r="K29" s="288">
        <f>'[10]Avoided Costs'!K23</f>
        <v>0</v>
      </c>
      <c r="L29" s="289">
        <f>'[10]Avoided Costs'!L23</f>
        <v>0</v>
      </c>
      <c r="M29" s="290">
        <f>'[10]Avoided Costs'!M23</f>
        <v>0</v>
      </c>
      <c r="N29" s="288">
        <f>'[10]Avoided Costs'!N23</f>
        <v>0</v>
      </c>
      <c r="O29" s="289">
        <f>'[10]Avoided Costs'!O23</f>
        <v>0</v>
      </c>
    </row>
    <row r="30" spans="2:15" ht="12.75" hidden="1" customHeight="1">
      <c r="B30" s="300">
        <f>'[10]Avoided Costs'!B24</f>
        <v>0</v>
      </c>
      <c r="C30" s="292">
        <f>'[10]Avoided Costs'!C24</f>
        <v>0</v>
      </c>
      <c r="D30" s="293">
        <f>'[10]Avoided Costs'!D24</f>
        <v>0</v>
      </c>
      <c r="E30" s="293">
        <f>'[10]Avoided Costs'!E24</f>
        <v>0</v>
      </c>
      <c r="F30" s="293">
        <f>'[10]Avoided Costs'!F24</f>
        <v>0</v>
      </c>
      <c r="G30" s="293">
        <f>'[10]Avoided Costs'!G24</f>
        <v>0</v>
      </c>
      <c r="H30" s="294">
        <f>'[10]Avoided Costs'!H24</f>
        <v>0</v>
      </c>
      <c r="I30" s="295">
        <f>'[10]Avoided Costs'!I24</f>
        <v>0</v>
      </c>
      <c r="J30" s="293">
        <f>'[10]Avoided Costs'!J24</f>
        <v>0</v>
      </c>
      <c r="K30" s="293">
        <f>'[10]Avoided Costs'!K24</f>
        <v>0</v>
      </c>
      <c r="L30" s="294">
        <f>'[10]Avoided Costs'!L24</f>
        <v>0</v>
      </c>
      <c r="M30" s="295">
        <f>'[10]Avoided Costs'!M24</f>
        <v>0</v>
      </c>
      <c r="N30" s="293">
        <f>'[10]Avoided Costs'!N24</f>
        <v>0</v>
      </c>
      <c r="O30" s="294">
        <f>'[10]Avoided Costs'!O24</f>
        <v>0</v>
      </c>
    </row>
    <row r="31" spans="2:15" ht="12.75" hidden="1" customHeight="1">
      <c r="B31" s="15"/>
      <c r="C31" s="287"/>
      <c r="D31" s="288"/>
      <c r="E31" s="288"/>
      <c r="F31" s="288"/>
      <c r="G31" s="288"/>
      <c r="H31" s="289"/>
      <c r="I31" s="290"/>
      <c r="J31" s="288"/>
      <c r="K31" s="288"/>
      <c r="L31" s="289"/>
      <c r="M31" s="290"/>
      <c r="N31" s="288"/>
      <c r="O31" s="289"/>
    </row>
    <row r="32" spans="2:15" ht="12.75" hidden="1" customHeight="1">
      <c r="B32" s="291"/>
      <c r="C32" s="292"/>
      <c r="D32" s="293"/>
      <c r="E32" s="293"/>
      <c r="F32" s="293"/>
      <c r="G32" s="293"/>
      <c r="H32" s="294"/>
      <c r="I32" s="295"/>
      <c r="J32" s="293"/>
      <c r="K32" s="293"/>
      <c r="L32" s="294"/>
      <c r="M32" s="295"/>
      <c r="N32" s="293"/>
      <c r="O32" s="294"/>
    </row>
    <row r="33" spans="2:16" ht="12.75" customHeight="1">
      <c r="D33" s="10"/>
      <c r="E33" s="10"/>
      <c r="F33" s="10"/>
      <c r="M33" s="296"/>
    </row>
    <row r="34" spans="2:16">
      <c r="B34" s="297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</row>
    <row r="38" spans="2:16" hidden="1">
      <c r="C38" s="298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98"/>
    </row>
    <row r="40" spans="2:16">
      <c r="C40" s="298"/>
    </row>
    <row r="41" spans="2:16">
      <c r="C41" s="298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173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Resource-2030 - 29%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20.57</v>
      </c>
      <c r="F13" s="134">
        <f t="shared" si="1"/>
        <v>8.1533802638254702</v>
      </c>
      <c r="G13" s="132">
        <f t="shared" si="4"/>
        <v>0</v>
      </c>
      <c r="H13" s="132">
        <f t="shared" si="4"/>
        <v>0</v>
      </c>
      <c r="I13" s="134">
        <f t="shared" si="2"/>
        <v>8.1533802638254702</v>
      </c>
      <c r="J13" s="134">
        <f t="shared" si="3"/>
        <v>20.57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21.02</v>
      </c>
      <c r="F14" s="134">
        <f t="shared" si="1"/>
        <v>8.3317478437341457</v>
      </c>
      <c r="G14" s="132">
        <f t="shared" si="4"/>
        <v>0</v>
      </c>
      <c r="H14" s="132">
        <f t="shared" si="4"/>
        <v>0</v>
      </c>
      <c r="I14" s="134">
        <f t="shared" si="2"/>
        <v>8.3317478437341457</v>
      </c>
      <c r="J14" s="134">
        <f t="shared" si="3"/>
        <v>21.02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21.52</v>
      </c>
      <c r="F15" s="134">
        <f t="shared" si="1"/>
        <v>8.5299340436326752</v>
      </c>
      <c r="G15" s="132">
        <f t="shared" si="4"/>
        <v>0</v>
      </c>
      <c r="H15" s="132">
        <f t="shared" si="4"/>
        <v>0</v>
      </c>
      <c r="I15" s="134">
        <f t="shared" si="2"/>
        <v>8.5299340436326752</v>
      </c>
      <c r="J15" s="134">
        <f t="shared" si="3"/>
        <v>21.52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22.04</v>
      </c>
      <c r="F16" s="134">
        <f t="shared" si="1"/>
        <v>8.7360476915271441</v>
      </c>
      <c r="G16" s="132">
        <f t="shared" si="4"/>
        <v>0</v>
      </c>
      <c r="H16" s="132">
        <f t="shared" si="4"/>
        <v>0</v>
      </c>
      <c r="I16" s="134">
        <f t="shared" si="2"/>
        <v>8.7360476915271441</v>
      </c>
      <c r="J16" s="134">
        <f t="shared" si="3"/>
        <v>22.04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22.57</v>
      </c>
      <c r="F17" s="134">
        <f t="shared" si="1"/>
        <v>8.9461250634195846</v>
      </c>
      <c r="G17" s="132">
        <f t="shared" si="4"/>
        <v>0</v>
      </c>
      <c r="H17" s="132">
        <f t="shared" si="4"/>
        <v>0</v>
      </c>
      <c r="I17" s="134">
        <f t="shared" si="2"/>
        <v>8.9461250634195846</v>
      </c>
      <c r="J17" s="134">
        <f t="shared" si="3"/>
        <v>22.57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23.11</v>
      </c>
      <c r="F18" s="134">
        <f t="shared" si="1"/>
        <v>9.1601661593099948</v>
      </c>
      <c r="G18" s="132">
        <f t="shared" si="4"/>
        <v>0</v>
      </c>
      <c r="H18" s="132">
        <f t="shared" si="4"/>
        <v>0</v>
      </c>
      <c r="I18" s="134">
        <f t="shared" si="2"/>
        <v>9.1601661593099948</v>
      </c>
      <c r="J18" s="134">
        <f t="shared" si="3"/>
        <v>23.11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23.64</v>
      </c>
      <c r="F19" s="134">
        <f t="shared" si="1"/>
        <v>9.370243531202437</v>
      </c>
      <c r="G19" s="132">
        <f t="shared" si="4"/>
        <v>0</v>
      </c>
      <c r="H19" s="132">
        <f t="shared" si="4"/>
        <v>0</v>
      </c>
      <c r="I19" s="134">
        <f t="shared" si="2"/>
        <v>9.370243531202437</v>
      </c>
      <c r="J19" s="134">
        <f t="shared" si="3"/>
        <v>23.64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24.18</v>
      </c>
      <c r="F20" s="134">
        <f t="shared" si="1"/>
        <v>9.5842846270928472</v>
      </c>
      <c r="G20" s="132">
        <f t="shared" si="4"/>
        <v>0</v>
      </c>
      <c r="H20" s="132">
        <f t="shared" si="4"/>
        <v>0</v>
      </c>
      <c r="I20" s="134">
        <f t="shared" si="2"/>
        <v>9.5842846270928472</v>
      </c>
      <c r="J20" s="134">
        <f t="shared" si="3"/>
        <v>24.18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24.74</v>
      </c>
      <c r="F21" s="134">
        <f t="shared" si="1"/>
        <v>9.8062531709791987</v>
      </c>
      <c r="G21" s="132">
        <f t="shared" si="4"/>
        <v>0</v>
      </c>
      <c r="H21" s="132">
        <f t="shared" si="4"/>
        <v>0</v>
      </c>
      <c r="I21" s="134">
        <f t="shared" si="2"/>
        <v>9.8062531709791987</v>
      </c>
      <c r="J21" s="134">
        <f t="shared" si="3"/>
        <v>24.74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25.33</v>
      </c>
      <c r="F22" s="134">
        <f t="shared" si="1"/>
        <v>10.040112886859463</v>
      </c>
      <c r="G22" s="132">
        <f t="shared" si="4"/>
        <v>0</v>
      </c>
      <c r="H22" s="132">
        <f t="shared" si="4"/>
        <v>0</v>
      </c>
      <c r="I22" s="134">
        <f t="shared" si="2"/>
        <v>10.040112886859463</v>
      </c>
      <c r="J22" s="134">
        <f t="shared" si="3"/>
        <v>25.33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25.94</v>
      </c>
      <c r="F23" s="134">
        <f t="shared" si="1"/>
        <v>10.281900050735668</v>
      </c>
      <c r="G23" s="132">
        <f t="shared" si="4"/>
        <v>0</v>
      </c>
      <c r="H23" s="132">
        <f t="shared" si="4"/>
        <v>0</v>
      </c>
      <c r="I23" s="134">
        <f t="shared" si="2"/>
        <v>10.281900050735668</v>
      </c>
      <c r="J23" s="134">
        <f t="shared" si="3"/>
        <v>25.94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>
        <f>$C$55</f>
        <v>1215.4108609806308</v>
      </c>
      <c r="D24" s="132">
        <f>C24*$C$62</f>
        <v>93.825588996381754</v>
      </c>
      <c r="E24" s="132">
        <f t="shared" si="4"/>
        <v>26.54</v>
      </c>
      <c r="F24" s="134">
        <f t="shared" si="1"/>
        <v>47.709597363482111</v>
      </c>
      <c r="G24" s="132">
        <f t="shared" si="4"/>
        <v>0</v>
      </c>
      <c r="H24" s="132">
        <f t="shared" si="4"/>
        <v>0</v>
      </c>
      <c r="I24" s="134">
        <f t="shared" si="2"/>
        <v>47.709597363482111</v>
      </c>
      <c r="J24" s="134">
        <f t="shared" si="3"/>
        <v>120.37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41"/>
      <c r="D25" s="132">
        <f t="shared" si="4"/>
        <v>95.98</v>
      </c>
      <c r="E25" s="132">
        <f t="shared" si="4"/>
        <v>27.15</v>
      </c>
      <c r="F25" s="134">
        <f t="shared" si="1"/>
        <v>48.805333587011674</v>
      </c>
      <c r="G25" s="132">
        <f t="shared" si="4"/>
        <v>0</v>
      </c>
      <c r="H25" s="132">
        <f t="shared" si="4"/>
        <v>0</v>
      </c>
      <c r="I25" s="134">
        <f t="shared" si="2"/>
        <v>48.805333587011674</v>
      </c>
      <c r="J25" s="134">
        <f t="shared" si="3"/>
        <v>123.13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98.19</v>
      </c>
      <c r="E26" s="132">
        <f t="shared" si="4"/>
        <v>27.77</v>
      </c>
      <c r="F26" s="134">
        <f t="shared" si="1"/>
        <v>49.927067478437344</v>
      </c>
      <c r="G26" s="132">
        <f t="shared" si="4"/>
        <v>0</v>
      </c>
      <c r="H26" s="132">
        <f t="shared" si="4"/>
        <v>0</v>
      </c>
      <c r="I26" s="134">
        <f t="shared" si="2"/>
        <v>49.927067478437344</v>
      </c>
      <c r="J26" s="134">
        <f t="shared" si="3"/>
        <v>125.96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100.45</v>
      </c>
      <c r="E27" s="132">
        <f t="shared" si="4"/>
        <v>28.41</v>
      </c>
      <c r="F27" s="134">
        <f t="shared" si="1"/>
        <v>51.076547437848816</v>
      </c>
      <c r="G27" s="132">
        <f t="shared" si="4"/>
        <v>0</v>
      </c>
      <c r="H27" s="132">
        <f t="shared" si="4"/>
        <v>0</v>
      </c>
      <c r="I27" s="134">
        <f t="shared" si="2"/>
        <v>51.076547437848816</v>
      </c>
      <c r="J27" s="134">
        <f t="shared" si="3"/>
        <v>128.86000000000001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102.76</v>
      </c>
      <c r="E28" s="132">
        <f t="shared" si="4"/>
        <v>29.06</v>
      </c>
      <c r="F28" s="134">
        <f t="shared" si="1"/>
        <v>52.2498097412481</v>
      </c>
      <c r="G28" s="132">
        <f t="shared" si="4"/>
        <v>0</v>
      </c>
      <c r="H28" s="132">
        <f t="shared" si="4"/>
        <v>0</v>
      </c>
      <c r="I28" s="134">
        <f t="shared" si="2"/>
        <v>52.2498097412481</v>
      </c>
      <c r="J28" s="134">
        <f t="shared" si="3"/>
        <v>131.82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105.02</v>
      </c>
      <c r="E29" s="132">
        <f t="shared" si="4"/>
        <v>29.7</v>
      </c>
      <c r="F29" s="134">
        <f t="shared" si="1"/>
        <v>53.399289700659565</v>
      </c>
      <c r="G29" s="132">
        <f t="shared" si="4"/>
        <v>0</v>
      </c>
      <c r="H29" s="132">
        <f t="shared" si="4"/>
        <v>0</v>
      </c>
      <c r="I29" s="134">
        <f t="shared" si="2"/>
        <v>53.399289700659565</v>
      </c>
      <c r="J29" s="134">
        <f t="shared" si="3"/>
        <v>134.72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107.33</v>
      </c>
      <c r="E30" s="132">
        <f t="shared" si="4"/>
        <v>30.35</v>
      </c>
      <c r="F30" s="134">
        <f t="shared" si="1"/>
        <v>54.572552004058863</v>
      </c>
      <c r="G30" s="132">
        <f t="shared" si="4"/>
        <v>0</v>
      </c>
      <c r="H30" s="132">
        <f t="shared" si="4"/>
        <v>0</v>
      </c>
      <c r="I30" s="134">
        <f t="shared" si="2"/>
        <v>54.572552004058863</v>
      </c>
      <c r="J30" s="134">
        <f t="shared" si="3"/>
        <v>137.68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109.69</v>
      </c>
      <c r="E31" s="132">
        <f t="shared" si="4"/>
        <v>31.02</v>
      </c>
      <c r="F31" s="134">
        <f t="shared" si="1"/>
        <v>55.773560375443942</v>
      </c>
      <c r="G31" s="132">
        <f t="shared" si="4"/>
        <v>0</v>
      </c>
      <c r="H31" s="132">
        <f t="shared" si="4"/>
        <v>0</v>
      </c>
      <c r="I31" s="134">
        <f t="shared" si="2"/>
        <v>55.773560375443942</v>
      </c>
      <c r="J31" s="134">
        <f t="shared" si="3"/>
        <v>140.71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112.21</v>
      </c>
      <c r="E32" s="132">
        <f t="shared" si="4"/>
        <v>31.73</v>
      </c>
      <c r="F32" s="134">
        <f t="shared" si="1"/>
        <v>57.053843226788437</v>
      </c>
      <c r="G32" s="132">
        <f t="shared" si="4"/>
        <v>0</v>
      </c>
      <c r="H32" s="132">
        <f t="shared" si="4"/>
        <v>0</v>
      </c>
      <c r="I32" s="134">
        <f t="shared" si="2"/>
        <v>57.053843226788437</v>
      </c>
      <c r="J32" s="134">
        <f t="shared" si="3"/>
        <v>143.94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114.79</v>
      </c>
      <c r="E33" s="132">
        <f t="shared" si="4"/>
        <v>32.46</v>
      </c>
      <c r="F33" s="134">
        <f t="shared" si="1"/>
        <v>58.365835870116697</v>
      </c>
      <c r="G33" s="132">
        <f t="shared" si="4"/>
        <v>0</v>
      </c>
      <c r="H33" s="132">
        <f t="shared" si="4"/>
        <v>0</v>
      </c>
      <c r="I33" s="134">
        <f t="shared" si="2"/>
        <v>58.365835870116697</v>
      </c>
      <c r="J33" s="134">
        <f t="shared" si="3"/>
        <v>147.25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117.43</v>
      </c>
      <c r="E34" s="132">
        <f t="shared" si="4"/>
        <v>33.21</v>
      </c>
      <c r="F34" s="134">
        <f t="shared" si="1"/>
        <v>59.70953830542873</v>
      </c>
      <c r="G34" s="132">
        <f t="shared" si="4"/>
        <v>0</v>
      </c>
      <c r="H34" s="132">
        <f t="shared" si="4"/>
        <v>0</v>
      </c>
      <c r="I34" s="134">
        <f t="shared" si="2"/>
        <v>59.70953830542873</v>
      </c>
      <c r="J34" s="134">
        <f t="shared" si="3"/>
        <v>150.63999999999999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120.13</v>
      </c>
      <c r="E35" s="132">
        <f t="shared" si="4"/>
        <v>33.97</v>
      </c>
      <c r="F35" s="134">
        <f t="shared" si="1"/>
        <v>61.080986808726536</v>
      </c>
      <c r="G35" s="132">
        <f t="shared" si="4"/>
        <v>0</v>
      </c>
      <c r="H35" s="132">
        <f t="shared" si="4"/>
        <v>0</v>
      </c>
      <c r="I35" s="134">
        <f t="shared" si="2"/>
        <v>61.080986808726536</v>
      </c>
      <c r="J35" s="134">
        <f t="shared" si="3"/>
        <v>154.1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122.89</v>
      </c>
      <c r="E36" s="132">
        <f t="shared" si="4"/>
        <v>34.75</v>
      </c>
      <c r="F36" s="134">
        <f t="shared" si="1"/>
        <v>62.484145104008121</v>
      </c>
      <c r="G36" s="132">
        <f t="shared" si="4"/>
        <v>0</v>
      </c>
      <c r="H36" s="132">
        <f t="shared" si="4"/>
        <v>0</v>
      </c>
      <c r="I36" s="134">
        <f t="shared" si="2"/>
        <v>62.484145104008121</v>
      </c>
      <c r="J36" s="134">
        <f t="shared" si="3"/>
        <v>157.63999999999999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YK Solar 2033'!D44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Resource-2030 - 29%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119</v>
      </c>
      <c r="C55" s="185">
        <v>1215.4108609806308</v>
      </c>
      <c r="D55" s="121" t="s">
        <v>74</v>
      </c>
      <c r="H55" s="121" t="s">
        <v>9</v>
      </c>
    </row>
    <row r="56" spans="2:24">
      <c r="B56" s="85" t="s">
        <v>111</v>
      </c>
      <c r="C56" s="154">
        <v>19.720289118454605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20.57</v>
      </c>
      <c r="F13" s="134">
        <f t="shared" si="1"/>
        <v>8.1533802638254702</v>
      </c>
      <c r="G13" s="132">
        <f t="shared" si="4"/>
        <v>0</v>
      </c>
      <c r="H13" s="132">
        <f t="shared" si="4"/>
        <v>0</v>
      </c>
      <c r="I13" s="134">
        <f t="shared" si="2"/>
        <v>8.1533802638254702</v>
      </c>
      <c r="J13" s="134">
        <f t="shared" si="3"/>
        <v>20.57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21.02</v>
      </c>
      <c r="F14" s="134">
        <f t="shared" si="1"/>
        <v>8.3317478437341457</v>
      </c>
      <c r="G14" s="132">
        <f t="shared" si="4"/>
        <v>0</v>
      </c>
      <c r="H14" s="132">
        <f t="shared" si="4"/>
        <v>0</v>
      </c>
      <c r="I14" s="134">
        <f t="shared" si="2"/>
        <v>8.3317478437341457</v>
      </c>
      <c r="J14" s="134">
        <f t="shared" si="3"/>
        <v>21.02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21.52</v>
      </c>
      <c r="F15" s="134">
        <f t="shared" si="1"/>
        <v>8.5299340436326752</v>
      </c>
      <c r="G15" s="132">
        <f t="shared" si="4"/>
        <v>0</v>
      </c>
      <c r="H15" s="132">
        <f t="shared" si="4"/>
        <v>0</v>
      </c>
      <c r="I15" s="134">
        <f t="shared" si="2"/>
        <v>8.5299340436326752</v>
      </c>
      <c r="J15" s="134">
        <f t="shared" si="3"/>
        <v>21.52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22.04</v>
      </c>
      <c r="F16" s="134">
        <f t="shared" si="1"/>
        <v>8.7360476915271441</v>
      </c>
      <c r="G16" s="132">
        <f t="shared" si="4"/>
        <v>0</v>
      </c>
      <c r="H16" s="132">
        <f t="shared" si="4"/>
        <v>0</v>
      </c>
      <c r="I16" s="134">
        <f t="shared" si="2"/>
        <v>8.7360476915271441</v>
      </c>
      <c r="J16" s="134">
        <f t="shared" si="3"/>
        <v>22.04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22.57</v>
      </c>
      <c r="F17" s="134">
        <f t="shared" si="1"/>
        <v>8.9461250634195846</v>
      </c>
      <c r="G17" s="132">
        <f t="shared" si="4"/>
        <v>0</v>
      </c>
      <c r="H17" s="132">
        <f t="shared" si="4"/>
        <v>0</v>
      </c>
      <c r="I17" s="134">
        <f t="shared" si="2"/>
        <v>8.9461250634195846</v>
      </c>
      <c r="J17" s="134">
        <f t="shared" si="3"/>
        <v>22.57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23.11</v>
      </c>
      <c r="F18" s="134">
        <f t="shared" si="1"/>
        <v>9.1601661593099948</v>
      </c>
      <c r="G18" s="132">
        <f t="shared" si="4"/>
        <v>0</v>
      </c>
      <c r="H18" s="132">
        <f t="shared" si="4"/>
        <v>0</v>
      </c>
      <c r="I18" s="134">
        <f t="shared" si="2"/>
        <v>9.1601661593099948</v>
      </c>
      <c r="J18" s="134">
        <f t="shared" si="3"/>
        <v>23.11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23.64</v>
      </c>
      <c r="F19" s="134">
        <f t="shared" si="1"/>
        <v>9.370243531202437</v>
      </c>
      <c r="G19" s="132">
        <f t="shared" si="4"/>
        <v>0</v>
      </c>
      <c r="H19" s="132">
        <f t="shared" si="4"/>
        <v>0</v>
      </c>
      <c r="I19" s="134">
        <f t="shared" si="2"/>
        <v>9.370243531202437</v>
      </c>
      <c r="J19" s="134">
        <f t="shared" si="3"/>
        <v>23.64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24.18</v>
      </c>
      <c r="F20" s="134">
        <f t="shared" si="1"/>
        <v>9.5842846270928472</v>
      </c>
      <c r="G20" s="132">
        <f t="shared" si="4"/>
        <v>0</v>
      </c>
      <c r="H20" s="132">
        <f t="shared" si="4"/>
        <v>0</v>
      </c>
      <c r="I20" s="134">
        <f t="shared" si="2"/>
        <v>9.5842846270928472</v>
      </c>
      <c r="J20" s="134">
        <f t="shared" si="3"/>
        <v>24.18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24.74</v>
      </c>
      <c r="F21" s="134">
        <f t="shared" si="1"/>
        <v>9.8062531709791987</v>
      </c>
      <c r="G21" s="132">
        <f t="shared" si="4"/>
        <v>0</v>
      </c>
      <c r="H21" s="132">
        <f t="shared" si="4"/>
        <v>0</v>
      </c>
      <c r="I21" s="134">
        <f t="shared" si="2"/>
        <v>9.8062531709791987</v>
      </c>
      <c r="J21" s="134">
        <f t="shared" si="3"/>
        <v>24.74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25.33</v>
      </c>
      <c r="F22" s="134">
        <f t="shared" si="1"/>
        <v>10.040112886859463</v>
      </c>
      <c r="G22" s="132">
        <f t="shared" si="4"/>
        <v>0</v>
      </c>
      <c r="H22" s="132">
        <f t="shared" si="4"/>
        <v>0</v>
      </c>
      <c r="I22" s="134">
        <f t="shared" si="2"/>
        <v>10.040112886859463</v>
      </c>
      <c r="J22" s="134">
        <f t="shared" si="3"/>
        <v>25.33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25.94</v>
      </c>
      <c r="F23" s="134">
        <f t="shared" si="1"/>
        <v>10.281900050735668</v>
      </c>
      <c r="G23" s="132">
        <f t="shared" si="4"/>
        <v>0</v>
      </c>
      <c r="H23" s="132">
        <f t="shared" si="4"/>
        <v>0</v>
      </c>
      <c r="I23" s="134">
        <f t="shared" si="2"/>
        <v>10.281900050735668</v>
      </c>
      <c r="J23" s="134">
        <f t="shared" si="3"/>
        <v>25.94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26.54</v>
      </c>
      <c r="F24" s="134">
        <f t="shared" si="1"/>
        <v>10.519723490613902</v>
      </c>
      <c r="G24" s="132">
        <f t="shared" si="4"/>
        <v>0</v>
      </c>
      <c r="H24" s="132">
        <f t="shared" si="4"/>
        <v>0</v>
      </c>
      <c r="I24" s="134">
        <f t="shared" si="2"/>
        <v>10.519723490613902</v>
      </c>
      <c r="J24" s="134">
        <f t="shared" si="3"/>
        <v>26.54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31">
        <f>$C$55</f>
        <v>1208.4830190730411</v>
      </c>
      <c r="D25" s="132">
        <f>C25*$C$62</f>
        <v>93.290783139102373</v>
      </c>
      <c r="E25" s="132">
        <f t="shared" si="4"/>
        <v>27.15</v>
      </c>
      <c r="F25" s="134">
        <f t="shared" si="1"/>
        <v>47.739402246282971</v>
      </c>
      <c r="G25" s="132">
        <f t="shared" si="4"/>
        <v>0</v>
      </c>
      <c r="H25" s="132">
        <f t="shared" si="4"/>
        <v>0</v>
      </c>
      <c r="I25" s="134">
        <f t="shared" si="2"/>
        <v>47.739402246282971</v>
      </c>
      <c r="J25" s="134">
        <f t="shared" si="3"/>
        <v>120.44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41"/>
      <c r="D26" s="132">
        <f t="shared" si="4"/>
        <v>95.44</v>
      </c>
      <c r="E26" s="132">
        <f t="shared" si="4"/>
        <v>27.77</v>
      </c>
      <c r="F26" s="134">
        <f t="shared" si="1"/>
        <v>48.837043378995432</v>
      </c>
      <c r="G26" s="132">
        <f t="shared" si="4"/>
        <v>0</v>
      </c>
      <c r="H26" s="132">
        <f t="shared" si="4"/>
        <v>0</v>
      </c>
      <c r="I26" s="134">
        <f t="shared" si="2"/>
        <v>48.837043378995432</v>
      </c>
      <c r="J26" s="134">
        <f t="shared" si="3"/>
        <v>123.21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97.64</v>
      </c>
      <c r="E27" s="132">
        <f t="shared" si="4"/>
        <v>28.41</v>
      </c>
      <c r="F27" s="134">
        <f t="shared" si="1"/>
        <v>49.962740994419079</v>
      </c>
      <c r="G27" s="132">
        <f t="shared" si="4"/>
        <v>0</v>
      </c>
      <c r="H27" s="132">
        <f t="shared" si="4"/>
        <v>0</v>
      </c>
      <c r="I27" s="134">
        <f t="shared" si="2"/>
        <v>49.962740994419079</v>
      </c>
      <c r="J27" s="134">
        <f t="shared" si="3"/>
        <v>126.05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99.89</v>
      </c>
      <c r="E28" s="132">
        <f t="shared" si="4"/>
        <v>29.06</v>
      </c>
      <c r="F28" s="134">
        <f t="shared" si="1"/>
        <v>51.112220953830544</v>
      </c>
      <c r="G28" s="132">
        <f t="shared" si="4"/>
        <v>0</v>
      </c>
      <c r="H28" s="132">
        <f t="shared" si="4"/>
        <v>0</v>
      </c>
      <c r="I28" s="134">
        <f t="shared" si="2"/>
        <v>51.112220953830544</v>
      </c>
      <c r="J28" s="134">
        <f t="shared" si="3"/>
        <v>128.94999999999999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102.09</v>
      </c>
      <c r="E29" s="132">
        <f t="shared" si="4"/>
        <v>29.7</v>
      </c>
      <c r="F29" s="134">
        <f t="shared" si="1"/>
        <v>52.237918569254184</v>
      </c>
      <c r="G29" s="132">
        <f t="shared" si="4"/>
        <v>0</v>
      </c>
      <c r="H29" s="132">
        <f t="shared" si="4"/>
        <v>0</v>
      </c>
      <c r="I29" s="134">
        <f t="shared" si="2"/>
        <v>52.237918569254184</v>
      </c>
      <c r="J29" s="134">
        <f t="shared" si="3"/>
        <v>131.79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104.34</v>
      </c>
      <c r="E30" s="132">
        <f t="shared" si="4"/>
        <v>30.35</v>
      </c>
      <c r="F30" s="134">
        <f t="shared" si="1"/>
        <v>53.387398528665656</v>
      </c>
      <c r="G30" s="132">
        <f t="shared" si="4"/>
        <v>0</v>
      </c>
      <c r="H30" s="132">
        <f t="shared" si="4"/>
        <v>0</v>
      </c>
      <c r="I30" s="134">
        <f t="shared" si="2"/>
        <v>53.387398528665656</v>
      </c>
      <c r="J30" s="134">
        <f t="shared" si="3"/>
        <v>134.69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106.64</v>
      </c>
      <c r="E31" s="132">
        <f t="shared" si="4"/>
        <v>31.02</v>
      </c>
      <c r="F31" s="134">
        <f t="shared" si="1"/>
        <v>54.564624556062917</v>
      </c>
      <c r="G31" s="132">
        <f t="shared" si="4"/>
        <v>0</v>
      </c>
      <c r="H31" s="132">
        <f t="shared" si="4"/>
        <v>0</v>
      </c>
      <c r="I31" s="134">
        <f t="shared" si="2"/>
        <v>54.564624556062917</v>
      </c>
      <c r="J31" s="134">
        <f t="shared" si="3"/>
        <v>137.66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109.09</v>
      </c>
      <c r="E32" s="132">
        <f t="shared" si="4"/>
        <v>31.73</v>
      </c>
      <c r="F32" s="134">
        <f t="shared" si="1"/>
        <v>55.817161339421617</v>
      </c>
      <c r="G32" s="132">
        <f t="shared" si="4"/>
        <v>0</v>
      </c>
      <c r="H32" s="132">
        <f t="shared" si="4"/>
        <v>0</v>
      </c>
      <c r="I32" s="134">
        <f t="shared" si="2"/>
        <v>55.817161339421617</v>
      </c>
      <c r="J32" s="134">
        <f t="shared" si="3"/>
        <v>140.82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111.6</v>
      </c>
      <c r="E33" s="132">
        <f t="shared" si="4"/>
        <v>32.46</v>
      </c>
      <c r="F33" s="134">
        <f t="shared" si="1"/>
        <v>57.101407914764081</v>
      </c>
      <c r="G33" s="132">
        <f t="shared" si="4"/>
        <v>0</v>
      </c>
      <c r="H33" s="132">
        <f t="shared" si="4"/>
        <v>0</v>
      </c>
      <c r="I33" s="134">
        <f t="shared" si="2"/>
        <v>57.101407914764081</v>
      </c>
      <c r="J33" s="134">
        <f t="shared" si="3"/>
        <v>144.06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114.17</v>
      </c>
      <c r="E34" s="132">
        <f t="shared" si="4"/>
        <v>33.21</v>
      </c>
      <c r="F34" s="134">
        <f t="shared" si="1"/>
        <v>58.417364282090311</v>
      </c>
      <c r="G34" s="132">
        <f t="shared" si="4"/>
        <v>0</v>
      </c>
      <c r="H34" s="132">
        <f t="shared" si="4"/>
        <v>0</v>
      </c>
      <c r="I34" s="134">
        <f t="shared" si="2"/>
        <v>58.417364282090311</v>
      </c>
      <c r="J34" s="134">
        <f t="shared" si="3"/>
        <v>147.38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116.8</v>
      </c>
      <c r="E35" s="132">
        <f t="shared" si="4"/>
        <v>33.97</v>
      </c>
      <c r="F35" s="134">
        <f t="shared" si="1"/>
        <v>59.761066717402329</v>
      </c>
      <c r="G35" s="132">
        <f t="shared" si="4"/>
        <v>0</v>
      </c>
      <c r="H35" s="132">
        <f t="shared" si="4"/>
        <v>0</v>
      </c>
      <c r="I35" s="134">
        <f t="shared" si="2"/>
        <v>59.761066717402329</v>
      </c>
      <c r="J35" s="134">
        <f t="shared" si="3"/>
        <v>150.77000000000001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119.49</v>
      </c>
      <c r="E36" s="132">
        <f t="shared" si="4"/>
        <v>34.75</v>
      </c>
      <c r="F36" s="134">
        <f t="shared" si="1"/>
        <v>61.136478944698133</v>
      </c>
      <c r="G36" s="132">
        <f t="shared" si="4"/>
        <v>0</v>
      </c>
      <c r="H36" s="132">
        <f t="shared" si="4"/>
        <v>0</v>
      </c>
      <c r="I36" s="134">
        <f t="shared" si="2"/>
        <v>61.136478944698133</v>
      </c>
      <c r="J36" s="134">
        <f t="shared" si="3"/>
        <v>154.24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OR Solar 2030'!D44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133</v>
      </c>
      <c r="C55" s="185">
        <v>1208.4830190730411</v>
      </c>
      <c r="D55" s="121" t="s">
        <v>74</v>
      </c>
      <c r="H55" s="121" t="s">
        <v>9</v>
      </c>
    </row>
    <row r="56" spans="2:24">
      <c r="B56" s="85" t="s">
        <v>111</v>
      </c>
      <c r="C56" s="154">
        <v>19.720289118454605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175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Oregon Update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20.57</v>
      </c>
      <c r="F13" s="134">
        <f t="shared" si="1"/>
        <v>8.1533802638254702</v>
      </c>
      <c r="G13" s="132">
        <f t="shared" si="4"/>
        <v>0</v>
      </c>
      <c r="H13" s="132">
        <f t="shared" si="4"/>
        <v>0</v>
      </c>
      <c r="I13" s="134">
        <f t="shared" si="2"/>
        <v>8.1533802638254702</v>
      </c>
      <c r="J13" s="134">
        <f t="shared" si="3"/>
        <v>20.57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21.02</v>
      </c>
      <c r="F14" s="134">
        <f t="shared" si="1"/>
        <v>8.3317478437341457</v>
      </c>
      <c r="G14" s="132">
        <f t="shared" si="4"/>
        <v>0</v>
      </c>
      <c r="H14" s="132">
        <f t="shared" si="4"/>
        <v>0</v>
      </c>
      <c r="I14" s="134">
        <f t="shared" si="2"/>
        <v>8.3317478437341457</v>
      </c>
      <c r="J14" s="134">
        <f t="shared" si="3"/>
        <v>21.02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21.52</v>
      </c>
      <c r="F15" s="134">
        <f t="shared" si="1"/>
        <v>8.5299340436326752</v>
      </c>
      <c r="G15" s="132">
        <f t="shared" si="4"/>
        <v>0</v>
      </c>
      <c r="H15" s="132">
        <f t="shared" si="4"/>
        <v>0</v>
      </c>
      <c r="I15" s="134">
        <f t="shared" si="2"/>
        <v>8.5299340436326752</v>
      </c>
      <c r="J15" s="134">
        <f t="shared" si="3"/>
        <v>21.52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22.04</v>
      </c>
      <c r="F16" s="134">
        <f t="shared" si="1"/>
        <v>8.7360476915271441</v>
      </c>
      <c r="G16" s="132">
        <f t="shared" si="4"/>
        <v>0</v>
      </c>
      <c r="H16" s="132">
        <f t="shared" si="4"/>
        <v>0</v>
      </c>
      <c r="I16" s="134">
        <f t="shared" si="2"/>
        <v>8.7360476915271441</v>
      </c>
      <c r="J16" s="134">
        <f t="shared" si="3"/>
        <v>22.04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22.57</v>
      </c>
      <c r="F17" s="134">
        <f t="shared" si="1"/>
        <v>8.9461250634195846</v>
      </c>
      <c r="G17" s="132">
        <f t="shared" si="4"/>
        <v>0</v>
      </c>
      <c r="H17" s="132">
        <f t="shared" si="4"/>
        <v>0</v>
      </c>
      <c r="I17" s="134">
        <f t="shared" si="2"/>
        <v>8.9461250634195846</v>
      </c>
      <c r="J17" s="134">
        <f t="shared" si="3"/>
        <v>22.57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23.11</v>
      </c>
      <c r="F18" s="134">
        <f t="shared" si="1"/>
        <v>9.1601661593099948</v>
      </c>
      <c r="G18" s="132">
        <f t="shared" si="4"/>
        <v>0</v>
      </c>
      <c r="H18" s="132">
        <f t="shared" si="4"/>
        <v>0</v>
      </c>
      <c r="I18" s="134">
        <f t="shared" si="2"/>
        <v>9.1601661593099948</v>
      </c>
      <c r="J18" s="134">
        <f t="shared" si="3"/>
        <v>23.11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23.64</v>
      </c>
      <c r="F19" s="134">
        <f t="shared" si="1"/>
        <v>9.370243531202437</v>
      </c>
      <c r="G19" s="132">
        <f t="shared" si="4"/>
        <v>0</v>
      </c>
      <c r="H19" s="132">
        <f t="shared" si="4"/>
        <v>0</v>
      </c>
      <c r="I19" s="134">
        <f t="shared" si="2"/>
        <v>9.370243531202437</v>
      </c>
      <c r="J19" s="134">
        <f t="shared" si="3"/>
        <v>23.64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24.18</v>
      </c>
      <c r="F20" s="134">
        <f t="shared" si="1"/>
        <v>9.5842846270928472</v>
      </c>
      <c r="G20" s="132">
        <f t="shared" si="4"/>
        <v>0</v>
      </c>
      <c r="H20" s="132">
        <f t="shared" si="4"/>
        <v>0</v>
      </c>
      <c r="I20" s="134">
        <f t="shared" si="2"/>
        <v>9.5842846270928472</v>
      </c>
      <c r="J20" s="134">
        <f t="shared" si="3"/>
        <v>24.18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24.74</v>
      </c>
      <c r="F21" s="134">
        <f t="shared" si="1"/>
        <v>9.8062531709791987</v>
      </c>
      <c r="G21" s="132">
        <f t="shared" si="4"/>
        <v>0</v>
      </c>
      <c r="H21" s="132">
        <f t="shared" si="4"/>
        <v>0</v>
      </c>
      <c r="I21" s="134">
        <f t="shared" si="2"/>
        <v>9.8062531709791987</v>
      </c>
      <c r="J21" s="134">
        <f t="shared" si="3"/>
        <v>24.74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25.33</v>
      </c>
      <c r="F22" s="134">
        <f t="shared" si="1"/>
        <v>10.040112886859463</v>
      </c>
      <c r="G22" s="132">
        <f t="shared" si="4"/>
        <v>0</v>
      </c>
      <c r="H22" s="132">
        <f t="shared" si="4"/>
        <v>0</v>
      </c>
      <c r="I22" s="134">
        <f t="shared" si="2"/>
        <v>10.040112886859463</v>
      </c>
      <c r="J22" s="134">
        <f t="shared" si="3"/>
        <v>25.33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25.94</v>
      </c>
      <c r="F23" s="134">
        <f t="shared" si="1"/>
        <v>10.281900050735668</v>
      </c>
      <c r="G23" s="132">
        <f t="shared" si="4"/>
        <v>0</v>
      </c>
      <c r="H23" s="132">
        <f t="shared" si="4"/>
        <v>0</v>
      </c>
      <c r="I23" s="134">
        <f t="shared" si="2"/>
        <v>10.281900050735668</v>
      </c>
      <c r="J23" s="134">
        <f t="shared" si="3"/>
        <v>25.94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26.54</v>
      </c>
      <c r="F24" s="134">
        <f t="shared" si="1"/>
        <v>10.519723490613902</v>
      </c>
      <c r="G24" s="132">
        <f t="shared" si="4"/>
        <v>0</v>
      </c>
      <c r="H24" s="132">
        <f t="shared" si="4"/>
        <v>0</v>
      </c>
      <c r="I24" s="134">
        <f t="shared" si="2"/>
        <v>10.519723490613902</v>
      </c>
      <c r="J24" s="134">
        <f t="shared" si="3"/>
        <v>26.54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27.15</v>
      </c>
      <c r="F25" s="134">
        <f t="shared" si="1"/>
        <v>10.761510654490106</v>
      </c>
      <c r="G25" s="132">
        <f t="shared" si="4"/>
        <v>0</v>
      </c>
      <c r="H25" s="132">
        <f t="shared" si="4"/>
        <v>0</v>
      </c>
      <c r="I25" s="134">
        <f t="shared" si="2"/>
        <v>10.761510654490106</v>
      </c>
      <c r="J25" s="134">
        <f t="shared" si="3"/>
        <v>27.15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31">
        <f>$C$55</f>
        <v>1201.5946658643247</v>
      </c>
      <c r="D26" s="132">
        <f>C26*$C$62</f>
        <v>92.759025675209486</v>
      </c>
      <c r="E26" s="132">
        <f t="shared" si="4"/>
        <v>27.77</v>
      </c>
      <c r="F26" s="134">
        <f t="shared" si="1"/>
        <v>47.774379152083924</v>
      </c>
      <c r="G26" s="132">
        <f t="shared" si="4"/>
        <v>0</v>
      </c>
      <c r="H26" s="132">
        <f t="shared" si="4"/>
        <v>0</v>
      </c>
      <c r="I26" s="134">
        <f t="shared" si="2"/>
        <v>47.774379152083924</v>
      </c>
      <c r="J26" s="134">
        <f t="shared" si="3"/>
        <v>120.53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41"/>
      <c r="D27" s="132">
        <f t="shared" si="4"/>
        <v>94.89</v>
      </c>
      <c r="E27" s="132">
        <f t="shared" si="4"/>
        <v>28.41</v>
      </c>
      <c r="F27" s="134">
        <f t="shared" si="1"/>
        <v>48.872716894977174</v>
      </c>
      <c r="G27" s="132">
        <f t="shared" si="4"/>
        <v>0</v>
      </c>
      <c r="H27" s="132">
        <f t="shared" si="4"/>
        <v>0</v>
      </c>
      <c r="I27" s="134">
        <f t="shared" si="2"/>
        <v>48.872716894977174</v>
      </c>
      <c r="J27" s="134">
        <f t="shared" si="3"/>
        <v>123.3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97.07</v>
      </c>
      <c r="E28" s="132">
        <f t="shared" si="4"/>
        <v>29.06</v>
      </c>
      <c r="F28" s="134">
        <f t="shared" si="1"/>
        <v>49.994450786402844</v>
      </c>
      <c r="G28" s="132">
        <f t="shared" si="4"/>
        <v>0</v>
      </c>
      <c r="H28" s="132">
        <f t="shared" si="4"/>
        <v>0</v>
      </c>
      <c r="I28" s="134">
        <f t="shared" si="2"/>
        <v>49.994450786402844</v>
      </c>
      <c r="J28" s="134">
        <f t="shared" si="3"/>
        <v>126.13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99.21</v>
      </c>
      <c r="E29" s="132">
        <f t="shared" si="4"/>
        <v>29.7</v>
      </c>
      <c r="F29" s="134">
        <f t="shared" si="1"/>
        <v>51.096366057838665</v>
      </c>
      <c r="G29" s="132">
        <f t="shared" si="4"/>
        <v>0</v>
      </c>
      <c r="H29" s="132">
        <f t="shared" si="4"/>
        <v>0</v>
      </c>
      <c r="I29" s="134">
        <f t="shared" si="2"/>
        <v>51.096366057838665</v>
      </c>
      <c r="J29" s="134">
        <f t="shared" si="3"/>
        <v>128.91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101.39</v>
      </c>
      <c r="E30" s="132">
        <f t="shared" si="4"/>
        <v>30.35</v>
      </c>
      <c r="F30" s="134">
        <f t="shared" si="1"/>
        <v>52.218099949264342</v>
      </c>
      <c r="G30" s="132">
        <f t="shared" si="4"/>
        <v>0</v>
      </c>
      <c r="H30" s="132">
        <f t="shared" si="4"/>
        <v>0</v>
      </c>
      <c r="I30" s="134">
        <f t="shared" si="2"/>
        <v>52.218099949264342</v>
      </c>
      <c r="J30" s="134">
        <f t="shared" si="3"/>
        <v>131.74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103.62</v>
      </c>
      <c r="E31" s="132">
        <f t="shared" si="4"/>
        <v>31.02</v>
      </c>
      <c r="F31" s="134">
        <f t="shared" si="1"/>
        <v>53.367579908675808</v>
      </c>
      <c r="G31" s="132">
        <f t="shared" si="4"/>
        <v>0</v>
      </c>
      <c r="H31" s="132">
        <f t="shared" si="4"/>
        <v>0</v>
      </c>
      <c r="I31" s="134">
        <f t="shared" si="2"/>
        <v>53.367579908675808</v>
      </c>
      <c r="J31" s="134">
        <f t="shared" si="3"/>
        <v>134.63999999999999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106</v>
      </c>
      <c r="E32" s="132">
        <f t="shared" si="4"/>
        <v>31.73</v>
      </c>
      <c r="F32" s="134">
        <f t="shared" si="1"/>
        <v>54.592370624048705</v>
      </c>
      <c r="G32" s="132">
        <f t="shared" si="4"/>
        <v>0</v>
      </c>
      <c r="H32" s="132">
        <f t="shared" si="4"/>
        <v>0</v>
      </c>
      <c r="I32" s="134">
        <f t="shared" si="2"/>
        <v>54.592370624048705</v>
      </c>
      <c r="J32" s="134">
        <f t="shared" si="3"/>
        <v>137.72999999999999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108.44</v>
      </c>
      <c r="E33" s="132">
        <f t="shared" si="4"/>
        <v>32.46</v>
      </c>
      <c r="F33" s="134">
        <f t="shared" si="1"/>
        <v>55.848871131405382</v>
      </c>
      <c r="G33" s="132">
        <f t="shared" si="4"/>
        <v>0</v>
      </c>
      <c r="H33" s="132">
        <f t="shared" si="4"/>
        <v>0</v>
      </c>
      <c r="I33" s="134">
        <f t="shared" si="2"/>
        <v>55.848871131405382</v>
      </c>
      <c r="J33" s="134">
        <f t="shared" si="3"/>
        <v>140.9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110.93</v>
      </c>
      <c r="E34" s="132">
        <f t="shared" si="4"/>
        <v>33.21</v>
      </c>
      <c r="F34" s="134">
        <f t="shared" si="1"/>
        <v>57.133117706747854</v>
      </c>
      <c r="G34" s="132">
        <f t="shared" si="4"/>
        <v>0</v>
      </c>
      <c r="H34" s="132">
        <f t="shared" si="4"/>
        <v>0</v>
      </c>
      <c r="I34" s="134">
        <f t="shared" si="2"/>
        <v>57.133117706747854</v>
      </c>
      <c r="J34" s="134">
        <f t="shared" si="3"/>
        <v>144.13999999999999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113.48</v>
      </c>
      <c r="E35" s="132">
        <f t="shared" si="4"/>
        <v>33.97</v>
      </c>
      <c r="F35" s="134">
        <f t="shared" si="1"/>
        <v>58.445110350076106</v>
      </c>
      <c r="G35" s="132">
        <f t="shared" si="4"/>
        <v>0</v>
      </c>
      <c r="H35" s="132">
        <f t="shared" si="4"/>
        <v>0</v>
      </c>
      <c r="I35" s="134">
        <f t="shared" si="2"/>
        <v>58.445110350076106</v>
      </c>
      <c r="J35" s="134">
        <f t="shared" si="3"/>
        <v>147.44999999999999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116.09</v>
      </c>
      <c r="E36" s="132">
        <f t="shared" si="4"/>
        <v>34.75</v>
      </c>
      <c r="F36" s="134">
        <f t="shared" si="1"/>
        <v>59.788812785388131</v>
      </c>
      <c r="G36" s="132">
        <f t="shared" si="4"/>
        <v>0</v>
      </c>
      <c r="H36" s="132">
        <f t="shared" si="4"/>
        <v>0</v>
      </c>
      <c r="I36" s="134">
        <f t="shared" si="2"/>
        <v>59.788812785388131</v>
      </c>
      <c r="J36" s="134">
        <f t="shared" si="3"/>
        <v>150.84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OR Solar 2031'!D44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Oregon Update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130</v>
      </c>
      <c r="C55" s="185">
        <v>1201.5946658643247</v>
      </c>
      <c r="D55" s="121" t="s">
        <v>74</v>
      </c>
      <c r="H55" s="121" t="s">
        <v>9</v>
      </c>
    </row>
    <row r="56" spans="2:24">
      <c r="B56" s="85" t="s">
        <v>111</v>
      </c>
      <c r="C56" s="154">
        <v>19.720289118454605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17" style="121" customWidth="1"/>
    <col min="16" max="16" width="9.33203125" style="12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174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29%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83</v>
      </c>
      <c r="J5" s="17" t="s">
        <v>55</v>
      </c>
      <c r="K5" s="125" t="s">
        <v>71</v>
      </c>
      <c r="P5" s="125"/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Oregon Solar Resource-2031 - 29%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32"/>
      <c r="I10" s="134"/>
      <c r="J10" s="134"/>
      <c r="K10" s="132"/>
      <c r="N10" s="135"/>
      <c r="P10" s="169"/>
    </row>
    <row r="11" spans="2:18">
      <c r="B11" s="130">
        <f t="shared" ref="B11:B36" si="0">B10+1</f>
        <v>2017</v>
      </c>
      <c r="C11" s="136"/>
      <c r="D11" s="132"/>
      <c r="E11" s="132">
        <f>$C$56</f>
        <v>19.720289118454605</v>
      </c>
      <c r="F11" s="133">
        <f t="shared" ref="F11:F36" si="1">(D11+E11)/(8.76*$C$63)</f>
        <v>7.8165783225736485</v>
      </c>
      <c r="G11" s="133">
        <f>$C$58</f>
        <v>0</v>
      </c>
      <c r="H11" s="132">
        <f>$C$59</f>
        <v>0</v>
      </c>
      <c r="I11" s="134">
        <f t="shared" ref="I11:I36" si="2">F11+H11+G11</f>
        <v>7.8165783225736485</v>
      </c>
      <c r="J11" s="134">
        <f t="shared" ref="J11:J36" si="3">ROUND(I11*$C$63*8.76,2)</f>
        <v>19.72</v>
      </c>
      <c r="K11" s="132">
        <f>$C$57</f>
        <v>0.61668809999999996</v>
      </c>
      <c r="N11" s="135"/>
      <c r="P11" s="169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20.170000000000002</v>
      </c>
      <c r="F12" s="134">
        <f t="shared" si="1"/>
        <v>7.9948313039066479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7.9948313039066479</v>
      </c>
      <c r="J12" s="134">
        <f t="shared" si="3"/>
        <v>20.170000000000002</v>
      </c>
      <c r="K12" s="132">
        <f>ROUND(K11*(1+(IFERROR(INDEX($D$66:$D$74,MATCH($B12,$C$66:$C$74,0),1),0)+IFERROR(INDEX($G$66:$G$74,MATCH($B12,$F$66:$F$74,0),1),0)+IFERROR(INDEX($J$66:$J$74,MATCH($B12,$I$66:$I$74,0),1),0))),2)</f>
        <v>0.63</v>
      </c>
      <c r="L12" s="123"/>
      <c r="N12" s="135"/>
      <c r="P12" s="169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20.57</v>
      </c>
      <c r="F13" s="134">
        <f t="shared" si="1"/>
        <v>8.1533802638254702</v>
      </c>
      <c r="G13" s="132">
        <f t="shared" si="4"/>
        <v>0</v>
      </c>
      <c r="H13" s="132">
        <f t="shared" si="4"/>
        <v>0</v>
      </c>
      <c r="I13" s="134">
        <f t="shared" si="2"/>
        <v>8.1533802638254702</v>
      </c>
      <c r="J13" s="134">
        <f t="shared" si="3"/>
        <v>20.57</v>
      </c>
      <c r="K13" s="132">
        <f t="shared" ref="K13:K36" si="5">ROUND(K12*(1+(IFERROR(INDEX($D$66:$D$74,MATCH($B13,$C$66:$C$74,0),1),0)+IFERROR(INDEX($G$66:$G$74,MATCH($B13,$F$66:$F$74,0),1),0)+IFERROR(INDEX($J$66:$J$74,MATCH($B13,$I$66:$I$74,0),1),0))),2)</f>
        <v>0.64</v>
      </c>
      <c r="L13" s="123"/>
      <c r="N13" s="135"/>
      <c r="P13" s="169"/>
    </row>
    <row r="14" spans="2:18">
      <c r="B14" s="140">
        <f t="shared" si="0"/>
        <v>2020</v>
      </c>
      <c r="C14" s="141"/>
      <c r="D14" s="132"/>
      <c r="E14" s="132">
        <f t="shared" si="4"/>
        <v>21.02</v>
      </c>
      <c r="F14" s="134">
        <f t="shared" si="1"/>
        <v>8.3317478437341457</v>
      </c>
      <c r="G14" s="132">
        <f t="shared" si="4"/>
        <v>0</v>
      </c>
      <c r="H14" s="132">
        <f t="shared" si="4"/>
        <v>0</v>
      </c>
      <c r="I14" s="134">
        <f t="shared" si="2"/>
        <v>8.3317478437341457</v>
      </c>
      <c r="J14" s="134">
        <f t="shared" si="3"/>
        <v>21.02</v>
      </c>
      <c r="K14" s="132">
        <f t="shared" si="5"/>
        <v>0.65</v>
      </c>
      <c r="L14" s="123"/>
      <c r="N14" s="135"/>
      <c r="O14" s="137"/>
      <c r="P14" s="169"/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4"/>
        <v>21.52</v>
      </c>
      <c r="F15" s="134">
        <f t="shared" si="1"/>
        <v>8.5299340436326752</v>
      </c>
      <c r="G15" s="132">
        <f t="shared" si="4"/>
        <v>0</v>
      </c>
      <c r="H15" s="132">
        <f t="shared" si="4"/>
        <v>0</v>
      </c>
      <c r="I15" s="134">
        <f t="shared" si="2"/>
        <v>8.5299340436326752</v>
      </c>
      <c r="J15" s="134">
        <f t="shared" si="3"/>
        <v>21.52</v>
      </c>
      <c r="K15" s="132">
        <f t="shared" si="5"/>
        <v>0.67</v>
      </c>
      <c r="L15" s="123"/>
      <c r="N15" s="138"/>
      <c r="O15" s="138"/>
      <c r="P15" s="169"/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4"/>
        <v>22.04</v>
      </c>
      <c r="F16" s="134">
        <f t="shared" si="1"/>
        <v>8.7360476915271441</v>
      </c>
      <c r="G16" s="132">
        <f t="shared" si="4"/>
        <v>0</v>
      </c>
      <c r="H16" s="132">
        <f t="shared" si="4"/>
        <v>0</v>
      </c>
      <c r="I16" s="134">
        <f t="shared" si="2"/>
        <v>8.7360476915271441</v>
      </c>
      <c r="J16" s="134">
        <f t="shared" si="3"/>
        <v>22.04</v>
      </c>
      <c r="K16" s="132">
        <f t="shared" si="5"/>
        <v>0.69</v>
      </c>
      <c r="L16" s="123"/>
      <c r="N16" s="135"/>
      <c r="P16" s="169"/>
    </row>
    <row r="17" spans="2:17">
      <c r="B17" s="140">
        <f t="shared" si="0"/>
        <v>2023</v>
      </c>
      <c r="C17" s="141"/>
      <c r="D17" s="132"/>
      <c r="E17" s="132">
        <f t="shared" si="4"/>
        <v>22.57</v>
      </c>
      <c r="F17" s="134">
        <f t="shared" si="1"/>
        <v>8.9461250634195846</v>
      </c>
      <c r="G17" s="132">
        <f t="shared" si="4"/>
        <v>0</v>
      </c>
      <c r="H17" s="132">
        <f t="shared" si="4"/>
        <v>0</v>
      </c>
      <c r="I17" s="134">
        <f t="shared" si="2"/>
        <v>8.9461250634195846</v>
      </c>
      <c r="J17" s="134">
        <f t="shared" si="3"/>
        <v>22.57</v>
      </c>
      <c r="K17" s="132">
        <f t="shared" si="5"/>
        <v>0.71</v>
      </c>
      <c r="L17" s="123"/>
      <c r="N17" s="135"/>
      <c r="O17" s="137"/>
      <c r="P17" s="169"/>
    </row>
    <row r="18" spans="2:17">
      <c r="B18" s="140">
        <f t="shared" si="0"/>
        <v>2024</v>
      </c>
      <c r="C18" s="141"/>
      <c r="D18" s="132"/>
      <c r="E18" s="132">
        <f t="shared" si="4"/>
        <v>23.11</v>
      </c>
      <c r="F18" s="134">
        <f t="shared" si="1"/>
        <v>9.1601661593099948</v>
      </c>
      <c r="G18" s="132">
        <f t="shared" si="4"/>
        <v>0</v>
      </c>
      <c r="H18" s="132">
        <f t="shared" si="4"/>
        <v>0</v>
      </c>
      <c r="I18" s="134">
        <f t="shared" si="2"/>
        <v>9.1601661593099948</v>
      </c>
      <c r="J18" s="134">
        <f t="shared" si="3"/>
        <v>23.11</v>
      </c>
      <c r="K18" s="132">
        <f t="shared" si="5"/>
        <v>0.73</v>
      </c>
      <c r="L18" s="123"/>
      <c r="P18" s="169"/>
    </row>
    <row r="19" spans="2:17">
      <c r="B19" s="140">
        <f t="shared" si="0"/>
        <v>2025</v>
      </c>
      <c r="C19" s="141"/>
      <c r="D19" s="132"/>
      <c r="E19" s="132">
        <f t="shared" si="4"/>
        <v>23.64</v>
      </c>
      <c r="F19" s="134">
        <f t="shared" si="1"/>
        <v>9.370243531202437</v>
      </c>
      <c r="G19" s="132">
        <f t="shared" si="4"/>
        <v>0</v>
      </c>
      <c r="H19" s="132">
        <f t="shared" si="4"/>
        <v>0</v>
      </c>
      <c r="I19" s="134">
        <f t="shared" si="2"/>
        <v>9.370243531202437</v>
      </c>
      <c r="J19" s="134">
        <f t="shared" si="3"/>
        <v>23.64</v>
      </c>
      <c r="K19" s="132">
        <f t="shared" si="5"/>
        <v>0.75</v>
      </c>
      <c r="L19" s="123"/>
      <c r="P19" s="169"/>
    </row>
    <row r="20" spans="2:17">
      <c r="B20" s="140">
        <f t="shared" si="0"/>
        <v>2026</v>
      </c>
      <c r="C20" s="141"/>
      <c r="D20" s="132"/>
      <c r="E20" s="132">
        <f t="shared" si="4"/>
        <v>24.18</v>
      </c>
      <c r="F20" s="134">
        <f t="shared" si="1"/>
        <v>9.5842846270928472</v>
      </c>
      <c r="G20" s="132">
        <f t="shared" si="4"/>
        <v>0</v>
      </c>
      <c r="H20" s="132">
        <f t="shared" si="4"/>
        <v>0</v>
      </c>
      <c r="I20" s="134">
        <f t="shared" si="2"/>
        <v>9.5842846270928472</v>
      </c>
      <c r="J20" s="134">
        <f t="shared" si="3"/>
        <v>24.18</v>
      </c>
      <c r="K20" s="132">
        <f t="shared" si="5"/>
        <v>0.77</v>
      </c>
      <c r="L20" s="123"/>
      <c r="P20" s="169"/>
      <c r="Q20" s="170"/>
    </row>
    <row r="21" spans="2:17">
      <c r="B21" s="140">
        <f t="shared" si="0"/>
        <v>2027</v>
      </c>
      <c r="C21" s="141"/>
      <c r="D21" s="132"/>
      <c r="E21" s="132">
        <f t="shared" si="4"/>
        <v>24.74</v>
      </c>
      <c r="F21" s="134">
        <f t="shared" si="1"/>
        <v>9.8062531709791987</v>
      </c>
      <c r="G21" s="132">
        <f t="shared" si="4"/>
        <v>0</v>
      </c>
      <c r="H21" s="132">
        <f t="shared" si="4"/>
        <v>0</v>
      </c>
      <c r="I21" s="134">
        <f t="shared" si="2"/>
        <v>9.8062531709791987</v>
      </c>
      <c r="J21" s="134">
        <f t="shared" si="3"/>
        <v>24.74</v>
      </c>
      <c r="K21" s="132">
        <f t="shared" si="5"/>
        <v>0.79</v>
      </c>
      <c r="L21" s="123"/>
      <c r="P21" s="169"/>
    </row>
    <row r="22" spans="2:17">
      <c r="B22" s="140">
        <f t="shared" si="0"/>
        <v>2028</v>
      </c>
      <c r="C22" s="141"/>
      <c r="D22" s="132"/>
      <c r="E22" s="132">
        <f t="shared" si="4"/>
        <v>25.33</v>
      </c>
      <c r="F22" s="134">
        <f t="shared" si="1"/>
        <v>10.040112886859463</v>
      </c>
      <c r="G22" s="132">
        <f t="shared" si="4"/>
        <v>0</v>
      </c>
      <c r="H22" s="132">
        <f t="shared" si="4"/>
        <v>0</v>
      </c>
      <c r="I22" s="134">
        <f t="shared" si="2"/>
        <v>10.040112886859463</v>
      </c>
      <c r="J22" s="134">
        <f t="shared" si="3"/>
        <v>25.33</v>
      </c>
      <c r="K22" s="132">
        <f t="shared" si="5"/>
        <v>0.81</v>
      </c>
      <c r="L22" s="123"/>
      <c r="P22" s="169"/>
    </row>
    <row r="23" spans="2:17">
      <c r="B23" s="140">
        <f t="shared" si="0"/>
        <v>2029</v>
      </c>
      <c r="C23" s="141"/>
      <c r="D23" s="132"/>
      <c r="E23" s="132">
        <f t="shared" si="4"/>
        <v>25.94</v>
      </c>
      <c r="F23" s="134">
        <f t="shared" si="1"/>
        <v>10.281900050735668</v>
      </c>
      <c r="G23" s="132">
        <f t="shared" si="4"/>
        <v>0</v>
      </c>
      <c r="H23" s="132">
        <f t="shared" si="4"/>
        <v>0</v>
      </c>
      <c r="I23" s="134">
        <f t="shared" si="2"/>
        <v>10.281900050735668</v>
      </c>
      <c r="J23" s="134">
        <f t="shared" si="3"/>
        <v>25.94</v>
      </c>
      <c r="K23" s="132">
        <f t="shared" si="5"/>
        <v>0.83</v>
      </c>
      <c r="L23" s="123"/>
      <c r="P23" s="169"/>
    </row>
    <row r="24" spans="2:17">
      <c r="B24" s="140">
        <f t="shared" si="0"/>
        <v>2030</v>
      </c>
      <c r="C24" s="131"/>
      <c r="D24" s="132"/>
      <c r="E24" s="132">
        <f t="shared" si="4"/>
        <v>26.54</v>
      </c>
      <c r="F24" s="134">
        <f t="shared" si="1"/>
        <v>10.519723490613902</v>
      </c>
      <c r="G24" s="132">
        <f t="shared" si="4"/>
        <v>0</v>
      </c>
      <c r="H24" s="132">
        <f t="shared" si="4"/>
        <v>0</v>
      </c>
      <c r="I24" s="134">
        <f t="shared" si="2"/>
        <v>10.519723490613902</v>
      </c>
      <c r="J24" s="134">
        <f t="shared" si="3"/>
        <v>26.54</v>
      </c>
      <c r="K24" s="132">
        <f t="shared" si="5"/>
        <v>0.85</v>
      </c>
      <c r="L24" s="123"/>
      <c r="P24" s="169"/>
    </row>
    <row r="25" spans="2:17">
      <c r="B25" s="140">
        <f t="shared" si="0"/>
        <v>2031</v>
      </c>
      <c r="C25" s="131"/>
      <c r="D25" s="132"/>
      <c r="E25" s="132">
        <f t="shared" si="4"/>
        <v>27.15</v>
      </c>
      <c r="F25" s="134">
        <f t="shared" si="1"/>
        <v>10.761510654490106</v>
      </c>
      <c r="G25" s="132">
        <f t="shared" si="4"/>
        <v>0</v>
      </c>
      <c r="H25" s="132">
        <f t="shared" si="4"/>
        <v>0</v>
      </c>
      <c r="I25" s="134">
        <f t="shared" si="2"/>
        <v>10.761510654490106</v>
      </c>
      <c r="J25" s="134">
        <f t="shared" si="3"/>
        <v>27.15</v>
      </c>
      <c r="K25" s="132">
        <f t="shared" si="5"/>
        <v>0.87</v>
      </c>
      <c r="L25" s="123"/>
      <c r="P25" s="169"/>
    </row>
    <row r="26" spans="2:17">
      <c r="B26" s="140">
        <f t="shared" si="0"/>
        <v>2032</v>
      </c>
      <c r="C26" s="131"/>
      <c r="D26" s="132"/>
      <c r="E26" s="132">
        <f t="shared" si="4"/>
        <v>27.77</v>
      </c>
      <c r="F26" s="134">
        <f t="shared" si="1"/>
        <v>11.007261542364283</v>
      </c>
      <c r="G26" s="132">
        <f t="shared" si="4"/>
        <v>0</v>
      </c>
      <c r="H26" s="132">
        <f t="shared" si="4"/>
        <v>0</v>
      </c>
      <c r="I26" s="134">
        <f t="shared" si="2"/>
        <v>11.007261542364283</v>
      </c>
      <c r="J26" s="134">
        <f t="shared" si="3"/>
        <v>27.77</v>
      </c>
      <c r="K26" s="132">
        <f t="shared" si="5"/>
        <v>0.89</v>
      </c>
      <c r="L26" s="123"/>
      <c r="P26" s="169"/>
    </row>
    <row r="27" spans="2:17">
      <c r="B27" s="140">
        <f t="shared" si="0"/>
        <v>2033</v>
      </c>
      <c r="C27" s="131">
        <f>$C$55</f>
        <v>1194.745576268898</v>
      </c>
      <c r="D27" s="132">
        <f>C27*$C$62</f>
        <v>92.230299228860787</v>
      </c>
      <c r="E27" s="132">
        <f t="shared" si="4"/>
        <v>28.41</v>
      </c>
      <c r="F27" s="134">
        <f t="shared" si="1"/>
        <v>47.818484917578637</v>
      </c>
      <c r="G27" s="132">
        <f t="shared" si="4"/>
        <v>0</v>
      </c>
      <c r="H27" s="132">
        <f t="shared" si="4"/>
        <v>0</v>
      </c>
      <c r="I27" s="134">
        <f t="shared" si="2"/>
        <v>47.818484917578637</v>
      </c>
      <c r="J27" s="134">
        <f t="shared" si="3"/>
        <v>120.64</v>
      </c>
      <c r="K27" s="132">
        <f t="shared" si="5"/>
        <v>0.91</v>
      </c>
      <c r="L27" s="123"/>
      <c r="P27" s="169"/>
    </row>
    <row r="28" spans="2:17">
      <c r="B28" s="140">
        <f t="shared" si="0"/>
        <v>2034</v>
      </c>
      <c r="C28" s="141"/>
      <c r="D28" s="132">
        <f t="shared" si="4"/>
        <v>94.35</v>
      </c>
      <c r="E28" s="132">
        <f t="shared" si="4"/>
        <v>29.06</v>
      </c>
      <c r="F28" s="134">
        <f t="shared" si="1"/>
        <v>48.916317858954848</v>
      </c>
      <c r="G28" s="132">
        <f t="shared" si="4"/>
        <v>0</v>
      </c>
      <c r="H28" s="132">
        <f t="shared" si="4"/>
        <v>0</v>
      </c>
      <c r="I28" s="134">
        <f t="shared" si="2"/>
        <v>48.916317858954848</v>
      </c>
      <c r="J28" s="134">
        <f t="shared" si="3"/>
        <v>123.41</v>
      </c>
      <c r="K28" s="132">
        <f t="shared" si="5"/>
        <v>0.93</v>
      </c>
      <c r="L28" s="123"/>
      <c r="P28" s="169"/>
    </row>
    <row r="29" spans="2:17">
      <c r="B29" s="140">
        <f t="shared" si="0"/>
        <v>2035</v>
      </c>
      <c r="C29" s="141"/>
      <c r="D29" s="132">
        <f t="shared" si="4"/>
        <v>96.43</v>
      </c>
      <c r="E29" s="132">
        <f t="shared" si="4"/>
        <v>29.7</v>
      </c>
      <c r="F29" s="134">
        <f t="shared" si="1"/>
        <v>49.994450786402851</v>
      </c>
      <c r="G29" s="132">
        <f t="shared" si="4"/>
        <v>0</v>
      </c>
      <c r="H29" s="132">
        <f t="shared" si="4"/>
        <v>0</v>
      </c>
      <c r="I29" s="134">
        <f t="shared" si="2"/>
        <v>49.994450786402851</v>
      </c>
      <c r="J29" s="134">
        <f t="shared" si="3"/>
        <v>126.13</v>
      </c>
      <c r="K29" s="132">
        <f t="shared" si="5"/>
        <v>0.95</v>
      </c>
      <c r="L29" s="123"/>
      <c r="P29" s="169"/>
    </row>
    <row r="30" spans="2:17">
      <c r="B30" s="140">
        <f t="shared" si="0"/>
        <v>2036</v>
      </c>
      <c r="C30" s="141"/>
      <c r="D30" s="132">
        <f t="shared" si="4"/>
        <v>98.55</v>
      </c>
      <c r="E30" s="132">
        <f t="shared" si="4"/>
        <v>30.35</v>
      </c>
      <c r="F30" s="134">
        <f t="shared" si="1"/>
        <v>51.092402333840695</v>
      </c>
      <c r="G30" s="132">
        <f t="shared" si="4"/>
        <v>0</v>
      </c>
      <c r="H30" s="132">
        <f t="shared" si="4"/>
        <v>0</v>
      </c>
      <c r="I30" s="134">
        <f t="shared" si="2"/>
        <v>51.092402333840695</v>
      </c>
      <c r="J30" s="134">
        <f t="shared" si="3"/>
        <v>128.9</v>
      </c>
      <c r="K30" s="132">
        <f t="shared" si="5"/>
        <v>0.97</v>
      </c>
      <c r="L30" s="123"/>
      <c r="P30" s="169"/>
    </row>
    <row r="31" spans="2:17">
      <c r="B31" s="140">
        <f t="shared" si="0"/>
        <v>2037</v>
      </c>
      <c r="C31" s="141"/>
      <c r="D31" s="132">
        <f t="shared" si="4"/>
        <v>100.72</v>
      </c>
      <c r="E31" s="132">
        <f t="shared" si="4"/>
        <v>31.02</v>
      </c>
      <c r="F31" s="134">
        <f t="shared" si="1"/>
        <v>52.218099949264342</v>
      </c>
      <c r="G31" s="132">
        <f t="shared" si="4"/>
        <v>0</v>
      </c>
      <c r="H31" s="132">
        <f t="shared" si="4"/>
        <v>0</v>
      </c>
      <c r="I31" s="134">
        <f t="shared" si="2"/>
        <v>52.218099949264342</v>
      </c>
      <c r="J31" s="134">
        <f t="shared" si="3"/>
        <v>131.74</v>
      </c>
      <c r="K31" s="132">
        <f t="shared" si="5"/>
        <v>0.99</v>
      </c>
      <c r="L31" s="123"/>
      <c r="P31" s="169"/>
    </row>
    <row r="32" spans="2:17">
      <c r="B32" s="140">
        <f t="shared" si="0"/>
        <v>2038</v>
      </c>
      <c r="C32" s="141"/>
      <c r="D32" s="132">
        <f t="shared" si="4"/>
        <v>103.04</v>
      </c>
      <c r="E32" s="132">
        <f t="shared" si="4"/>
        <v>31.73</v>
      </c>
      <c r="F32" s="134">
        <f t="shared" si="1"/>
        <v>53.419108320649428</v>
      </c>
      <c r="G32" s="132">
        <f t="shared" si="4"/>
        <v>0</v>
      </c>
      <c r="H32" s="132">
        <f t="shared" si="4"/>
        <v>0</v>
      </c>
      <c r="I32" s="134">
        <f t="shared" si="2"/>
        <v>53.419108320649428</v>
      </c>
      <c r="J32" s="134">
        <f t="shared" si="3"/>
        <v>134.77000000000001</v>
      </c>
      <c r="K32" s="132">
        <f t="shared" si="5"/>
        <v>1.01</v>
      </c>
      <c r="L32" s="123"/>
      <c r="P32" s="169"/>
    </row>
    <row r="33" spans="2:16">
      <c r="B33" s="140">
        <f t="shared" si="0"/>
        <v>2039</v>
      </c>
      <c r="C33" s="141"/>
      <c r="D33" s="132">
        <f t="shared" si="4"/>
        <v>105.41</v>
      </c>
      <c r="E33" s="132">
        <f t="shared" si="4"/>
        <v>32.46</v>
      </c>
      <c r="F33" s="134">
        <f t="shared" si="1"/>
        <v>54.647862760020303</v>
      </c>
      <c r="G33" s="132">
        <f t="shared" si="4"/>
        <v>0</v>
      </c>
      <c r="H33" s="132">
        <f t="shared" si="4"/>
        <v>0</v>
      </c>
      <c r="I33" s="134">
        <f t="shared" si="2"/>
        <v>54.647862760020303</v>
      </c>
      <c r="J33" s="134">
        <f t="shared" si="3"/>
        <v>137.87</v>
      </c>
      <c r="K33" s="132">
        <f t="shared" si="5"/>
        <v>1.03</v>
      </c>
      <c r="L33" s="123"/>
      <c r="P33" s="169"/>
    </row>
    <row r="34" spans="2:16">
      <c r="B34" s="140">
        <f t="shared" si="0"/>
        <v>2040</v>
      </c>
      <c r="C34" s="141"/>
      <c r="D34" s="132">
        <f t="shared" si="4"/>
        <v>107.83</v>
      </c>
      <c r="E34" s="132">
        <f t="shared" si="4"/>
        <v>33.21</v>
      </c>
      <c r="F34" s="134">
        <f t="shared" si="1"/>
        <v>55.904363267376965</v>
      </c>
      <c r="G34" s="132">
        <f t="shared" si="4"/>
        <v>0</v>
      </c>
      <c r="H34" s="132">
        <f t="shared" si="4"/>
        <v>0</v>
      </c>
      <c r="I34" s="134">
        <f t="shared" si="2"/>
        <v>55.904363267376965</v>
      </c>
      <c r="J34" s="134">
        <f t="shared" si="3"/>
        <v>141.04</v>
      </c>
      <c r="K34" s="132">
        <f t="shared" si="5"/>
        <v>1.05</v>
      </c>
      <c r="L34" s="123"/>
      <c r="P34" s="169"/>
    </row>
    <row r="35" spans="2:16">
      <c r="B35" s="140">
        <f t="shared" si="0"/>
        <v>2041</v>
      </c>
      <c r="C35" s="141"/>
      <c r="D35" s="132">
        <f t="shared" si="4"/>
        <v>110.31</v>
      </c>
      <c r="E35" s="132">
        <f t="shared" si="4"/>
        <v>33.97</v>
      </c>
      <c r="F35" s="134">
        <f t="shared" si="1"/>
        <v>57.188609842719437</v>
      </c>
      <c r="G35" s="132">
        <f t="shared" si="4"/>
        <v>0</v>
      </c>
      <c r="H35" s="132">
        <f t="shared" si="4"/>
        <v>0</v>
      </c>
      <c r="I35" s="134">
        <f t="shared" si="2"/>
        <v>57.188609842719437</v>
      </c>
      <c r="J35" s="134">
        <f t="shared" si="3"/>
        <v>144.28</v>
      </c>
      <c r="K35" s="132">
        <f t="shared" si="5"/>
        <v>1.07</v>
      </c>
      <c r="L35" s="123"/>
      <c r="P35" s="169"/>
    </row>
    <row r="36" spans="2:16">
      <c r="B36" s="140">
        <f t="shared" si="0"/>
        <v>2042</v>
      </c>
      <c r="C36" s="141"/>
      <c r="D36" s="132">
        <f t="shared" si="4"/>
        <v>112.85</v>
      </c>
      <c r="E36" s="132">
        <f t="shared" si="4"/>
        <v>34.75</v>
      </c>
      <c r="F36" s="134">
        <f t="shared" si="1"/>
        <v>58.504566210045667</v>
      </c>
      <c r="G36" s="132">
        <f t="shared" si="4"/>
        <v>0</v>
      </c>
      <c r="H36" s="132">
        <f t="shared" si="4"/>
        <v>0</v>
      </c>
      <c r="I36" s="134">
        <f t="shared" si="2"/>
        <v>58.504566210045667</v>
      </c>
      <c r="J36" s="134">
        <f t="shared" si="3"/>
        <v>147.6</v>
      </c>
      <c r="K36" s="132">
        <f t="shared" si="5"/>
        <v>1.0900000000000001</v>
      </c>
      <c r="L36" s="123"/>
      <c r="P36" s="169"/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OR Solar 2032'!D44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0.0771966024070909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28.8%)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Oregon Solar Resource-2031 - 29%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81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1194.745576268898</v>
      </c>
      <c r="D55" s="121" t="s">
        <v>74</v>
      </c>
      <c r="H55" s="121" t="s">
        <v>9</v>
      </c>
    </row>
    <row r="56" spans="2:24">
      <c r="B56" s="85" t="s">
        <v>111</v>
      </c>
      <c r="C56" s="154">
        <v>19.720289118454605</v>
      </c>
      <c r="D56" s="121" t="s">
        <v>77</v>
      </c>
      <c r="H56" s="121" t="s">
        <v>9</v>
      </c>
    </row>
    <row r="57" spans="2:24">
      <c r="B57" s="85" t="s">
        <v>111</v>
      </c>
      <c r="C57" s="159">
        <v>0.61668809999999996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8"/>
      <c r="Q58" s="52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N59" s="157"/>
      <c r="O59" s="177"/>
      <c r="P59" s="171"/>
      <c r="Q59" s="178"/>
      <c r="R59" s="159"/>
      <c r="S59" s="123"/>
      <c r="T59" s="123"/>
      <c r="U59" s="123"/>
      <c r="V59" s="123"/>
      <c r="W59" s="123"/>
      <c r="X59" s="123"/>
    </row>
    <row r="60" spans="2:24">
      <c r="K60" s="157"/>
      <c r="N60" s="157"/>
      <c r="O60" s="177"/>
      <c r="P60" s="123"/>
      <c r="Q60" s="178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N61" s="164"/>
      <c r="O61" s="164"/>
      <c r="S61" s="123"/>
      <c r="T61" s="123"/>
      <c r="U61" s="123"/>
      <c r="V61" s="123"/>
      <c r="W61" s="123"/>
      <c r="X61" s="123"/>
    </row>
    <row r="62" spans="2:24">
      <c r="C62" s="162">
        <v>7.7196602407090878E-2</v>
      </c>
      <c r="D62" s="121" t="s">
        <v>38</v>
      </c>
      <c r="K62" s="163"/>
      <c r="N62" s="156"/>
      <c r="O62" s="52"/>
      <c r="P62" s="158"/>
    </row>
    <row r="63" spans="2:24">
      <c r="C63" s="168">
        <v>0.28799999999999998</v>
      </c>
      <c r="D63" s="121" t="s">
        <v>39</v>
      </c>
      <c r="N63" s="157"/>
      <c r="O63" s="177"/>
      <c r="P63" s="171"/>
    </row>
    <row r="64" spans="2:24" ht="13.5" thickBot="1">
      <c r="D64" s="160"/>
      <c r="N64" s="157"/>
      <c r="O64" s="177"/>
      <c r="P64" s="123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85"/>
      <c r="I67" s="87">
        <f t="shared" ref="I67:I74" si="8">I66+1</f>
        <v>2036</v>
      </c>
      <c r="J67" s="41">
        <v>2.1999999999999999E-2</v>
      </c>
    </row>
    <row r="68" spans="3:11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85"/>
      <c r="I68" s="87">
        <f t="shared" si="8"/>
        <v>2037</v>
      </c>
      <c r="J68" s="41">
        <v>2.1999999999999999E-2</v>
      </c>
    </row>
    <row r="69" spans="3:11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85"/>
      <c r="I69" s="87">
        <f t="shared" si="8"/>
        <v>2038</v>
      </c>
      <c r="J69" s="41">
        <v>2.3E-2</v>
      </c>
    </row>
    <row r="70" spans="3:11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85"/>
      <c r="I70" s="87">
        <f t="shared" si="8"/>
        <v>2039</v>
      </c>
      <c r="J70" s="41">
        <v>2.3E-2</v>
      </c>
    </row>
    <row r="71" spans="3:11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85"/>
      <c r="I71" s="87">
        <f t="shared" si="8"/>
        <v>2040</v>
      </c>
      <c r="J71" s="41">
        <v>2.3E-2</v>
      </c>
    </row>
    <row r="72" spans="3:11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86"/>
      <c r="I72" s="87">
        <f t="shared" si="8"/>
        <v>2041</v>
      </c>
      <c r="J72" s="41">
        <v>2.3E-2</v>
      </c>
    </row>
    <row r="73" spans="3:11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86"/>
      <c r="I73" s="87">
        <f t="shared" si="8"/>
        <v>2042</v>
      </c>
      <c r="J73" s="41">
        <v>2.3E-2</v>
      </c>
    </row>
    <row r="74" spans="3:11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86"/>
      <c r="I74" s="87">
        <f t="shared" si="8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4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3" width="9.33203125" style="121"/>
    <col min="14" max="14" width="15.83203125" style="121" customWidth="1"/>
    <col min="15" max="15" width="14.83203125" style="172" customWidth="1"/>
    <col min="16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116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7" t="s">
        <v>120</v>
      </c>
      <c r="I5" s="125" t="s">
        <v>70</v>
      </c>
      <c r="J5" s="125" t="s">
        <v>88</v>
      </c>
      <c r="K5" s="17" t="s">
        <v>55</v>
      </c>
      <c r="L5" s="125" t="s">
        <v>71</v>
      </c>
      <c r="N5" s="246" t="s">
        <v>157</v>
      </c>
      <c r="O5" s="246" t="s">
        <v>158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8" t="s">
        <v>33</v>
      </c>
      <c r="I6" s="127" t="s">
        <v>33</v>
      </c>
      <c r="J6" s="127" t="s">
        <v>33</v>
      </c>
      <c r="K6" s="19" t="s">
        <v>9</v>
      </c>
      <c r="L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24</v>
      </c>
      <c r="K7" s="129" t="s">
        <v>25</v>
      </c>
      <c r="L7" s="129" t="s">
        <v>25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(F11+G11+H11)*N11/12+I11*O11/12</f>
        <v>10.713653357219195</v>
      </c>
      <c r="K11" s="134">
        <f t="shared" ref="K11:K36" si="2">ROUND(J11*$C$63*8.76,2)</f>
        <v>36.409999999999997</v>
      </c>
      <c r="L11" s="132">
        <f>$C$57</f>
        <v>0.58600709999999989</v>
      </c>
      <c r="N11" s="121">
        <v>12</v>
      </c>
      <c r="O11" s="121">
        <v>12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(F12+G12+H12)*N12/12+I12*O12/12</f>
        <v>10.965284562267735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N12" s="121">
        <v>12</v>
      </c>
      <c r="O12" s="121">
        <v>12</v>
      </c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27.44</v>
      </c>
      <c r="F13" s="134">
        <f t="shared" si="1"/>
        <v>8.0741787505065687</v>
      </c>
      <c r="G13" s="132">
        <f t="shared" si="4"/>
        <v>1.23</v>
      </c>
      <c r="H13" s="132">
        <f t="shared" si="4"/>
        <v>1.88</v>
      </c>
      <c r="I13" s="132"/>
      <c r="J13" s="134">
        <f t="shared" si="3"/>
        <v>11.184178750506568</v>
      </c>
      <c r="K13" s="134">
        <f t="shared" si="2"/>
        <v>38.01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N13" s="121">
        <v>12</v>
      </c>
      <c r="O13" s="121">
        <v>12</v>
      </c>
    </row>
    <row r="14" spans="2:18">
      <c r="B14" s="140">
        <f t="shared" si="0"/>
        <v>2020</v>
      </c>
      <c r="C14" s="141">
        <f>$C$55</f>
        <v>1293.6882754756971</v>
      </c>
      <c r="D14" s="132">
        <f>C14*$C$62</f>
        <v>68.357849825124617</v>
      </c>
      <c r="E14" s="132">
        <f t="shared" si="4"/>
        <v>28.04</v>
      </c>
      <c r="F14" s="134">
        <f t="shared" si="1"/>
        <v>28.364922399874068</v>
      </c>
      <c r="G14" s="132">
        <f t="shared" si="4"/>
        <v>1.26</v>
      </c>
      <c r="H14" s="132">
        <f t="shared" si="4"/>
        <v>1.92</v>
      </c>
      <c r="I14" s="132">
        <v>-33.15</v>
      </c>
      <c r="J14" s="134">
        <f t="shared" si="3"/>
        <v>-0.2675129333543218</v>
      </c>
      <c r="K14" s="134">
        <f t="shared" si="2"/>
        <v>-0.91</v>
      </c>
      <c r="L14" s="132">
        <f t="shared" si="5"/>
        <v>0.62</v>
      </c>
      <c r="M14" s="123"/>
      <c r="N14" s="121">
        <v>2</v>
      </c>
      <c r="O14" s="121">
        <v>2</v>
      </c>
      <c r="P14" s="137"/>
      <c r="Q14" s="138"/>
      <c r="R14" s="139"/>
    </row>
    <row r="15" spans="2:18">
      <c r="B15" s="140">
        <f t="shared" si="0"/>
        <v>2021</v>
      </c>
      <c r="C15" s="141"/>
      <c r="D15" s="132">
        <f t="shared" si="4"/>
        <v>70</v>
      </c>
      <c r="E15" s="132">
        <f t="shared" si="4"/>
        <v>28.71</v>
      </c>
      <c r="F15" s="134">
        <f t="shared" si="1"/>
        <v>29.045269113064993</v>
      </c>
      <c r="G15" s="132">
        <f t="shared" si="4"/>
        <v>1.29</v>
      </c>
      <c r="H15" s="132">
        <f t="shared" si="4"/>
        <v>1.97</v>
      </c>
      <c r="I15" s="132">
        <v>-34.479999999999997</v>
      </c>
      <c r="J15" s="134">
        <f t="shared" si="3"/>
        <v>-2.1747308869350022</v>
      </c>
      <c r="K15" s="134">
        <f t="shared" si="2"/>
        <v>-7.39</v>
      </c>
      <c r="L15" s="132">
        <f t="shared" si="5"/>
        <v>0.63</v>
      </c>
      <c r="M15" s="123"/>
      <c r="N15" s="121">
        <v>12</v>
      </c>
      <c r="O15" s="121">
        <v>12</v>
      </c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71.680000000000007</v>
      </c>
      <c r="E16" s="132">
        <f t="shared" si="4"/>
        <v>29.4</v>
      </c>
      <c r="F16" s="134">
        <f t="shared" si="1"/>
        <v>29.742638050335422</v>
      </c>
      <c r="G16" s="132">
        <f t="shared" si="4"/>
        <v>1.32</v>
      </c>
      <c r="H16" s="132">
        <f t="shared" si="4"/>
        <v>2.02</v>
      </c>
      <c r="I16" s="132">
        <v>-34.479999999999997</v>
      </c>
      <c r="J16" s="134">
        <f t="shared" si="3"/>
        <v>-1.3973619496645711</v>
      </c>
      <c r="K16" s="134">
        <f t="shared" si="2"/>
        <v>-4.75</v>
      </c>
      <c r="L16" s="132">
        <f t="shared" si="5"/>
        <v>0.65</v>
      </c>
      <c r="M16" s="123"/>
      <c r="N16" s="121">
        <v>12</v>
      </c>
      <c r="O16" s="121">
        <v>12</v>
      </c>
    </row>
    <row r="17" spans="2:17">
      <c r="B17" s="140">
        <f t="shared" si="0"/>
        <v>2023</v>
      </c>
      <c r="C17" s="141"/>
      <c r="D17" s="132">
        <f t="shared" si="4"/>
        <v>73.400000000000006</v>
      </c>
      <c r="E17" s="132">
        <f t="shared" si="4"/>
        <v>30.11</v>
      </c>
      <c r="F17" s="134">
        <f t="shared" si="1"/>
        <v>30.457661897410166</v>
      </c>
      <c r="G17" s="132">
        <f t="shared" si="4"/>
        <v>1.35</v>
      </c>
      <c r="H17" s="132">
        <f t="shared" si="4"/>
        <v>2.0699999999999998</v>
      </c>
      <c r="I17" s="132">
        <v>-35.799999999999997</v>
      </c>
      <c r="J17" s="134">
        <f t="shared" si="3"/>
        <v>-1.9223381025898334</v>
      </c>
      <c r="K17" s="134">
        <f t="shared" si="2"/>
        <v>-6.53</v>
      </c>
      <c r="L17" s="132">
        <f t="shared" si="5"/>
        <v>0.67</v>
      </c>
      <c r="M17" s="123"/>
      <c r="N17" s="121">
        <v>12</v>
      </c>
      <c r="O17" s="121">
        <v>12</v>
      </c>
      <c r="P17" s="137"/>
    </row>
    <row r="18" spans="2:17">
      <c r="B18" s="140">
        <f t="shared" si="0"/>
        <v>2024</v>
      </c>
      <c r="C18" s="141"/>
      <c r="D18" s="132">
        <f t="shared" si="4"/>
        <v>75.16</v>
      </c>
      <c r="E18" s="132">
        <f t="shared" si="4"/>
        <v>30.83</v>
      </c>
      <c r="F18" s="134">
        <f t="shared" si="1"/>
        <v>31.187398169321835</v>
      </c>
      <c r="G18" s="132">
        <f t="shared" si="4"/>
        <v>1.38</v>
      </c>
      <c r="H18" s="132">
        <f t="shared" si="4"/>
        <v>2.12</v>
      </c>
      <c r="I18" s="132">
        <v>-35.799999999999997</v>
      </c>
      <c r="J18" s="134">
        <f t="shared" si="3"/>
        <v>-1.112601830678166</v>
      </c>
      <c r="K18" s="134">
        <f t="shared" si="2"/>
        <v>-3.78</v>
      </c>
      <c r="L18" s="132">
        <f t="shared" si="5"/>
        <v>0.69</v>
      </c>
      <c r="M18" s="123"/>
      <c r="N18" s="121">
        <v>12</v>
      </c>
      <c r="O18" s="121">
        <v>12</v>
      </c>
    </row>
    <row r="19" spans="2:17">
      <c r="B19" s="140">
        <f t="shared" si="0"/>
        <v>2025</v>
      </c>
      <c r="C19" s="141"/>
      <c r="D19" s="132">
        <f t="shared" si="4"/>
        <v>76.89</v>
      </c>
      <c r="E19" s="132">
        <f t="shared" si="4"/>
        <v>31.54</v>
      </c>
      <c r="F19" s="134">
        <f t="shared" si="1"/>
        <v>31.905364501363966</v>
      </c>
      <c r="G19" s="132">
        <f t="shared" si="4"/>
        <v>1.41</v>
      </c>
      <c r="H19" s="132">
        <f t="shared" si="4"/>
        <v>2.17</v>
      </c>
      <c r="I19" s="132">
        <v>-37.130000000000003</v>
      </c>
      <c r="J19" s="134">
        <f t="shared" si="3"/>
        <v>-1.6446354986360348</v>
      </c>
      <c r="K19" s="134">
        <f t="shared" si="2"/>
        <v>-5.59</v>
      </c>
      <c r="L19" s="132">
        <f t="shared" si="5"/>
        <v>0.71</v>
      </c>
      <c r="M19" s="123"/>
      <c r="N19" s="121">
        <v>12</v>
      </c>
      <c r="O19" s="121">
        <v>12</v>
      </c>
    </row>
    <row r="20" spans="2:17">
      <c r="B20" s="140">
        <f t="shared" si="0"/>
        <v>2026</v>
      </c>
      <c r="C20" s="141"/>
      <c r="D20" s="132">
        <f t="shared" si="4"/>
        <v>78.66</v>
      </c>
      <c r="E20" s="132">
        <f t="shared" si="4"/>
        <v>32.270000000000003</v>
      </c>
      <c r="F20" s="134">
        <f t="shared" si="1"/>
        <v>32.640985743210415</v>
      </c>
      <c r="G20" s="132">
        <f t="shared" si="4"/>
        <v>1.44</v>
      </c>
      <c r="H20" s="132">
        <f t="shared" si="4"/>
        <v>2.2200000000000002</v>
      </c>
      <c r="I20" s="132">
        <v>-37.130000000000003</v>
      </c>
      <c r="J20" s="134">
        <f t="shared" si="3"/>
        <v>-0.82901425678959129</v>
      </c>
      <c r="K20" s="134">
        <f t="shared" si="2"/>
        <v>-2.82</v>
      </c>
      <c r="L20" s="132">
        <f t="shared" si="5"/>
        <v>0.73</v>
      </c>
      <c r="M20" s="123"/>
      <c r="N20" s="121">
        <v>12</v>
      </c>
      <c r="O20" s="121">
        <v>12</v>
      </c>
      <c r="Q20" s="170"/>
    </row>
    <row r="21" spans="2:17">
      <c r="B21" s="140">
        <f t="shared" si="0"/>
        <v>2027</v>
      </c>
      <c r="C21" s="141"/>
      <c r="D21" s="132">
        <f t="shared" si="4"/>
        <v>80.47</v>
      </c>
      <c r="E21" s="132">
        <f t="shared" si="4"/>
        <v>33.01</v>
      </c>
      <c r="F21" s="134">
        <f t="shared" si="1"/>
        <v>33.391319409893782</v>
      </c>
      <c r="G21" s="132">
        <f t="shared" si="4"/>
        <v>1.47</v>
      </c>
      <c r="H21" s="132">
        <f t="shared" si="4"/>
        <v>2.27</v>
      </c>
      <c r="I21" s="132">
        <v>-38.450000000000003</v>
      </c>
      <c r="J21" s="134">
        <f t="shared" si="3"/>
        <v>-1.3186805901062186</v>
      </c>
      <c r="K21" s="134">
        <f t="shared" si="2"/>
        <v>-4.4800000000000004</v>
      </c>
      <c r="L21" s="132">
        <f t="shared" si="5"/>
        <v>0.75</v>
      </c>
      <c r="M21" s="123"/>
      <c r="N21" s="121">
        <v>12</v>
      </c>
      <c r="O21" s="121">
        <v>12</v>
      </c>
    </row>
    <row r="22" spans="2:17">
      <c r="B22" s="140">
        <f t="shared" si="0"/>
        <v>2028</v>
      </c>
      <c r="C22" s="141"/>
      <c r="D22" s="132">
        <f t="shared" si="4"/>
        <v>82.4</v>
      </c>
      <c r="E22" s="132">
        <f t="shared" si="4"/>
        <v>33.799999999999997</v>
      </c>
      <c r="F22" s="134">
        <f t="shared" si="1"/>
        <v>34.191675321022714</v>
      </c>
      <c r="G22" s="132">
        <f t="shared" si="4"/>
        <v>1.51</v>
      </c>
      <c r="H22" s="132">
        <f t="shared" si="4"/>
        <v>2.3199999999999998</v>
      </c>
      <c r="I22" s="132">
        <v>-38.450000000000003</v>
      </c>
      <c r="J22" s="134">
        <f t="shared" si="3"/>
        <v>-0.42832467897729032</v>
      </c>
      <c r="K22" s="134">
        <f t="shared" si="2"/>
        <v>-1.46</v>
      </c>
      <c r="L22" s="132">
        <f t="shared" si="5"/>
        <v>0.77</v>
      </c>
      <c r="M22" s="123"/>
      <c r="N22" s="121">
        <v>12</v>
      </c>
      <c r="O22" s="121">
        <v>12</v>
      </c>
    </row>
    <row r="23" spans="2:17">
      <c r="B23" s="140">
        <f t="shared" si="0"/>
        <v>2029</v>
      </c>
      <c r="C23" s="141"/>
      <c r="D23" s="132">
        <f t="shared" si="4"/>
        <v>84.38</v>
      </c>
      <c r="E23" s="132">
        <f t="shared" si="4"/>
        <v>34.61</v>
      </c>
      <c r="F23" s="134">
        <f t="shared" si="1"/>
        <v>35.012628626923345</v>
      </c>
      <c r="G23" s="132">
        <f t="shared" si="4"/>
        <v>1.55</v>
      </c>
      <c r="H23" s="132">
        <f t="shared" si="4"/>
        <v>2.38</v>
      </c>
      <c r="I23" s="132">
        <v>-39.78</v>
      </c>
      <c r="J23" s="134">
        <f t="shared" si="3"/>
        <v>-0.83737137307665677</v>
      </c>
      <c r="K23" s="134">
        <f t="shared" si="2"/>
        <v>-2.85</v>
      </c>
      <c r="L23" s="132">
        <f t="shared" si="5"/>
        <v>0.79</v>
      </c>
      <c r="M23" s="123"/>
      <c r="N23" s="121">
        <v>12</v>
      </c>
      <c r="O23" s="121">
        <v>12</v>
      </c>
    </row>
    <row r="24" spans="2:17">
      <c r="B24" s="140">
        <f t="shared" si="0"/>
        <v>2030</v>
      </c>
      <c r="C24" s="141"/>
      <c r="D24" s="132">
        <f t="shared" si="4"/>
        <v>86.32</v>
      </c>
      <c r="E24" s="132">
        <f t="shared" si="4"/>
        <v>35.409999999999997</v>
      </c>
      <c r="F24" s="134">
        <f t="shared" si="1"/>
        <v>35.818869507987046</v>
      </c>
      <c r="G24" s="132">
        <f t="shared" si="4"/>
        <v>1.59</v>
      </c>
      <c r="H24" s="132">
        <f t="shared" si="4"/>
        <v>2.4300000000000002</v>
      </c>
      <c r="I24" s="132">
        <v>-41.11</v>
      </c>
      <c r="J24" s="134">
        <f t="shared" si="3"/>
        <v>5.5805361746537159</v>
      </c>
      <c r="K24" s="134">
        <f t="shared" si="2"/>
        <v>18.97</v>
      </c>
      <c r="L24" s="132">
        <f t="shared" si="5"/>
        <v>0.81</v>
      </c>
      <c r="M24" s="123"/>
      <c r="N24" s="121">
        <v>12</v>
      </c>
      <c r="O24" s="121">
        <v>10</v>
      </c>
    </row>
    <row r="25" spans="2:17">
      <c r="B25" s="140">
        <f t="shared" si="0"/>
        <v>2031</v>
      </c>
      <c r="C25" s="141"/>
      <c r="D25" s="132">
        <f t="shared" si="4"/>
        <v>88.31</v>
      </c>
      <c r="E25" s="132">
        <f t="shared" si="4"/>
        <v>36.22</v>
      </c>
      <c r="F25" s="134">
        <f t="shared" si="1"/>
        <v>36.642765298855068</v>
      </c>
      <c r="G25" s="132">
        <f t="shared" si="4"/>
        <v>1.63</v>
      </c>
      <c r="H25" s="132">
        <f t="shared" si="4"/>
        <v>2.4900000000000002</v>
      </c>
      <c r="I25" s="132"/>
      <c r="J25" s="134">
        <f t="shared" si="3"/>
        <v>40.762765298855072</v>
      </c>
      <c r="K25" s="134">
        <f t="shared" si="2"/>
        <v>138.53</v>
      </c>
      <c r="L25" s="132">
        <f t="shared" si="5"/>
        <v>0.83</v>
      </c>
      <c r="M25" s="123"/>
      <c r="N25" s="121">
        <v>12</v>
      </c>
      <c r="O25" s="121"/>
    </row>
    <row r="26" spans="2:17">
      <c r="B26" s="140">
        <f t="shared" si="0"/>
        <v>2032</v>
      </c>
      <c r="C26" s="141"/>
      <c r="D26" s="132">
        <f t="shared" si="4"/>
        <v>90.34</v>
      </c>
      <c r="E26" s="132">
        <f t="shared" si="4"/>
        <v>37.049999999999997</v>
      </c>
      <c r="F26" s="134">
        <f t="shared" si="1"/>
        <v>37.484315999527396</v>
      </c>
      <c r="G26" s="132">
        <f t="shared" si="4"/>
        <v>1.67</v>
      </c>
      <c r="H26" s="132">
        <f t="shared" si="4"/>
        <v>2.5499999999999998</v>
      </c>
      <c r="I26" s="132"/>
      <c r="J26" s="134">
        <f t="shared" si="3"/>
        <v>41.704315999527395</v>
      </c>
      <c r="K26" s="134">
        <f t="shared" si="2"/>
        <v>141.72999999999999</v>
      </c>
      <c r="L26" s="132">
        <f t="shared" si="5"/>
        <v>0.85</v>
      </c>
      <c r="M26" s="123"/>
      <c r="N26" s="121">
        <v>12</v>
      </c>
      <c r="O26" s="121"/>
    </row>
    <row r="27" spans="2:17">
      <c r="B27" s="140">
        <f t="shared" si="0"/>
        <v>2033</v>
      </c>
      <c r="C27" s="141"/>
      <c r="D27" s="132">
        <f t="shared" si="4"/>
        <v>92.42</v>
      </c>
      <c r="E27" s="132">
        <f t="shared" si="4"/>
        <v>37.9</v>
      </c>
      <c r="F27" s="134">
        <f t="shared" si="1"/>
        <v>38.346464094971424</v>
      </c>
      <c r="G27" s="132">
        <f t="shared" si="4"/>
        <v>1.71</v>
      </c>
      <c r="H27" s="132">
        <f t="shared" si="4"/>
        <v>2.61</v>
      </c>
      <c r="I27" s="132"/>
      <c r="J27" s="134">
        <f t="shared" si="3"/>
        <v>42.666464094971424</v>
      </c>
      <c r="K27" s="134">
        <f t="shared" si="2"/>
        <v>145</v>
      </c>
      <c r="L27" s="132">
        <f t="shared" si="5"/>
        <v>0.87</v>
      </c>
      <c r="M27" s="123"/>
      <c r="N27" s="121">
        <v>12</v>
      </c>
      <c r="O27" s="121"/>
    </row>
    <row r="28" spans="2:17">
      <c r="B28" s="140">
        <f t="shared" si="0"/>
        <v>2034</v>
      </c>
      <c r="C28" s="141"/>
      <c r="D28" s="132">
        <f t="shared" si="4"/>
        <v>94.55</v>
      </c>
      <c r="E28" s="132">
        <f t="shared" si="4"/>
        <v>38.770000000000003</v>
      </c>
      <c r="F28" s="134">
        <f t="shared" si="1"/>
        <v>39.229209585187157</v>
      </c>
      <c r="G28" s="132">
        <f t="shared" si="4"/>
        <v>1.75</v>
      </c>
      <c r="H28" s="132">
        <f t="shared" si="4"/>
        <v>2.67</v>
      </c>
      <c r="I28" s="132"/>
      <c r="J28" s="134">
        <f t="shared" si="3"/>
        <v>43.649209585187158</v>
      </c>
      <c r="K28" s="134">
        <f t="shared" si="2"/>
        <v>148.34</v>
      </c>
      <c r="L28" s="132">
        <f t="shared" si="5"/>
        <v>0.89</v>
      </c>
      <c r="M28" s="123"/>
      <c r="N28" s="121">
        <v>12</v>
      </c>
      <c r="O28" s="121"/>
    </row>
    <row r="29" spans="2:17">
      <c r="B29" s="140">
        <f t="shared" si="0"/>
        <v>2035</v>
      </c>
      <c r="C29" s="141"/>
      <c r="D29" s="132">
        <f t="shared" si="4"/>
        <v>96.63</v>
      </c>
      <c r="E29" s="132">
        <f t="shared" si="4"/>
        <v>39.619999999999997</v>
      </c>
      <c r="F29" s="134">
        <f t="shared" si="1"/>
        <v>40.091357680631191</v>
      </c>
      <c r="G29" s="132">
        <f t="shared" si="4"/>
        <v>1.79</v>
      </c>
      <c r="H29" s="132">
        <f t="shared" si="4"/>
        <v>2.73</v>
      </c>
      <c r="I29" s="132"/>
      <c r="J29" s="134">
        <f t="shared" si="3"/>
        <v>44.611357680631187</v>
      </c>
      <c r="K29" s="134">
        <f t="shared" si="2"/>
        <v>151.61000000000001</v>
      </c>
      <c r="L29" s="132">
        <f t="shared" si="5"/>
        <v>0.91</v>
      </c>
      <c r="M29" s="123"/>
      <c r="N29" s="121">
        <v>12</v>
      </c>
      <c r="O29" s="121"/>
    </row>
    <row r="30" spans="2:17">
      <c r="B30" s="140">
        <f t="shared" si="0"/>
        <v>2036</v>
      </c>
      <c r="C30" s="141"/>
      <c r="D30" s="132">
        <f t="shared" si="4"/>
        <v>98.76</v>
      </c>
      <c r="E30" s="132">
        <f t="shared" si="4"/>
        <v>40.49</v>
      </c>
      <c r="F30" s="134">
        <f t="shared" si="1"/>
        <v>40.974103170846924</v>
      </c>
      <c r="G30" s="132">
        <f t="shared" si="4"/>
        <v>1.83</v>
      </c>
      <c r="H30" s="132">
        <f t="shared" si="4"/>
        <v>2.79</v>
      </c>
      <c r="I30" s="132"/>
      <c r="J30" s="134">
        <f t="shared" si="3"/>
        <v>45.594103170846921</v>
      </c>
      <c r="K30" s="134">
        <f t="shared" si="2"/>
        <v>154.94999999999999</v>
      </c>
      <c r="L30" s="132">
        <f t="shared" si="5"/>
        <v>0.93</v>
      </c>
      <c r="M30" s="123"/>
      <c r="N30" s="121">
        <v>12</v>
      </c>
      <c r="O30" s="121"/>
    </row>
    <row r="31" spans="2:17">
      <c r="B31" s="140">
        <f t="shared" si="0"/>
        <v>2037</v>
      </c>
      <c r="C31" s="141"/>
      <c r="D31" s="132">
        <f t="shared" si="4"/>
        <v>100.93</v>
      </c>
      <c r="E31" s="132">
        <f t="shared" si="4"/>
        <v>41.38</v>
      </c>
      <c r="F31" s="134">
        <f t="shared" si="1"/>
        <v>41.874503570866977</v>
      </c>
      <c r="G31" s="132">
        <f t="shared" si="4"/>
        <v>1.87</v>
      </c>
      <c r="H31" s="132">
        <f t="shared" si="4"/>
        <v>2.85</v>
      </c>
      <c r="I31" s="132"/>
      <c r="J31" s="134">
        <f t="shared" si="3"/>
        <v>46.594503570866976</v>
      </c>
      <c r="K31" s="134">
        <f t="shared" si="2"/>
        <v>158.35</v>
      </c>
      <c r="L31" s="132">
        <f t="shared" si="5"/>
        <v>0.95</v>
      </c>
      <c r="M31" s="123"/>
      <c r="N31" s="121">
        <v>12</v>
      </c>
      <c r="O31" s="121"/>
    </row>
    <row r="32" spans="2:17">
      <c r="B32" s="140">
        <f t="shared" si="0"/>
        <v>2038</v>
      </c>
      <c r="C32" s="141"/>
      <c r="D32" s="132">
        <f t="shared" si="4"/>
        <v>103.25</v>
      </c>
      <c r="E32" s="132">
        <f t="shared" si="4"/>
        <v>42.33</v>
      </c>
      <c r="F32" s="134">
        <f t="shared" si="1"/>
        <v>42.836696155202119</v>
      </c>
      <c r="G32" s="132">
        <f t="shared" si="4"/>
        <v>1.91</v>
      </c>
      <c r="H32" s="132">
        <f t="shared" si="4"/>
        <v>2.92</v>
      </c>
      <c r="I32" s="132"/>
      <c r="J32" s="134">
        <f t="shared" si="3"/>
        <v>47.666696155202118</v>
      </c>
      <c r="K32" s="134">
        <f t="shared" si="2"/>
        <v>161.99</v>
      </c>
      <c r="L32" s="132">
        <f t="shared" si="5"/>
        <v>0.97</v>
      </c>
      <c r="M32" s="123"/>
      <c r="N32" s="121">
        <v>12</v>
      </c>
      <c r="O32" s="121"/>
    </row>
    <row r="33" spans="2:15">
      <c r="B33" s="140">
        <f t="shared" si="0"/>
        <v>2039</v>
      </c>
      <c r="C33" s="141"/>
      <c r="D33" s="132">
        <f t="shared" si="4"/>
        <v>105.62</v>
      </c>
      <c r="E33" s="132">
        <f t="shared" si="4"/>
        <v>43.3</v>
      </c>
      <c r="F33" s="134">
        <f t="shared" si="1"/>
        <v>43.819486134308974</v>
      </c>
      <c r="G33" s="132">
        <f t="shared" si="4"/>
        <v>1.95</v>
      </c>
      <c r="H33" s="132">
        <f t="shared" si="4"/>
        <v>2.99</v>
      </c>
      <c r="I33" s="132"/>
      <c r="J33" s="134">
        <f t="shared" si="3"/>
        <v>48.759486134308979</v>
      </c>
      <c r="K33" s="134">
        <f t="shared" si="2"/>
        <v>165.71</v>
      </c>
      <c r="L33" s="132">
        <f t="shared" si="5"/>
        <v>0.99</v>
      </c>
      <c r="M33" s="123"/>
      <c r="N33" s="121">
        <v>12</v>
      </c>
      <c r="O33" s="121"/>
    </row>
    <row r="34" spans="2:15">
      <c r="B34" s="140">
        <f t="shared" si="0"/>
        <v>2040</v>
      </c>
      <c r="C34" s="141"/>
      <c r="D34" s="132">
        <f t="shared" si="4"/>
        <v>108.05</v>
      </c>
      <c r="E34" s="132">
        <f t="shared" si="4"/>
        <v>44.3</v>
      </c>
      <c r="F34" s="134">
        <f t="shared" si="1"/>
        <v>44.828758478122289</v>
      </c>
      <c r="G34" s="132">
        <f t="shared" si="4"/>
        <v>1.99</v>
      </c>
      <c r="H34" s="132">
        <f t="shared" si="4"/>
        <v>3.06</v>
      </c>
      <c r="I34" s="132"/>
      <c r="J34" s="134">
        <f t="shared" si="3"/>
        <v>49.8787584781223</v>
      </c>
      <c r="K34" s="134">
        <f t="shared" si="2"/>
        <v>169.51</v>
      </c>
      <c r="L34" s="132">
        <f t="shared" si="5"/>
        <v>1.01</v>
      </c>
      <c r="M34" s="123"/>
      <c r="N34" s="121">
        <v>12</v>
      </c>
      <c r="O34" s="121"/>
    </row>
    <row r="35" spans="2:15">
      <c r="B35" s="140">
        <f t="shared" si="0"/>
        <v>2041</v>
      </c>
      <c r="C35" s="141"/>
      <c r="D35" s="132">
        <f t="shared" si="4"/>
        <v>110.54</v>
      </c>
      <c r="E35" s="132">
        <f t="shared" si="4"/>
        <v>45.32</v>
      </c>
      <c r="F35" s="134">
        <f t="shared" si="1"/>
        <v>45.861570701674701</v>
      </c>
      <c r="G35" s="132">
        <f t="shared" si="4"/>
        <v>2.04</v>
      </c>
      <c r="H35" s="132">
        <f t="shared" si="4"/>
        <v>3.13</v>
      </c>
      <c r="I35" s="132"/>
      <c r="J35" s="134">
        <f t="shared" si="3"/>
        <v>51.031570701674703</v>
      </c>
      <c r="K35" s="134">
        <f t="shared" si="2"/>
        <v>173.43</v>
      </c>
      <c r="L35" s="132">
        <f t="shared" si="5"/>
        <v>1.03</v>
      </c>
      <c r="M35" s="123"/>
      <c r="N35" s="121">
        <v>12</v>
      </c>
      <c r="O35" s="121"/>
    </row>
    <row r="36" spans="2:15">
      <c r="B36" s="140">
        <f t="shared" si="0"/>
        <v>2042</v>
      </c>
      <c r="C36" s="141"/>
      <c r="D36" s="132">
        <f t="shared" si="4"/>
        <v>113.08</v>
      </c>
      <c r="E36" s="132">
        <f t="shared" si="4"/>
        <v>46.36</v>
      </c>
      <c r="F36" s="134">
        <f t="shared" si="1"/>
        <v>46.914980319998804</v>
      </c>
      <c r="G36" s="132">
        <f t="shared" si="4"/>
        <v>2.09</v>
      </c>
      <c r="H36" s="132">
        <f t="shared" si="4"/>
        <v>3.2</v>
      </c>
      <c r="I36" s="132"/>
      <c r="J36" s="134">
        <f t="shared" si="3"/>
        <v>52.204980319998811</v>
      </c>
      <c r="K36" s="134">
        <f t="shared" si="2"/>
        <v>177.42</v>
      </c>
      <c r="L36" s="132">
        <f t="shared" si="5"/>
        <v>1.05</v>
      </c>
      <c r="M36" s="123"/>
      <c r="N36" s="121">
        <v>12</v>
      </c>
      <c r="O36" s="121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27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72</v>
      </c>
      <c r="C44" s="146" t="s">
        <v>73</v>
      </c>
      <c r="D44" s="147" t="s">
        <v>117</v>
      </c>
    </row>
    <row r="45" spans="2:15">
      <c r="C45" s="146" t="str">
        <f>C7</f>
        <v>(a)</v>
      </c>
      <c r="D45" s="121" t="s">
        <v>74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112</v>
      </c>
      <c r="C55" s="185">
        <v>1293.6882754756971</v>
      </c>
      <c r="D55" s="121" t="s">
        <v>74</v>
      </c>
      <c r="I55" s="121" t="s">
        <v>9</v>
      </c>
    </row>
    <row r="56" spans="2:24">
      <c r="B56" s="85" t="s">
        <v>111</v>
      </c>
      <c r="C56" s="154">
        <v>26.293898611068769</v>
      </c>
      <c r="D56" s="121" t="s">
        <v>77</v>
      </c>
      <c r="I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I57" s="121" t="s">
        <v>79</v>
      </c>
    </row>
    <row r="58" spans="2:24">
      <c r="B58" s="85" t="s">
        <v>111</v>
      </c>
      <c r="C58" s="154">
        <v>1.1816399331260157</v>
      </c>
      <c r="D58" s="121" t="s">
        <v>78</v>
      </c>
      <c r="I58" s="121" t="s">
        <v>79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>
        <v>-12.501261943267853</v>
      </c>
      <c r="D59" s="121" t="s">
        <v>80</v>
      </c>
      <c r="I59" s="121" t="s">
        <v>79</v>
      </c>
      <c r="J59" s="220" t="s">
        <v>115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111</v>
      </c>
      <c r="C60" s="159">
        <v>1.7950732843896238</v>
      </c>
      <c r="D60" s="121" t="s">
        <v>114</v>
      </c>
      <c r="I60" s="121" t="s">
        <v>79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38</v>
      </c>
      <c r="L62" s="163"/>
      <c r="M62" s="164"/>
      <c r="N62" s="164"/>
      <c r="P62" s="165"/>
    </row>
    <row r="63" spans="2:24">
      <c r="C63" s="237">
        <v>0.38795525688946075</v>
      </c>
      <c r="D63" s="121" t="s">
        <v>39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2.1999999999999999E-2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41"/>
      <c r="I67" s="87">
        <f t="shared" ref="I67:I74" si="8">I66+1</f>
        <v>2036</v>
      </c>
      <c r="J67" s="41">
        <v>2.1999999999999999E-2</v>
      </c>
    </row>
    <row r="68" spans="3:15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41"/>
      <c r="I68" s="87">
        <f t="shared" si="8"/>
        <v>2037</v>
      </c>
      <c r="J68" s="41">
        <v>2.1999999999999999E-2</v>
      </c>
    </row>
    <row r="69" spans="3:15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41"/>
      <c r="I69" s="87">
        <f t="shared" si="8"/>
        <v>2038</v>
      </c>
      <c r="J69" s="41">
        <v>2.3E-2</v>
      </c>
    </row>
    <row r="70" spans="3:15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2.3E-2</v>
      </c>
    </row>
    <row r="71" spans="3:15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2.3E-2</v>
      </c>
    </row>
    <row r="72" spans="3:15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2.3E-2</v>
      </c>
      <c r="O72" s="175"/>
    </row>
    <row r="73" spans="3:15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41"/>
      <c r="I73" s="87">
        <f t="shared" si="8"/>
        <v>2042</v>
      </c>
      <c r="J73" s="41">
        <v>2.3E-2</v>
      </c>
      <c r="O73" s="175"/>
    </row>
    <row r="74" spans="3:15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41"/>
      <c r="I74" s="87">
        <f t="shared" si="8"/>
        <v>2043</v>
      </c>
      <c r="J74" s="41">
        <v>2.3E-2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8" width="9.83203125" style="121" customWidth="1"/>
    <col min="9" max="9" width="10.5" style="121" customWidth="1"/>
    <col min="10" max="11" width="12.5" style="121" customWidth="1"/>
    <col min="12" max="12" width="13.83203125" style="121" customWidth="1"/>
    <col min="13" max="14" width="9.33203125" style="121"/>
    <col min="15" max="15" width="9.33203125" style="172"/>
    <col min="16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8" ht="15.75">
      <c r="B2" s="119" t="s">
        <v>116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2:18" ht="15.75">
      <c r="B3" s="119" t="str">
        <f>TEXT($C$63,"0%")&amp;" Capacity Factor"</f>
        <v>39% Capacity Factor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8">
      <c r="B4" s="122"/>
      <c r="C4" s="122"/>
      <c r="D4" s="122"/>
      <c r="E4" s="122"/>
      <c r="F4" s="122"/>
      <c r="G4" s="122"/>
      <c r="H4" s="122"/>
      <c r="I4" s="122"/>
      <c r="J4" s="123"/>
      <c r="K4" s="123"/>
      <c r="L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7" t="s">
        <v>120</v>
      </c>
      <c r="I5" s="125" t="s">
        <v>70</v>
      </c>
      <c r="J5" s="125" t="s">
        <v>88</v>
      </c>
      <c r="K5" s="17" t="s">
        <v>55</v>
      </c>
      <c r="L5" s="125" t="s">
        <v>71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8" t="s">
        <v>33</v>
      </c>
      <c r="I6" s="127" t="s">
        <v>33</v>
      </c>
      <c r="J6" s="127" t="s">
        <v>33</v>
      </c>
      <c r="K6" s="19" t="s">
        <v>9</v>
      </c>
      <c r="L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/>
      <c r="I7" s="129" t="s">
        <v>7</v>
      </c>
      <c r="J7" s="129" t="s">
        <v>24</v>
      </c>
      <c r="K7" s="129" t="s">
        <v>25</v>
      </c>
      <c r="L7" s="129" t="s">
        <v>25</v>
      </c>
    </row>
    <row r="8" spans="2:18" ht="6" customHeight="1">
      <c r="L8" s="123"/>
    </row>
    <row r="9" spans="2:18" ht="15.75">
      <c r="B9" s="43" t="str">
        <f>C52</f>
        <v>2017 IRP Update Wyoming Wind Resource - 39% Capacity Factor</v>
      </c>
      <c r="C9" s="123"/>
      <c r="E9" s="123"/>
      <c r="F9" s="123"/>
      <c r="G9" s="123"/>
      <c r="H9" s="123"/>
      <c r="I9" s="123"/>
      <c r="J9" s="123"/>
      <c r="K9" s="123"/>
      <c r="L9" s="123"/>
      <c r="O9" s="121"/>
    </row>
    <row r="10" spans="2:18">
      <c r="B10" s="130">
        <v>2016</v>
      </c>
      <c r="C10" s="131"/>
      <c r="D10" s="132"/>
      <c r="E10" s="132"/>
      <c r="F10" s="133"/>
      <c r="G10" s="133"/>
      <c r="H10" s="133"/>
      <c r="I10" s="132"/>
      <c r="J10" s="134"/>
      <c r="K10" s="134"/>
      <c r="L10" s="132"/>
      <c r="O10" s="173"/>
    </row>
    <row r="11" spans="2:18">
      <c r="B11" s="130">
        <f t="shared" ref="B11:B36" si="0">B10+1</f>
        <v>2017</v>
      </c>
      <c r="C11" s="136"/>
      <c r="D11" s="132"/>
      <c r="E11" s="132">
        <f>$C$56</f>
        <v>26.293898611068769</v>
      </c>
      <c r="F11" s="133">
        <f t="shared" ref="F11:F36" si="1">(D11+E11)/(8.76*$C$63)</f>
        <v>7.7369401397035578</v>
      </c>
      <c r="G11" s="132">
        <f>$C$58</f>
        <v>1.1816399331260157</v>
      </c>
      <c r="H11" s="132">
        <f>$C$60</f>
        <v>1.7950732843896238</v>
      </c>
      <c r="I11" s="132"/>
      <c r="J11" s="134">
        <f>F11+I11+G11+H11</f>
        <v>10.713653357219197</v>
      </c>
      <c r="K11" s="134">
        <f t="shared" ref="K11:K36" si="2">ROUND(J11*$C$63*8.76,2)</f>
        <v>36.409999999999997</v>
      </c>
      <c r="L11" s="132">
        <f>$C$57</f>
        <v>0.58600709999999989</v>
      </c>
      <c r="O11" s="173"/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26.9</v>
      </c>
      <c r="F12" s="134">
        <f t="shared" si="1"/>
        <v>7.9152845622677361</v>
      </c>
      <c r="G12" s="132">
        <f>ROUND(G11*(1+(IFERROR(INDEX($D$66:$D$74,MATCH($B12,$C$66:$C$74,0),1),0)+IFERROR(INDEX($G$66:$G$74,MATCH($B12,$F$66:$F$74,0),1),0)+IFERROR(INDEX($J$66:$J$74,MATCH($B12,$I$66:$I$74,0),1),0))),2)</f>
        <v>1.21</v>
      </c>
      <c r="H12" s="132">
        <f>ROUND(H11*(1+(IFERROR(INDEX($D$66:$D$74,MATCH($B12,$C$66:$C$74,0),1),0)+IFERROR(INDEX($G$66:$G$74,MATCH($B12,$F$66:$F$74,0),1),0)+IFERROR(INDEX($J$66:$J$74,MATCH($B12,$I$66:$I$74,0),1),0))),2)</f>
        <v>1.84</v>
      </c>
      <c r="I12" s="132"/>
      <c r="J12" s="134">
        <f t="shared" ref="J12:J36" si="3">F12+I12+G12+H12</f>
        <v>10.965284562267737</v>
      </c>
      <c r="K12" s="134">
        <f t="shared" si="2"/>
        <v>37.270000000000003</v>
      </c>
      <c r="L12" s="132">
        <f>ROUND(L11*(1+(IFERROR(INDEX($D$66:$D$74,MATCH($B12,$C$66:$C$74,0),1),0)+IFERROR(INDEX($G$66:$G$74,MATCH($B12,$F$66:$F$74,0),1),0)+IFERROR(INDEX($J$66:$J$74,MATCH($B12,$I$66:$I$74,0),1),0))),2)</f>
        <v>0.6</v>
      </c>
      <c r="M12" s="123"/>
      <c r="O12" s="173"/>
    </row>
    <row r="13" spans="2:18">
      <c r="B13" s="140">
        <f t="shared" si="0"/>
        <v>2019</v>
      </c>
      <c r="C13" s="141"/>
      <c r="D13" s="132"/>
      <c r="E13" s="132">
        <f t="shared" ref="D13:H36" si="4">ROUND(E12*(1+(IFERROR(INDEX($D$66:$D$74,MATCH($B13,$C$66:$C$74,0),1),0)+IFERROR(INDEX($G$66:$G$74,MATCH($B13,$F$66:$F$74,0),1),0)+IFERROR(INDEX($J$66:$J$74,MATCH($B13,$I$66:$I$74,0),1),0))),2)</f>
        <v>27.44</v>
      </c>
      <c r="F13" s="134">
        <f t="shared" si="1"/>
        <v>8.0741787505065687</v>
      </c>
      <c r="G13" s="132">
        <f t="shared" si="4"/>
        <v>1.23</v>
      </c>
      <c r="H13" s="132">
        <f t="shared" si="4"/>
        <v>1.88</v>
      </c>
      <c r="I13" s="132"/>
      <c r="J13" s="134">
        <f t="shared" si="3"/>
        <v>11.184178750506568</v>
      </c>
      <c r="K13" s="134">
        <f t="shared" si="2"/>
        <v>38.01</v>
      </c>
      <c r="L13" s="132">
        <f t="shared" ref="L13:L36" si="5">ROUND(L12*(1+(IFERROR(INDEX($D$66:$D$74,MATCH($B13,$C$66:$C$74,0),1),0)+IFERROR(INDEX($G$66:$G$74,MATCH($B13,$F$66:$F$74,0),1),0)+IFERROR(INDEX($J$66:$J$74,MATCH($B13,$I$66:$I$74,0),1),0))),2)</f>
        <v>0.61</v>
      </c>
      <c r="M13" s="123"/>
      <c r="O13" s="173"/>
    </row>
    <row r="14" spans="2:18">
      <c r="B14" s="140">
        <f t="shared" si="0"/>
        <v>2020</v>
      </c>
      <c r="C14" s="141"/>
      <c r="D14" s="132"/>
      <c r="E14" s="132">
        <f t="shared" si="4"/>
        <v>28.04</v>
      </c>
      <c r="F14" s="134">
        <f t="shared" si="1"/>
        <v>8.2507278485497153</v>
      </c>
      <c r="G14" s="132">
        <f t="shared" si="4"/>
        <v>1.26</v>
      </c>
      <c r="H14" s="132">
        <f t="shared" si="4"/>
        <v>1.92</v>
      </c>
      <c r="I14" s="132"/>
      <c r="J14" s="134">
        <f t="shared" si="3"/>
        <v>11.430727848549715</v>
      </c>
      <c r="K14" s="134">
        <f t="shared" si="2"/>
        <v>38.85</v>
      </c>
      <c r="L14" s="132">
        <f t="shared" si="5"/>
        <v>0.62</v>
      </c>
      <c r="M14" s="123"/>
      <c r="O14" s="173"/>
      <c r="P14" s="137"/>
      <c r="Q14" s="138"/>
      <c r="R14" s="139"/>
    </row>
    <row r="15" spans="2:18">
      <c r="B15" s="140">
        <f t="shared" si="0"/>
        <v>2021</v>
      </c>
      <c r="C15" s="141">
        <f>$C$55</f>
        <v>1288.7722600288894</v>
      </c>
      <c r="D15" s="132">
        <f>C15*$C$62</f>
        <v>68.098089995789152</v>
      </c>
      <c r="E15" s="132">
        <f t="shared" si="4"/>
        <v>28.71</v>
      </c>
      <c r="F15" s="134">
        <f t="shared" si="1"/>
        <v>28.485634953393888</v>
      </c>
      <c r="G15" s="132">
        <f t="shared" si="4"/>
        <v>1.29</v>
      </c>
      <c r="H15" s="132">
        <f t="shared" si="4"/>
        <v>1.97</v>
      </c>
      <c r="I15" s="132">
        <v>-34.479999999999997</v>
      </c>
      <c r="J15" s="134">
        <f t="shared" si="3"/>
        <v>-2.7343650466061096</v>
      </c>
      <c r="K15" s="134">
        <f t="shared" si="2"/>
        <v>-9.2899999999999991</v>
      </c>
      <c r="L15" s="132">
        <f t="shared" si="5"/>
        <v>0.63</v>
      </c>
      <c r="M15" s="123"/>
      <c r="O15" s="173"/>
      <c r="P15" s="138"/>
      <c r="Q15" s="138"/>
      <c r="R15" s="139"/>
    </row>
    <row r="16" spans="2:18">
      <c r="B16" s="140">
        <f t="shared" si="0"/>
        <v>2022</v>
      </c>
      <c r="C16" s="141"/>
      <c r="D16" s="132">
        <f t="shared" si="4"/>
        <v>69.73</v>
      </c>
      <c r="E16" s="132">
        <f t="shared" si="4"/>
        <v>29.4</v>
      </c>
      <c r="F16" s="134">
        <f t="shared" si="1"/>
        <v>29.168853481695194</v>
      </c>
      <c r="G16" s="132">
        <f t="shared" si="4"/>
        <v>1.32</v>
      </c>
      <c r="H16" s="132">
        <f t="shared" si="4"/>
        <v>2.02</v>
      </c>
      <c r="I16" s="132">
        <v>-34.479999999999997</v>
      </c>
      <c r="J16" s="134">
        <f t="shared" si="3"/>
        <v>-1.9711465183048023</v>
      </c>
      <c r="K16" s="134">
        <f t="shared" si="2"/>
        <v>-6.7</v>
      </c>
      <c r="L16" s="132">
        <f t="shared" si="5"/>
        <v>0.65</v>
      </c>
      <c r="M16" s="123"/>
      <c r="O16" s="173"/>
    </row>
    <row r="17" spans="2:17">
      <c r="B17" s="140">
        <f t="shared" si="0"/>
        <v>2023</v>
      </c>
      <c r="C17" s="141"/>
      <c r="D17" s="132">
        <f t="shared" si="4"/>
        <v>71.400000000000006</v>
      </c>
      <c r="E17" s="132">
        <f t="shared" si="4"/>
        <v>30.11</v>
      </c>
      <c r="F17" s="134">
        <f t="shared" si="1"/>
        <v>29.869164903933012</v>
      </c>
      <c r="G17" s="132">
        <f t="shared" si="4"/>
        <v>1.35</v>
      </c>
      <c r="H17" s="132">
        <f t="shared" si="4"/>
        <v>2.0699999999999998</v>
      </c>
      <c r="I17" s="132">
        <v>-35.799999999999997</v>
      </c>
      <c r="J17" s="134">
        <f t="shared" si="3"/>
        <v>-2.5108350960669861</v>
      </c>
      <c r="K17" s="134">
        <f t="shared" si="2"/>
        <v>-8.5299999999999994</v>
      </c>
      <c r="L17" s="132">
        <f t="shared" si="5"/>
        <v>0.67</v>
      </c>
      <c r="M17" s="123"/>
      <c r="O17" s="173"/>
      <c r="P17" s="137"/>
    </row>
    <row r="18" spans="2:17">
      <c r="B18" s="140">
        <f t="shared" si="0"/>
        <v>2024</v>
      </c>
      <c r="C18" s="141"/>
      <c r="D18" s="132">
        <f t="shared" si="4"/>
        <v>73.11</v>
      </c>
      <c r="E18" s="132">
        <f t="shared" si="4"/>
        <v>30.83</v>
      </c>
      <c r="F18" s="134">
        <f t="shared" si="1"/>
        <v>30.584188751007751</v>
      </c>
      <c r="G18" s="132">
        <f t="shared" si="4"/>
        <v>1.38</v>
      </c>
      <c r="H18" s="132">
        <f t="shared" si="4"/>
        <v>2.12</v>
      </c>
      <c r="I18" s="132">
        <v>-35.799999999999997</v>
      </c>
      <c r="J18" s="134">
        <f t="shared" si="3"/>
        <v>-1.7158112489922459</v>
      </c>
      <c r="K18" s="134">
        <f t="shared" si="2"/>
        <v>-5.83</v>
      </c>
      <c r="L18" s="132">
        <f t="shared" si="5"/>
        <v>0.69</v>
      </c>
      <c r="M18" s="123"/>
      <c r="O18" s="173"/>
    </row>
    <row r="19" spans="2:17">
      <c r="B19" s="140">
        <f t="shared" si="0"/>
        <v>2025</v>
      </c>
      <c r="C19" s="141"/>
      <c r="D19" s="132">
        <f t="shared" si="4"/>
        <v>74.790000000000006</v>
      </c>
      <c r="E19" s="132">
        <f t="shared" si="4"/>
        <v>31.54</v>
      </c>
      <c r="F19" s="134">
        <f t="shared" si="1"/>
        <v>31.287442658212957</v>
      </c>
      <c r="G19" s="132">
        <f t="shared" si="4"/>
        <v>1.41</v>
      </c>
      <c r="H19" s="132">
        <f t="shared" si="4"/>
        <v>2.17</v>
      </c>
      <c r="I19" s="132">
        <v>-37.130000000000003</v>
      </c>
      <c r="J19" s="134">
        <f t="shared" si="3"/>
        <v>-2.2625573417870459</v>
      </c>
      <c r="K19" s="134">
        <f t="shared" si="2"/>
        <v>-7.69</v>
      </c>
      <c r="L19" s="132">
        <f t="shared" si="5"/>
        <v>0.71</v>
      </c>
      <c r="M19" s="123"/>
      <c r="O19" s="173"/>
    </row>
    <row r="20" spans="2:17">
      <c r="B20" s="140">
        <f t="shared" si="0"/>
        <v>2026</v>
      </c>
      <c r="C20" s="141"/>
      <c r="D20" s="132">
        <f t="shared" si="4"/>
        <v>76.510000000000005</v>
      </c>
      <c r="E20" s="132">
        <f t="shared" si="4"/>
        <v>32.270000000000003</v>
      </c>
      <c r="F20" s="134">
        <f t="shared" si="1"/>
        <v>32.008351475222469</v>
      </c>
      <c r="G20" s="132">
        <f t="shared" si="4"/>
        <v>1.44</v>
      </c>
      <c r="H20" s="132">
        <f t="shared" si="4"/>
        <v>2.2200000000000002</v>
      </c>
      <c r="I20" s="132">
        <v>-37.130000000000003</v>
      </c>
      <c r="J20" s="134">
        <f t="shared" si="3"/>
        <v>-1.4616485247775337</v>
      </c>
      <c r="K20" s="134">
        <f t="shared" si="2"/>
        <v>-4.97</v>
      </c>
      <c r="L20" s="132">
        <f t="shared" si="5"/>
        <v>0.73</v>
      </c>
      <c r="M20" s="123"/>
      <c r="O20" s="173"/>
      <c r="Q20" s="170"/>
    </row>
    <row r="21" spans="2:17">
      <c r="B21" s="140">
        <f t="shared" si="0"/>
        <v>2027</v>
      </c>
      <c r="C21" s="141"/>
      <c r="D21" s="132">
        <f t="shared" si="4"/>
        <v>78.27</v>
      </c>
      <c r="E21" s="132">
        <f t="shared" si="4"/>
        <v>33.01</v>
      </c>
      <c r="F21" s="134">
        <f t="shared" si="1"/>
        <v>32.743972717068914</v>
      </c>
      <c r="G21" s="132">
        <f t="shared" si="4"/>
        <v>1.47</v>
      </c>
      <c r="H21" s="132">
        <f t="shared" si="4"/>
        <v>2.27</v>
      </c>
      <c r="I21" s="132">
        <v>-38.450000000000003</v>
      </c>
      <c r="J21" s="134">
        <f t="shared" si="3"/>
        <v>-1.9660272829310892</v>
      </c>
      <c r="K21" s="134">
        <f t="shared" si="2"/>
        <v>-6.68</v>
      </c>
      <c r="L21" s="132">
        <f t="shared" si="5"/>
        <v>0.75</v>
      </c>
      <c r="M21" s="123"/>
      <c r="O21" s="173"/>
    </row>
    <row r="22" spans="2:17">
      <c r="B22" s="140">
        <f t="shared" si="0"/>
        <v>2028</v>
      </c>
      <c r="C22" s="141"/>
      <c r="D22" s="132">
        <f t="shared" si="4"/>
        <v>80.150000000000006</v>
      </c>
      <c r="E22" s="132">
        <f t="shared" si="4"/>
        <v>33.799999999999997</v>
      </c>
      <c r="F22" s="134">
        <f t="shared" si="1"/>
        <v>33.529616203360916</v>
      </c>
      <c r="G22" s="132">
        <f t="shared" si="4"/>
        <v>1.51</v>
      </c>
      <c r="H22" s="132">
        <f t="shared" si="4"/>
        <v>2.3199999999999998</v>
      </c>
      <c r="I22" s="132">
        <v>-38.450000000000003</v>
      </c>
      <c r="J22" s="134">
        <f t="shared" si="3"/>
        <v>-1.0903837966390868</v>
      </c>
      <c r="K22" s="134">
        <f t="shared" si="2"/>
        <v>-3.71</v>
      </c>
      <c r="L22" s="132">
        <f t="shared" si="5"/>
        <v>0.77</v>
      </c>
      <c r="M22" s="123"/>
      <c r="O22" s="173"/>
    </row>
    <row r="23" spans="2:17">
      <c r="B23" s="140">
        <f t="shared" si="0"/>
        <v>2029</v>
      </c>
      <c r="C23" s="141"/>
      <c r="D23" s="132">
        <f t="shared" si="4"/>
        <v>82.07</v>
      </c>
      <c r="E23" s="132">
        <f t="shared" si="4"/>
        <v>34.61</v>
      </c>
      <c r="F23" s="134">
        <f t="shared" si="1"/>
        <v>34.332914599457226</v>
      </c>
      <c r="G23" s="132">
        <f t="shared" si="4"/>
        <v>1.55</v>
      </c>
      <c r="H23" s="132">
        <f t="shared" si="4"/>
        <v>2.38</v>
      </c>
      <c r="I23" s="132">
        <v>-39.78</v>
      </c>
      <c r="J23" s="134">
        <f t="shared" si="3"/>
        <v>-1.5170854005427756</v>
      </c>
      <c r="K23" s="134">
        <f t="shared" si="2"/>
        <v>-5.16</v>
      </c>
      <c r="L23" s="132">
        <f t="shared" si="5"/>
        <v>0.79</v>
      </c>
      <c r="M23" s="123"/>
      <c r="O23" s="173"/>
    </row>
    <row r="24" spans="2:17">
      <c r="B24" s="140">
        <f t="shared" si="0"/>
        <v>2030</v>
      </c>
      <c r="C24" s="141"/>
      <c r="D24" s="132">
        <f t="shared" si="4"/>
        <v>83.96</v>
      </c>
      <c r="E24" s="132">
        <f t="shared" si="4"/>
        <v>35.409999999999997</v>
      </c>
      <c r="F24" s="134">
        <f t="shared" si="1"/>
        <v>35.124443055684004</v>
      </c>
      <c r="G24" s="132">
        <f t="shared" si="4"/>
        <v>1.59</v>
      </c>
      <c r="H24" s="132">
        <f t="shared" si="4"/>
        <v>2.4300000000000002</v>
      </c>
      <c r="I24" s="132">
        <v>-41.11</v>
      </c>
      <c r="J24" s="134">
        <f t="shared" si="3"/>
        <v>-1.965556944315995</v>
      </c>
      <c r="K24" s="134">
        <f t="shared" si="2"/>
        <v>-6.68</v>
      </c>
      <c r="L24" s="132">
        <f t="shared" si="5"/>
        <v>0.81</v>
      </c>
      <c r="M24" s="123"/>
      <c r="O24" s="173"/>
    </row>
    <row r="25" spans="2:17">
      <c r="B25" s="140">
        <f t="shared" si="0"/>
        <v>2031</v>
      </c>
      <c r="C25" s="141"/>
      <c r="D25" s="132">
        <f t="shared" si="4"/>
        <v>85.89</v>
      </c>
      <c r="E25" s="132">
        <f t="shared" si="4"/>
        <v>36.22</v>
      </c>
      <c r="F25" s="134">
        <f t="shared" si="1"/>
        <v>35.930683936747705</v>
      </c>
      <c r="G25" s="132">
        <f t="shared" si="4"/>
        <v>1.63</v>
      </c>
      <c r="H25" s="132">
        <f t="shared" si="4"/>
        <v>2.4900000000000002</v>
      </c>
      <c r="I25" s="132"/>
      <c r="J25" s="134">
        <f t="shared" si="3"/>
        <v>40.05068393674771</v>
      </c>
      <c r="K25" s="134">
        <f t="shared" si="2"/>
        <v>136.11000000000001</v>
      </c>
      <c r="L25" s="132">
        <f t="shared" si="5"/>
        <v>0.83</v>
      </c>
      <c r="M25" s="123"/>
      <c r="O25" s="173"/>
    </row>
    <row r="26" spans="2:17">
      <c r="B26" s="140">
        <f t="shared" si="0"/>
        <v>2032</v>
      </c>
      <c r="C26" s="141"/>
      <c r="D26" s="132">
        <f t="shared" si="4"/>
        <v>87.87</v>
      </c>
      <c r="E26" s="132">
        <f t="shared" si="4"/>
        <v>37.049999999999997</v>
      </c>
      <c r="F26" s="134">
        <f t="shared" si="1"/>
        <v>36.757522212583112</v>
      </c>
      <c r="G26" s="132">
        <f t="shared" si="4"/>
        <v>1.67</v>
      </c>
      <c r="H26" s="132">
        <f t="shared" si="4"/>
        <v>2.5499999999999998</v>
      </c>
      <c r="I26" s="132"/>
      <c r="J26" s="134">
        <f t="shared" si="3"/>
        <v>40.977522212583111</v>
      </c>
      <c r="K26" s="134">
        <f t="shared" si="2"/>
        <v>139.26</v>
      </c>
      <c r="L26" s="132">
        <f t="shared" si="5"/>
        <v>0.85</v>
      </c>
      <c r="M26" s="123"/>
      <c r="O26" s="173"/>
    </row>
    <row r="27" spans="2:17">
      <c r="B27" s="140">
        <f t="shared" si="0"/>
        <v>2033</v>
      </c>
      <c r="C27" s="141"/>
      <c r="D27" s="132">
        <f t="shared" si="4"/>
        <v>89.89</v>
      </c>
      <c r="E27" s="132">
        <f t="shared" si="4"/>
        <v>37.9</v>
      </c>
      <c r="F27" s="134">
        <f t="shared" si="1"/>
        <v>37.602015398222825</v>
      </c>
      <c r="G27" s="132">
        <f t="shared" si="4"/>
        <v>1.71</v>
      </c>
      <c r="H27" s="132">
        <f t="shared" si="4"/>
        <v>2.61</v>
      </c>
      <c r="I27" s="132"/>
      <c r="J27" s="134">
        <f t="shared" si="3"/>
        <v>41.922015398222825</v>
      </c>
      <c r="K27" s="134">
        <f t="shared" si="2"/>
        <v>142.47</v>
      </c>
      <c r="L27" s="132">
        <f t="shared" si="5"/>
        <v>0.87</v>
      </c>
      <c r="M27" s="123"/>
      <c r="O27" s="173"/>
    </row>
    <row r="28" spans="2:17">
      <c r="B28" s="140">
        <f t="shared" si="0"/>
        <v>2034</v>
      </c>
      <c r="C28" s="141"/>
      <c r="D28" s="132">
        <f t="shared" si="4"/>
        <v>91.96</v>
      </c>
      <c r="E28" s="132">
        <f t="shared" si="4"/>
        <v>38.770000000000003</v>
      </c>
      <c r="F28" s="134">
        <f t="shared" si="1"/>
        <v>38.467105978634244</v>
      </c>
      <c r="G28" s="132">
        <f t="shared" si="4"/>
        <v>1.75</v>
      </c>
      <c r="H28" s="132">
        <f t="shared" si="4"/>
        <v>2.67</v>
      </c>
      <c r="I28" s="132"/>
      <c r="J28" s="134">
        <f t="shared" si="3"/>
        <v>42.887105978634246</v>
      </c>
      <c r="K28" s="134">
        <f t="shared" si="2"/>
        <v>145.75</v>
      </c>
      <c r="L28" s="132">
        <f t="shared" si="5"/>
        <v>0.89</v>
      </c>
      <c r="M28" s="123"/>
      <c r="O28" s="173"/>
    </row>
    <row r="29" spans="2:17">
      <c r="B29" s="140">
        <f t="shared" si="0"/>
        <v>2035</v>
      </c>
      <c r="C29" s="141"/>
      <c r="D29" s="132">
        <f t="shared" si="4"/>
        <v>93.98</v>
      </c>
      <c r="E29" s="132">
        <f t="shared" si="4"/>
        <v>39.619999999999997</v>
      </c>
      <c r="F29" s="134">
        <f t="shared" si="1"/>
        <v>39.311599164273964</v>
      </c>
      <c r="G29" s="132">
        <f t="shared" si="4"/>
        <v>1.79</v>
      </c>
      <c r="H29" s="132">
        <f t="shared" si="4"/>
        <v>2.73</v>
      </c>
      <c r="I29" s="132"/>
      <c r="J29" s="134">
        <f t="shared" si="3"/>
        <v>43.83159916427396</v>
      </c>
      <c r="K29" s="134">
        <f t="shared" si="2"/>
        <v>148.96</v>
      </c>
      <c r="L29" s="132">
        <f t="shared" si="5"/>
        <v>0.91</v>
      </c>
      <c r="M29" s="123"/>
      <c r="O29" s="173"/>
    </row>
    <row r="30" spans="2:17">
      <c r="B30" s="140">
        <f t="shared" si="0"/>
        <v>2036</v>
      </c>
      <c r="C30" s="141"/>
      <c r="D30" s="132">
        <f t="shared" si="4"/>
        <v>96.05</v>
      </c>
      <c r="E30" s="132">
        <f t="shared" si="4"/>
        <v>40.49</v>
      </c>
      <c r="F30" s="134">
        <f t="shared" si="1"/>
        <v>40.176689744685376</v>
      </c>
      <c r="G30" s="132">
        <f t="shared" si="4"/>
        <v>1.83</v>
      </c>
      <c r="H30" s="132">
        <f t="shared" si="4"/>
        <v>2.79</v>
      </c>
      <c r="I30" s="132"/>
      <c r="J30" s="134">
        <f t="shared" si="3"/>
        <v>44.796689744685374</v>
      </c>
      <c r="K30" s="134">
        <f t="shared" si="2"/>
        <v>152.24</v>
      </c>
      <c r="L30" s="132">
        <f t="shared" si="5"/>
        <v>0.93</v>
      </c>
      <c r="M30" s="123"/>
      <c r="O30" s="173"/>
    </row>
    <row r="31" spans="2:17">
      <c r="B31" s="140">
        <f t="shared" si="0"/>
        <v>2037</v>
      </c>
      <c r="C31" s="141"/>
      <c r="D31" s="132">
        <f t="shared" si="4"/>
        <v>98.16</v>
      </c>
      <c r="E31" s="132">
        <f t="shared" si="4"/>
        <v>41.38</v>
      </c>
      <c r="F31" s="134">
        <f t="shared" si="1"/>
        <v>41.059435234901109</v>
      </c>
      <c r="G31" s="132">
        <f t="shared" si="4"/>
        <v>1.87</v>
      </c>
      <c r="H31" s="132">
        <f t="shared" si="4"/>
        <v>2.85</v>
      </c>
      <c r="I31" s="132"/>
      <c r="J31" s="134">
        <f t="shared" si="3"/>
        <v>45.779435234901108</v>
      </c>
      <c r="K31" s="134">
        <f t="shared" si="2"/>
        <v>155.58000000000001</v>
      </c>
      <c r="L31" s="132">
        <f t="shared" si="5"/>
        <v>0.95</v>
      </c>
      <c r="M31" s="123"/>
      <c r="O31" s="173"/>
    </row>
    <row r="32" spans="2:17">
      <c r="B32" s="140">
        <f t="shared" si="0"/>
        <v>2038</v>
      </c>
      <c r="C32" s="141"/>
      <c r="D32" s="132">
        <f t="shared" si="4"/>
        <v>100.42</v>
      </c>
      <c r="E32" s="132">
        <f t="shared" si="4"/>
        <v>42.33</v>
      </c>
      <c r="F32" s="134">
        <f t="shared" si="1"/>
        <v>42.003972909431944</v>
      </c>
      <c r="G32" s="132">
        <f t="shared" si="4"/>
        <v>1.91</v>
      </c>
      <c r="H32" s="132">
        <f t="shared" si="4"/>
        <v>2.92</v>
      </c>
      <c r="I32" s="132"/>
      <c r="J32" s="134">
        <f t="shared" si="3"/>
        <v>46.833972909431942</v>
      </c>
      <c r="K32" s="134">
        <f t="shared" si="2"/>
        <v>159.16</v>
      </c>
      <c r="L32" s="132">
        <f t="shared" si="5"/>
        <v>0.97</v>
      </c>
      <c r="M32" s="123"/>
      <c r="O32" s="173"/>
    </row>
    <row r="33" spans="2:15">
      <c r="B33" s="140">
        <f t="shared" si="0"/>
        <v>2039</v>
      </c>
      <c r="C33" s="141"/>
      <c r="D33" s="132">
        <f t="shared" si="4"/>
        <v>102.73</v>
      </c>
      <c r="E33" s="132">
        <f t="shared" si="4"/>
        <v>43.3</v>
      </c>
      <c r="F33" s="134">
        <f t="shared" si="1"/>
        <v>42.969107978734485</v>
      </c>
      <c r="G33" s="132">
        <f t="shared" si="4"/>
        <v>1.95</v>
      </c>
      <c r="H33" s="132">
        <f t="shared" si="4"/>
        <v>2.99</v>
      </c>
      <c r="I33" s="132"/>
      <c r="J33" s="134">
        <f t="shared" si="3"/>
        <v>47.90910797873449</v>
      </c>
      <c r="K33" s="134">
        <f t="shared" si="2"/>
        <v>162.82</v>
      </c>
      <c r="L33" s="132">
        <f t="shared" si="5"/>
        <v>0.99</v>
      </c>
      <c r="M33" s="123"/>
      <c r="O33" s="173"/>
    </row>
    <row r="34" spans="2:15">
      <c r="B34" s="140">
        <f t="shared" si="0"/>
        <v>2040</v>
      </c>
      <c r="C34" s="141"/>
      <c r="D34" s="132">
        <f t="shared" si="4"/>
        <v>105.09</v>
      </c>
      <c r="E34" s="132">
        <f t="shared" si="4"/>
        <v>44.3</v>
      </c>
      <c r="F34" s="134">
        <f t="shared" si="1"/>
        <v>43.957782927776101</v>
      </c>
      <c r="G34" s="132">
        <f t="shared" si="4"/>
        <v>1.99</v>
      </c>
      <c r="H34" s="132">
        <f t="shared" si="4"/>
        <v>3.06</v>
      </c>
      <c r="I34" s="132"/>
      <c r="J34" s="134">
        <f t="shared" si="3"/>
        <v>49.007782927776105</v>
      </c>
      <c r="K34" s="134">
        <f t="shared" si="2"/>
        <v>166.55</v>
      </c>
      <c r="L34" s="132">
        <f t="shared" si="5"/>
        <v>1.01</v>
      </c>
      <c r="M34" s="123"/>
      <c r="O34" s="173"/>
    </row>
    <row r="35" spans="2:15">
      <c r="B35" s="140">
        <f t="shared" si="0"/>
        <v>2041</v>
      </c>
      <c r="C35" s="141"/>
      <c r="D35" s="132">
        <f t="shared" si="4"/>
        <v>107.51</v>
      </c>
      <c r="E35" s="132">
        <f t="shared" si="4"/>
        <v>45.32</v>
      </c>
      <c r="F35" s="134">
        <f t="shared" si="1"/>
        <v>44.969997756556815</v>
      </c>
      <c r="G35" s="132">
        <f t="shared" si="4"/>
        <v>2.04</v>
      </c>
      <c r="H35" s="132">
        <f t="shared" si="4"/>
        <v>3.13</v>
      </c>
      <c r="I35" s="132"/>
      <c r="J35" s="134">
        <f t="shared" si="3"/>
        <v>50.139997756556816</v>
      </c>
      <c r="K35" s="134">
        <f t="shared" si="2"/>
        <v>170.4</v>
      </c>
      <c r="L35" s="132">
        <f t="shared" si="5"/>
        <v>1.03</v>
      </c>
      <c r="M35" s="123"/>
      <c r="O35" s="173"/>
    </row>
    <row r="36" spans="2:15">
      <c r="B36" s="140">
        <f t="shared" si="0"/>
        <v>2042</v>
      </c>
      <c r="C36" s="141"/>
      <c r="D36" s="132">
        <f t="shared" si="4"/>
        <v>109.98</v>
      </c>
      <c r="E36" s="132">
        <f t="shared" si="4"/>
        <v>46.36</v>
      </c>
      <c r="F36" s="134">
        <f t="shared" si="1"/>
        <v>46.00280998010922</v>
      </c>
      <c r="G36" s="132">
        <f t="shared" si="4"/>
        <v>2.09</v>
      </c>
      <c r="H36" s="132">
        <f t="shared" si="4"/>
        <v>3.2</v>
      </c>
      <c r="I36" s="132"/>
      <c r="J36" s="134">
        <f t="shared" si="3"/>
        <v>51.292809980109226</v>
      </c>
      <c r="K36" s="134">
        <f t="shared" si="2"/>
        <v>174.32</v>
      </c>
      <c r="L36" s="132">
        <f t="shared" si="5"/>
        <v>1.05</v>
      </c>
      <c r="M36" s="123"/>
      <c r="O36" s="173"/>
    </row>
    <row r="37" spans="2:15">
      <c r="B37" s="140"/>
      <c r="C37" s="136"/>
      <c r="D37" s="132"/>
      <c r="E37" s="132"/>
      <c r="F37" s="133"/>
      <c r="G37" s="132"/>
      <c r="H37" s="132"/>
      <c r="I37" s="132"/>
      <c r="J37" s="134"/>
      <c r="K37" s="134"/>
      <c r="L37" s="143"/>
    </row>
    <row r="38" spans="2:15">
      <c r="B38" s="130"/>
      <c r="C38" s="136"/>
      <c r="D38" s="132"/>
      <c r="E38" s="132"/>
      <c r="F38" s="133"/>
      <c r="G38" s="132"/>
      <c r="H38" s="132"/>
      <c r="I38" s="132"/>
      <c r="J38" s="134"/>
      <c r="K38" s="134"/>
      <c r="L38" s="143"/>
    </row>
    <row r="39" spans="2:15">
      <c r="B39" s="130"/>
      <c r="C39" s="136"/>
      <c r="D39" s="132"/>
      <c r="E39" s="132"/>
      <c r="F39" s="133"/>
      <c r="G39" s="132"/>
      <c r="H39" s="132"/>
      <c r="I39" s="132"/>
      <c r="J39" s="134"/>
      <c r="K39" s="134"/>
      <c r="L39" s="143"/>
    </row>
    <row r="40" spans="2:15">
      <c r="B40" s="130"/>
      <c r="C40" s="136"/>
      <c r="D40" s="132"/>
      <c r="E40" s="132"/>
      <c r="F40" s="133"/>
      <c r="G40" s="132"/>
      <c r="H40" s="132"/>
      <c r="I40" s="132"/>
      <c r="J40" s="134"/>
      <c r="K40" s="134"/>
      <c r="L40" s="143"/>
    </row>
    <row r="42" spans="2:15" ht="14.25">
      <c r="B42" s="144" t="s">
        <v>27</v>
      </c>
      <c r="C42" s="145"/>
      <c r="D42" s="145"/>
      <c r="E42" s="145"/>
      <c r="F42" s="145"/>
      <c r="G42" s="145"/>
      <c r="H42" s="145"/>
      <c r="I42" s="145"/>
    </row>
    <row r="44" spans="2:15">
      <c r="B44" s="121" t="s">
        <v>72</v>
      </c>
      <c r="C44" s="146" t="s">
        <v>73</v>
      </c>
      <c r="D44" s="147" t="str">
        <f>'Table 3 EV2020 Wind_2020'!D44</f>
        <v>Plant Costs  - 2017 IRP Update - Table 5.4 &amp; 5.5</v>
      </c>
    </row>
    <row r="45" spans="2:15">
      <c r="C45" s="146" t="str">
        <f>C7</f>
        <v>(a)</v>
      </c>
      <c r="D45" s="121" t="s">
        <v>74</v>
      </c>
    </row>
    <row r="46" spans="2:15">
      <c r="C46" s="146" t="str">
        <f>D7</f>
        <v>(b)</v>
      </c>
      <c r="D46" s="134" t="str">
        <f>"= "&amp;C7&amp;" x "&amp;C62</f>
        <v>= (a) x 0.0528395063331536</v>
      </c>
    </row>
    <row r="47" spans="2:15">
      <c r="C47" s="146" t="str">
        <f>F7</f>
        <v>(d)</v>
      </c>
      <c r="D47" s="134" t="str">
        <f>"= ("&amp;$D$7&amp;" + "&amp;$E$7&amp;") /  (8.76 x "&amp;TEXT(C63,"0.0%")&amp;")"</f>
        <v>= ((b) + (c)) /  (8.76 x 38.8%)</v>
      </c>
    </row>
    <row r="48" spans="2:15">
      <c r="C48" s="146" t="str">
        <f>J7</f>
        <v>(g)</v>
      </c>
      <c r="D48" s="134" t="str">
        <f>"= "&amp;$F$7&amp;" + "&amp;$I$7</f>
        <v>= (d) + (f)</v>
      </c>
    </row>
    <row r="49" spans="2:24">
      <c r="C49" s="146" t="str">
        <f>L7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Wind Resource - 39% Capacity Factor</v>
      </c>
      <c r="D52" s="148"/>
      <c r="E52" s="148"/>
      <c r="F52" s="148"/>
      <c r="G52" s="148"/>
      <c r="H52" s="148"/>
      <c r="I52" s="148"/>
      <c r="J52" s="149"/>
      <c r="K52" s="149"/>
      <c r="L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2"/>
      <c r="I53" s="153"/>
      <c r="J53" s="149"/>
      <c r="K53" s="149"/>
      <c r="L53" s="150"/>
    </row>
    <row r="55" spans="2:24">
      <c r="B55" s="85" t="s">
        <v>118</v>
      </c>
      <c r="C55" s="185">
        <v>1288.7722600288894</v>
      </c>
      <c r="D55" s="121" t="s">
        <v>74</v>
      </c>
      <c r="I55" s="121" t="s">
        <v>9</v>
      </c>
    </row>
    <row r="56" spans="2:24">
      <c r="B56" s="85" t="s">
        <v>111</v>
      </c>
      <c r="C56" s="154">
        <v>26.293898611068769</v>
      </c>
      <c r="D56" s="121" t="s">
        <v>77</v>
      </c>
      <c r="I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I57" s="121" t="s">
        <v>79</v>
      </c>
    </row>
    <row r="58" spans="2:24">
      <c r="B58" s="85" t="s">
        <v>111</v>
      </c>
      <c r="C58" s="154">
        <v>1.1816399331260157</v>
      </c>
      <c r="D58" s="121" t="s">
        <v>78</v>
      </c>
      <c r="I58" s="121" t="s">
        <v>79</v>
      </c>
      <c r="L58" s="123"/>
      <c r="M58" s="155"/>
      <c r="N58" s="52"/>
      <c r="O58" s="174"/>
      <c r="P58" s="52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>
        <v>-12.501261943267853</v>
      </c>
      <c r="D59" s="121" t="s">
        <v>80</v>
      </c>
      <c r="I59" s="121" t="s">
        <v>79</v>
      </c>
      <c r="J59" s="220" t="s">
        <v>115</v>
      </c>
      <c r="M59" s="157"/>
      <c r="N59" s="158"/>
      <c r="P59" s="156"/>
      <c r="Q59" s="123"/>
      <c r="R59" s="123"/>
      <c r="S59" s="123"/>
      <c r="T59" s="123"/>
      <c r="U59" s="123"/>
      <c r="V59" s="123"/>
      <c r="W59" s="123"/>
      <c r="X59" s="123"/>
    </row>
    <row r="60" spans="2:24">
      <c r="B60" s="85" t="s">
        <v>111</v>
      </c>
      <c r="C60" s="159">
        <v>1.7950732843896238</v>
      </c>
      <c r="D60" s="121" t="s">
        <v>114</v>
      </c>
      <c r="I60" s="121" t="s">
        <v>79</v>
      </c>
      <c r="L60" s="157"/>
      <c r="M60" s="157"/>
      <c r="N60" s="157"/>
      <c r="O60" s="175"/>
      <c r="P60" s="156"/>
      <c r="Q60" s="123"/>
      <c r="R60" s="123"/>
      <c r="S60" s="123"/>
      <c r="T60" s="123"/>
      <c r="U60" s="123"/>
      <c r="V60" s="123"/>
      <c r="W60" s="123"/>
      <c r="X60" s="123"/>
    </row>
    <row r="61" spans="2:24">
      <c r="B61" s="85"/>
      <c r="C61" s="224"/>
      <c r="L61" s="157"/>
      <c r="M61" s="157"/>
      <c r="N61" s="157"/>
      <c r="O61" s="175"/>
      <c r="P61" s="157"/>
      <c r="S61" s="123"/>
      <c r="T61" s="123"/>
      <c r="U61" s="123"/>
      <c r="V61" s="123"/>
      <c r="W61" s="123"/>
      <c r="X61" s="123"/>
    </row>
    <row r="62" spans="2:24">
      <c r="C62" s="162">
        <v>5.2839506333153576E-2</v>
      </c>
      <c r="D62" s="121" t="s">
        <v>38</v>
      </c>
      <c r="L62" s="163"/>
      <c r="M62" s="164"/>
      <c r="N62" s="164"/>
      <c r="P62" s="165"/>
    </row>
    <row r="63" spans="2:24">
      <c r="C63" s="186">
        <v>0.38795525688946075</v>
      </c>
      <c r="D63" s="121" t="s">
        <v>39</v>
      </c>
    </row>
    <row r="64" spans="2:24" ht="13.5" thickBot="1">
      <c r="D64" s="160"/>
    </row>
    <row r="65" spans="3:15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48"/>
      <c r="L65" s="150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2.1999999999999999E-2</v>
      </c>
    </row>
    <row r="67" spans="3:15">
      <c r="C67" s="87">
        <f t="shared" ref="C67:C74" si="6">C66+1</f>
        <v>2018</v>
      </c>
      <c r="D67" s="41">
        <v>2.3E-2</v>
      </c>
      <c r="E67" s="85"/>
      <c r="F67" s="87">
        <f t="shared" ref="F67:F74" si="7">F66+1</f>
        <v>2027</v>
      </c>
      <c r="G67" s="41">
        <v>2.3E-2</v>
      </c>
      <c r="H67" s="41"/>
      <c r="I67" s="87">
        <f t="shared" ref="I67:I74" si="8">I66+1</f>
        <v>2036</v>
      </c>
      <c r="J67" s="41">
        <v>2.1999999999999999E-2</v>
      </c>
    </row>
    <row r="68" spans="3:15">
      <c r="C68" s="87">
        <f t="shared" si="6"/>
        <v>2019</v>
      </c>
      <c r="D68" s="41">
        <v>0.02</v>
      </c>
      <c r="E68" s="85"/>
      <c r="F68" s="87">
        <f t="shared" si="7"/>
        <v>2028</v>
      </c>
      <c r="G68" s="41">
        <v>2.4E-2</v>
      </c>
      <c r="H68" s="41"/>
      <c r="I68" s="87">
        <f t="shared" si="8"/>
        <v>2037</v>
      </c>
      <c r="J68" s="41">
        <v>2.1999999999999999E-2</v>
      </c>
    </row>
    <row r="69" spans="3:15">
      <c r="C69" s="87">
        <f t="shared" si="6"/>
        <v>2020</v>
      </c>
      <c r="D69" s="41">
        <v>2.1999999999999999E-2</v>
      </c>
      <c r="E69" s="85"/>
      <c r="F69" s="87">
        <f t="shared" si="7"/>
        <v>2029</v>
      </c>
      <c r="G69" s="41">
        <v>2.4E-2</v>
      </c>
      <c r="H69" s="41"/>
      <c r="I69" s="87">
        <f t="shared" si="8"/>
        <v>2038</v>
      </c>
      <c r="J69" s="41">
        <v>2.3E-2</v>
      </c>
    </row>
    <row r="70" spans="3:15">
      <c r="C70" s="87">
        <f t="shared" si="6"/>
        <v>2021</v>
      </c>
      <c r="D70" s="41">
        <v>2.4E-2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2.3E-2</v>
      </c>
    </row>
    <row r="71" spans="3:15">
      <c r="C71" s="87">
        <f t="shared" si="6"/>
        <v>2022</v>
      </c>
      <c r="D71" s="41">
        <v>2.4E-2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2.3E-2</v>
      </c>
    </row>
    <row r="72" spans="3:15" s="123" customFormat="1">
      <c r="C72" s="87">
        <f t="shared" si="6"/>
        <v>2023</v>
      </c>
      <c r="D72" s="41">
        <v>2.4E-2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2.3E-2</v>
      </c>
      <c r="O72" s="175"/>
    </row>
    <row r="73" spans="3:15" s="123" customFormat="1">
      <c r="C73" s="87">
        <f t="shared" si="6"/>
        <v>2024</v>
      </c>
      <c r="D73" s="41">
        <v>2.4E-2</v>
      </c>
      <c r="E73" s="86"/>
      <c r="F73" s="87">
        <f t="shared" si="7"/>
        <v>2033</v>
      </c>
      <c r="G73" s="41">
        <v>2.3E-2</v>
      </c>
      <c r="H73" s="41"/>
      <c r="I73" s="87">
        <f t="shared" si="8"/>
        <v>2042</v>
      </c>
      <c r="J73" s="41">
        <v>2.3E-2</v>
      </c>
      <c r="O73" s="175"/>
    </row>
    <row r="74" spans="3:15" s="123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41"/>
      <c r="I74" s="87">
        <f t="shared" si="8"/>
        <v>2043</v>
      </c>
      <c r="J74" s="41">
        <v>2.3E-2</v>
      </c>
      <c r="O74" s="175"/>
    </row>
    <row r="75" spans="3:15" s="123" customFormat="1">
      <c r="O75" s="175"/>
    </row>
    <row r="76" spans="3:15" s="123" customFormat="1">
      <c r="O76" s="175"/>
    </row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55" orientation="landscape" r:id="rId1"/>
  <headerFooter alignWithMargins="0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O345"/>
  <sheetViews>
    <sheetView view="pageBreakPreview" topLeftCell="A2" zoomScale="60" zoomScaleNormal="100" workbookViewId="0">
      <selection activeCell="A18" sqref="A18"/>
    </sheetView>
  </sheetViews>
  <sheetFormatPr defaultColWidth="9.33203125" defaultRowHeight="12.75"/>
  <cols>
    <col min="1" max="1" width="9.33203125" style="3"/>
    <col min="2" max="2" width="15" style="3" customWidth="1"/>
    <col min="3" max="3" width="27" style="3" customWidth="1"/>
    <col min="4" max="4" width="19.5" style="3" customWidth="1"/>
    <col min="5" max="5" width="17" style="3" customWidth="1"/>
    <col min="6" max="6" width="0" style="3" hidden="1" customWidth="1"/>
    <col min="7" max="7" width="15" style="46" hidden="1" customWidth="1"/>
    <col min="8" max="8" width="16.6640625" style="32" hidden="1" customWidth="1"/>
    <col min="9" max="9" width="11.1640625" style="3" hidden="1" customWidth="1"/>
    <col min="10" max="10" width="9.33203125" style="3" hidden="1" customWidth="1"/>
    <col min="11" max="11" width="9.33203125" style="94" hidden="1" customWidth="1"/>
    <col min="12" max="12" width="10.33203125" style="94" hidden="1" customWidth="1"/>
    <col min="13" max="13" width="13.83203125" style="94" hidden="1" customWidth="1"/>
    <col min="14" max="14" width="12.83203125" style="3" hidden="1" customWidth="1"/>
    <col min="15" max="15" width="13.33203125" style="3" hidden="1" customWidth="1"/>
    <col min="16" max="16" width="9.33203125" style="3" customWidth="1"/>
    <col min="17" max="16384" width="9.33203125" style="3"/>
  </cols>
  <sheetData>
    <row r="1" spans="2:15" ht="15.75" hidden="1">
      <c r="B1" s="1" t="s">
        <v>37</v>
      </c>
      <c r="C1" s="1"/>
      <c r="G1" s="29"/>
    </row>
    <row r="2" spans="2:15" ht="5.25" customHeight="1">
      <c r="B2" s="1"/>
      <c r="C2" s="1"/>
      <c r="G2" s="29"/>
    </row>
    <row r="3" spans="2:15" ht="15.75">
      <c r="B3" s="1" t="s">
        <v>58</v>
      </c>
      <c r="C3" s="1"/>
      <c r="G3" s="29"/>
    </row>
    <row r="4" spans="2:15" ht="15.75">
      <c r="B4" s="1" t="s">
        <v>32</v>
      </c>
      <c r="C4" s="1"/>
      <c r="G4" s="95" t="s">
        <v>31</v>
      </c>
    </row>
    <row r="5" spans="2:15" ht="15.75">
      <c r="B5" s="1" t="str">
        <f ca="1">'Table 1'!$B$5</f>
        <v>Kennecott Refinery Non Firm - 6.2 MW and 85.0% CF</v>
      </c>
      <c r="C5" s="1"/>
      <c r="G5" s="96">
        <v>43553</v>
      </c>
    </row>
    <row r="6" spans="2:15">
      <c r="B6" s="11"/>
      <c r="C6" s="11"/>
      <c r="G6" s="29"/>
    </row>
    <row r="7" spans="2:15" ht="14.25">
      <c r="B7" s="21"/>
      <c r="C7" s="28" t="s">
        <v>28</v>
      </c>
      <c r="G7" s="29"/>
    </row>
    <row r="8" spans="2:15">
      <c r="B8" s="22"/>
      <c r="C8" s="16" t="s">
        <v>29</v>
      </c>
      <c r="D8" s="16" t="s">
        <v>29</v>
      </c>
      <c r="E8" s="16" t="s">
        <v>29</v>
      </c>
      <c r="G8" s="29"/>
    </row>
    <row r="9" spans="2:15">
      <c r="B9" s="22" t="s">
        <v>0</v>
      </c>
      <c r="C9" s="22" t="str">
        <f>M16</f>
        <v>IRP - Utah Greenfield</v>
      </c>
      <c r="D9" s="22" t="str">
        <f>N15</f>
        <v>IRP West Side</v>
      </c>
      <c r="E9" s="22" t="str">
        <f>O16</f>
        <v>IRP - Wyo NE</v>
      </c>
      <c r="G9" s="29"/>
    </row>
    <row r="10" spans="2:15">
      <c r="B10" s="23"/>
      <c r="C10" s="24" t="s">
        <v>23</v>
      </c>
      <c r="D10" s="24" t="s">
        <v>23</v>
      </c>
      <c r="E10" s="24" t="s">
        <v>23</v>
      </c>
      <c r="G10" s="97"/>
      <c r="H10" s="98"/>
    </row>
    <row r="11" spans="2:15" hidden="1">
      <c r="C11" s="12"/>
      <c r="G11" s="97"/>
      <c r="H11" s="98"/>
    </row>
    <row r="12" spans="2:15" hidden="1">
      <c r="C12" s="25"/>
      <c r="G12" s="97"/>
      <c r="H12" s="98"/>
    </row>
    <row r="13" spans="2:15" ht="6" customHeight="1">
      <c r="G13" s="99"/>
      <c r="H13" s="100"/>
    </row>
    <row r="14" spans="2:15" hidden="1">
      <c r="B14" s="26">
        <v>2016</v>
      </c>
      <c r="C14" s="27">
        <f>ROUND(SUMIF($K$17:$K$340,$B14,$H$17:$H$340)/COUNTIF($K$17:$K$340,$B14),2)</f>
        <v>2.3199999999999998</v>
      </c>
      <c r="D14" s="27">
        <f>ROUND(SUMIF($K$17:$K$340,$B14,$I$17:$I$340)/COUNTIF($K$17:$K$340,$B14),2)</f>
        <v>2.2999999999999998</v>
      </c>
      <c r="E14" s="27">
        <f>ROUND(SUMIF($K$17:$K$340,$B14,$J$17:$J$340)/COUNTIF($K$17:$K$340,$B14),2)</f>
        <v>2.35</v>
      </c>
      <c r="G14" s="101"/>
      <c r="H14" s="33"/>
    </row>
    <row r="15" spans="2:15" ht="13.5" hidden="1" thickBot="1">
      <c r="B15" s="26">
        <f t="shared" ref="B15:B40" si="0">B14+1</f>
        <v>2017</v>
      </c>
      <c r="C15" s="27">
        <f t="shared" ref="C15:C39" si="1">ROUND(SUMIF($K$17:$K$340,$B15,$H$17:$H$340)/COUNTIF($K$17:$K$340,$B15),2)</f>
        <v>2.65</v>
      </c>
      <c r="D15" s="27">
        <f t="shared" ref="D15:D40" si="2">ROUND(SUMIF($K$17:$K$340,$B15,$I$17:$I$340)/COUNTIF($K$17:$K$340,$B15),2)</f>
        <v>3.31</v>
      </c>
      <c r="E15" s="27">
        <f t="shared" ref="E15:E40" si="3">ROUND(SUMIF($K$17:$K$340,$B15,$J$17:$J$340)/COUNTIF($K$17:$K$340,$B15),2)</f>
        <v>2.66</v>
      </c>
      <c r="G15" s="30"/>
      <c r="H15" s="34" t="s">
        <v>66</v>
      </c>
      <c r="I15" s="3" t="s">
        <v>67</v>
      </c>
      <c r="J15" s="3" t="s">
        <v>68</v>
      </c>
      <c r="N15" s="3" t="s">
        <v>67</v>
      </c>
    </row>
    <row r="16" spans="2:15" ht="13.5" hidden="1" thickBot="1">
      <c r="B16" s="26">
        <f t="shared" si="0"/>
        <v>2018</v>
      </c>
      <c r="C16" s="27">
        <f t="shared" si="1"/>
        <v>2.59</v>
      </c>
      <c r="D16" s="27">
        <f t="shared" si="2"/>
        <v>3.23</v>
      </c>
      <c r="E16" s="27">
        <f t="shared" si="3"/>
        <v>2.6</v>
      </c>
      <c r="G16" s="30" t="s">
        <v>30</v>
      </c>
      <c r="H16" s="34" t="s">
        <v>29</v>
      </c>
      <c r="I16" s="34" t="s">
        <v>29</v>
      </c>
      <c r="J16" s="34" t="s">
        <v>29</v>
      </c>
      <c r="K16" s="102" t="s">
        <v>0</v>
      </c>
      <c r="M16" s="103" t="str">
        <f>IF(_30_Geo_West&gt;0,"IRP - Wyo NE",IF(_436_CCCT_WestMain&gt;0,"West Side","IRP - Utah Greenfield"))</f>
        <v>IRP - Utah Greenfield</v>
      </c>
      <c r="N16" s="103" t="s">
        <v>113</v>
      </c>
      <c r="O16" s="103" t="s">
        <v>68</v>
      </c>
    </row>
    <row r="17" spans="2:15" ht="13.5" hidden="1" thickBot="1">
      <c r="B17" s="26">
        <f t="shared" si="0"/>
        <v>2019</v>
      </c>
      <c r="C17" s="27">
        <f t="shared" si="1"/>
        <v>2.75</v>
      </c>
      <c r="D17" s="27">
        <f t="shared" si="2"/>
        <v>4.37</v>
      </c>
      <c r="E17" s="27">
        <f t="shared" si="3"/>
        <v>2.4300000000000002</v>
      </c>
      <c r="G17" s="31">
        <v>42370</v>
      </c>
      <c r="H17" s="35">
        <v>2.2763825364431489</v>
      </c>
      <c r="I17" s="35">
        <v>2.3748742653912789</v>
      </c>
      <c r="J17" s="35">
        <v>2.2757987901986261</v>
      </c>
      <c r="K17" s="104">
        <f t="shared" ref="K17:K64" si="4">YEAR(G17)</f>
        <v>2016</v>
      </c>
      <c r="M17" s="105">
        <v>47</v>
      </c>
      <c r="N17" s="105">
        <v>43</v>
      </c>
      <c r="O17" s="105">
        <v>46</v>
      </c>
    </row>
    <row r="18" spans="2:15">
      <c r="B18" s="26">
        <v>2020</v>
      </c>
      <c r="C18" s="27">
        <f t="shared" si="1"/>
        <v>2.37</v>
      </c>
      <c r="D18" s="27">
        <f t="shared" si="2"/>
        <v>2.33</v>
      </c>
      <c r="E18" s="27">
        <f t="shared" si="3"/>
        <v>2.17</v>
      </c>
      <c r="G18" s="31">
        <v>42401</v>
      </c>
      <c r="H18" s="35">
        <v>1.8452064945978397</v>
      </c>
      <c r="I18" s="35">
        <v>1.7746276302006363</v>
      </c>
      <c r="J18" s="35">
        <v>1.8289735727586562</v>
      </c>
      <c r="K18" s="104">
        <f t="shared" si="4"/>
        <v>2016</v>
      </c>
    </row>
    <row r="19" spans="2:15" hidden="1">
      <c r="B19" s="26">
        <f t="shared" si="0"/>
        <v>2021</v>
      </c>
      <c r="C19" s="27">
        <f t="shared" si="1"/>
        <v>2.25</v>
      </c>
      <c r="D19" s="27">
        <f t="shared" si="2"/>
        <v>2.14</v>
      </c>
      <c r="E19" s="27">
        <f t="shared" si="3"/>
        <v>2.13</v>
      </c>
      <c r="G19" s="31">
        <v>42430</v>
      </c>
      <c r="H19" s="35">
        <v>1.5253593249607535</v>
      </c>
      <c r="I19" s="35">
        <v>1.4851256469456469</v>
      </c>
      <c r="J19" s="35">
        <v>1.5765269848510393</v>
      </c>
      <c r="K19" s="104">
        <f t="shared" si="4"/>
        <v>2016</v>
      </c>
    </row>
    <row r="20" spans="2:15" hidden="1">
      <c r="B20" s="26">
        <f t="shared" si="0"/>
        <v>2022</v>
      </c>
      <c r="C20" s="27">
        <f t="shared" si="1"/>
        <v>2.36</v>
      </c>
      <c r="D20" s="27">
        <f t="shared" si="2"/>
        <v>2.2799999999999998</v>
      </c>
      <c r="E20" s="27">
        <f t="shared" si="3"/>
        <v>2.2400000000000002</v>
      </c>
      <c r="G20" s="31">
        <v>42461</v>
      </c>
      <c r="H20" s="35">
        <v>1.6910448299319725</v>
      </c>
      <c r="I20" s="35">
        <v>1.4973848492599942</v>
      </c>
      <c r="J20" s="35">
        <v>1.7513146360624383</v>
      </c>
      <c r="K20" s="104">
        <f t="shared" si="4"/>
        <v>2016</v>
      </c>
    </row>
    <row r="21" spans="2:15" hidden="1">
      <c r="B21" s="26">
        <f t="shared" si="0"/>
        <v>2023</v>
      </c>
      <c r="C21" s="27">
        <f t="shared" si="1"/>
        <v>2.5299999999999998</v>
      </c>
      <c r="D21" s="27">
        <f t="shared" si="2"/>
        <v>2.4900000000000002</v>
      </c>
      <c r="E21" s="27">
        <f t="shared" si="3"/>
        <v>2.41</v>
      </c>
      <c r="G21" s="31">
        <v>42491</v>
      </c>
      <c r="H21" s="35">
        <v>1.7310108163265305</v>
      </c>
      <c r="I21" s="35">
        <v>1.5718715629148743</v>
      </c>
      <c r="J21" s="35">
        <v>1.8004724578470166</v>
      </c>
      <c r="K21" s="104">
        <f t="shared" si="4"/>
        <v>2016</v>
      </c>
    </row>
    <row r="22" spans="2:15" hidden="1">
      <c r="B22" s="26">
        <f t="shared" si="0"/>
        <v>2024</v>
      </c>
      <c r="C22" s="27">
        <f t="shared" si="1"/>
        <v>2.82</v>
      </c>
      <c r="D22" s="27">
        <f t="shared" si="2"/>
        <v>2.84</v>
      </c>
      <c r="E22" s="27">
        <f t="shared" si="3"/>
        <v>2.7</v>
      </c>
      <c r="G22" s="31">
        <v>42522</v>
      </c>
      <c r="H22" s="35">
        <v>2.3388150491307629</v>
      </c>
      <c r="I22" s="35">
        <v>2.1751230113991165</v>
      </c>
      <c r="J22" s="35">
        <v>2.3647654677733372</v>
      </c>
      <c r="K22" s="104">
        <f t="shared" si="4"/>
        <v>2016</v>
      </c>
    </row>
    <row r="23" spans="2:15" hidden="1">
      <c r="B23" s="26">
        <f t="shared" si="0"/>
        <v>2025</v>
      </c>
      <c r="C23" s="27">
        <f t="shared" si="1"/>
        <v>3.19</v>
      </c>
      <c r="D23" s="27">
        <f t="shared" si="2"/>
        <v>3.18</v>
      </c>
      <c r="E23" s="27">
        <f t="shared" si="3"/>
        <v>3.06</v>
      </c>
      <c r="G23" s="31">
        <v>42552</v>
      </c>
      <c r="H23" s="35">
        <v>2.58101081632653</v>
      </c>
      <c r="I23" s="35">
        <v>2.5037871798230165</v>
      </c>
      <c r="J23" s="35">
        <v>2.6063456138089238</v>
      </c>
      <c r="K23" s="104">
        <f t="shared" si="4"/>
        <v>2016</v>
      </c>
    </row>
    <row r="24" spans="2:15" hidden="1">
      <c r="B24" s="26">
        <f t="shared" si="0"/>
        <v>2026</v>
      </c>
      <c r="C24" s="27">
        <f t="shared" si="1"/>
        <v>3.42</v>
      </c>
      <c r="D24" s="27">
        <f t="shared" si="2"/>
        <v>3.44</v>
      </c>
      <c r="E24" s="27">
        <f t="shared" si="3"/>
        <v>3.29</v>
      </c>
      <c r="G24" s="31">
        <v>42583</v>
      </c>
      <c r="H24" s="35">
        <v>2.6353985714285706</v>
      </c>
      <c r="I24" s="35">
        <v>2.6477537958754924</v>
      </c>
      <c r="J24" s="35">
        <v>2.6355990076984344</v>
      </c>
      <c r="K24" s="104">
        <f t="shared" si="4"/>
        <v>2016</v>
      </c>
    </row>
    <row r="25" spans="2:15" hidden="1">
      <c r="B25" s="26">
        <f t="shared" si="0"/>
        <v>2027</v>
      </c>
      <c r="C25" s="27">
        <f t="shared" si="1"/>
        <v>3.56</v>
      </c>
      <c r="D25" s="27">
        <f t="shared" si="2"/>
        <v>3.6</v>
      </c>
      <c r="E25" s="27">
        <f t="shared" si="3"/>
        <v>3.44</v>
      </c>
      <c r="G25" s="31">
        <v>42614</v>
      </c>
      <c r="H25" s="35">
        <v>2.7123373469387757</v>
      </c>
      <c r="I25" s="35">
        <v>2.7714741535603351</v>
      </c>
      <c r="J25" s="35">
        <v>2.7681537930798932</v>
      </c>
      <c r="K25" s="104">
        <f t="shared" si="4"/>
        <v>2016</v>
      </c>
    </row>
    <row r="26" spans="2:15" hidden="1">
      <c r="B26" s="26">
        <f t="shared" si="0"/>
        <v>2028</v>
      </c>
      <c r="C26" s="27">
        <f t="shared" si="1"/>
        <v>3.8</v>
      </c>
      <c r="D26" s="27">
        <f t="shared" si="2"/>
        <v>3.86</v>
      </c>
      <c r="E26" s="27">
        <f t="shared" si="3"/>
        <v>3.67</v>
      </c>
      <c r="G26" s="31">
        <v>42644</v>
      </c>
      <c r="H26" s="35">
        <v>2.6862698430141281</v>
      </c>
      <c r="I26" s="35">
        <v>2.6942040298820258</v>
      </c>
      <c r="J26" s="35">
        <v>2.7499682086675996</v>
      </c>
      <c r="K26" s="104">
        <f t="shared" si="4"/>
        <v>2016</v>
      </c>
    </row>
    <row r="27" spans="2:15" hidden="1">
      <c r="B27" s="26">
        <f t="shared" si="0"/>
        <v>2029</v>
      </c>
      <c r="C27" s="27">
        <f t="shared" si="1"/>
        <v>3.94</v>
      </c>
      <c r="D27" s="27">
        <f t="shared" si="2"/>
        <v>4.0199999999999996</v>
      </c>
      <c r="E27" s="27">
        <f t="shared" si="3"/>
        <v>3.81</v>
      </c>
      <c r="G27" s="31">
        <v>42675</v>
      </c>
      <c r="H27" s="35">
        <v>2.269616258503401</v>
      </c>
      <c r="I27" s="35">
        <v>2.2676824839611038</v>
      </c>
      <c r="J27" s="35">
        <v>2.3066994090924613</v>
      </c>
      <c r="K27" s="104">
        <f t="shared" si="4"/>
        <v>2016</v>
      </c>
    </row>
    <row r="28" spans="2:15" hidden="1">
      <c r="B28" s="26">
        <f t="shared" si="0"/>
        <v>2030</v>
      </c>
      <c r="C28" s="27">
        <f t="shared" si="1"/>
        <v>4.0999999999999996</v>
      </c>
      <c r="D28" s="27">
        <f t="shared" si="2"/>
        <v>4.16</v>
      </c>
      <c r="E28" s="27">
        <f t="shared" si="3"/>
        <v>3.96</v>
      </c>
      <c r="G28" s="31">
        <v>42705</v>
      </c>
      <c r="H28" s="35">
        <v>3.5123636800526663</v>
      </c>
      <c r="I28" s="35">
        <v>3.8167860057158185</v>
      </c>
      <c r="J28" s="35">
        <v>3.5518748027461844</v>
      </c>
      <c r="K28" s="104">
        <f t="shared" si="4"/>
        <v>2016</v>
      </c>
    </row>
    <row r="29" spans="2:15" hidden="1">
      <c r="B29" s="26">
        <f t="shared" si="0"/>
        <v>2031</v>
      </c>
      <c r="C29" s="27">
        <f t="shared" si="1"/>
        <v>4.4000000000000004</v>
      </c>
      <c r="D29" s="27">
        <f t="shared" si="2"/>
        <v>4.45</v>
      </c>
      <c r="E29" s="27">
        <f t="shared" si="3"/>
        <v>4.2699999999999996</v>
      </c>
      <c r="G29" s="31">
        <v>42736</v>
      </c>
      <c r="H29" s="35">
        <v>2.9365659189280224</v>
      </c>
      <c r="I29" s="35">
        <v>2.8135887402859616</v>
      </c>
      <c r="J29" s="35">
        <v>3.0826510126176525</v>
      </c>
      <c r="K29" s="104">
        <f t="shared" si="4"/>
        <v>2017</v>
      </c>
    </row>
    <row r="30" spans="2:15" hidden="1">
      <c r="B30" s="26">
        <f t="shared" si="0"/>
        <v>2032</v>
      </c>
      <c r="C30" s="27">
        <f t="shared" si="1"/>
        <v>4.6500000000000004</v>
      </c>
      <c r="D30" s="27">
        <f t="shared" si="2"/>
        <v>4.68</v>
      </c>
      <c r="E30" s="27">
        <f t="shared" si="3"/>
        <v>4.51</v>
      </c>
      <c r="G30" s="31">
        <v>42767</v>
      </c>
      <c r="H30" s="35">
        <v>2.2424949344592338</v>
      </c>
      <c r="I30" s="35">
        <v>2.2559061081726517</v>
      </c>
      <c r="J30" s="35">
        <v>2.2490598127356938</v>
      </c>
      <c r="K30" s="104">
        <f t="shared" si="4"/>
        <v>2017</v>
      </c>
    </row>
    <row r="31" spans="2:15" hidden="1">
      <c r="B31" s="26">
        <f t="shared" si="0"/>
        <v>2033</v>
      </c>
      <c r="C31" s="27">
        <f t="shared" si="1"/>
        <v>5.04</v>
      </c>
      <c r="D31" s="27">
        <f t="shared" si="2"/>
        <v>5.03</v>
      </c>
      <c r="E31" s="27">
        <f t="shared" si="3"/>
        <v>4.8899999999999997</v>
      </c>
      <c r="G31" s="31">
        <v>42795</v>
      </c>
      <c r="H31" s="35">
        <v>2.1136794713706815</v>
      </c>
      <c r="I31" s="35">
        <v>2.1843639754367272</v>
      </c>
      <c r="J31" s="35">
        <v>2.1613389321133352</v>
      </c>
      <c r="K31" s="104">
        <f t="shared" si="4"/>
        <v>2017</v>
      </c>
    </row>
    <row r="32" spans="2:15" hidden="1">
      <c r="B32" s="26">
        <f t="shared" si="0"/>
        <v>2034</v>
      </c>
      <c r="C32" s="27">
        <f t="shared" si="1"/>
        <v>5.19</v>
      </c>
      <c r="D32" s="27">
        <f t="shared" si="2"/>
        <v>5.17</v>
      </c>
      <c r="E32" s="27">
        <f t="shared" si="3"/>
        <v>5.05</v>
      </c>
      <c r="G32" s="31">
        <v>42826</v>
      </c>
      <c r="H32" s="35">
        <v>1.9776764449626556</v>
      </c>
      <c r="I32" s="35">
        <v>2.02262576128114</v>
      </c>
      <c r="J32" s="35">
        <v>2.0694667469637662</v>
      </c>
      <c r="K32" s="104">
        <f t="shared" si="4"/>
        <v>2017</v>
      </c>
    </row>
    <row r="33" spans="2:11" hidden="1">
      <c r="B33" s="26">
        <f t="shared" si="0"/>
        <v>2035</v>
      </c>
      <c r="C33" s="27">
        <f t="shared" si="1"/>
        <v>5.35</v>
      </c>
      <c r="D33" s="27">
        <f t="shared" si="2"/>
        <v>5.27</v>
      </c>
      <c r="E33" s="27">
        <f t="shared" si="3"/>
        <v>5.2</v>
      </c>
      <c r="G33" s="31">
        <v>42856</v>
      </c>
      <c r="H33" s="35">
        <v>1.7831839406645238</v>
      </c>
      <c r="I33" s="35">
        <v>1.5708405984016238</v>
      </c>
      <c r="J33" s="35">
        <v>1.8794896381126289</v>
      </c>
      <c r="K33" s="104">
        <f t="shared" si="4"/>
        <v>2017</v>
      </c>
    </row>
    <row r="34" spans="2:11" hidden="1">
      <c r="B34" s="26">
        <f t="shared" si="0"/>
        <v>2036</v>
      </c>
      <c r="C34" s="27">
        <f t="shared" si="1"/>
        <v>5.47</v>
      </c>
      <c r="D34" s="27">
        <f t="shared" si="2"/>
        <v>5.35</v>
      </c>
      <c r="E34" s="27">
        <f t="shared" si="3"/>
        <v>5.32</v>
      </c>
      <c r="G34" s="31">
        <v>42887</v>
      </c>
      <c r="H34" s="35">
        <v>2.8754985714285715</v>
      </c>
      <c r="I34" s="35">
        <v>2.8528564316455696</v>
      </c>
      <c r="J34" s="35">
        <v>2.9027304231990985</v>
      </c>
      <c r="K34" s="104">
        <f t="shared" si="4"/>
        <v>2017</v>
      </c>
    </row>
    <row r="35" spans="2:11" hidden="1">
      <c r="B35" s="26">
        <f t="shared" si="0"/>
        <v>2037</v>
      </c>
      <c r="C35" s="27">
        <f t="shared" si="1"/>
        <v>5.87</v>
      </c>
      <c r="D35" s="27">
        <f t="shared" si="2"/>
        <v>5.76</v>
      </c>
      <c r="E35" s="27">
        <f t="shared" si="3"/>
        <v>5.72</v>
      </c>
      <c r="G35" s="31">
        <v>42917</v>
      </c>
      <c r="H35" s="35">
        <v>2.421637499285668</v>
      </c>
      <c r="I35" s="35">
        <v>2.353571484540065</v>
      </c>
      <c r="J35" s="35">
        <v>2.4674716230698741</v>
      </c>
      <c r="K35" s="104">
        <f t="shared" si="4"/>
        <v>2017</v>
      </c>
    </row>
    <row r="36" spans="2:11" hidden="1">
      <c r="B36" s="26">
        <f t="shared" si="0"/>
        <v>2038</v>
      </c>
      <c r="C36" s="27">
        <f t="shared" si="1"/>
        <v>6.15</v>
      </c>
      <c r="D36" s="27">
        <f t="shared" si="2"/>
        <v>6.01</v>
      </c>
      <c r="E36" s="27">
        <f t="shared" si="3"/>
        <v>6</v>
      </c>
      <c r="G36" s="31">
        <v>42948</v>
      </c>
      <c r="H36" s="35">
        <v>2.4788435090089065</v>
      </c>
      <c r="I36" s="35">
        <v>2.5401507418632927</v>
      </c>
      <c r="J36" s="35">
        <v>2.4624530543656684</v>
      </c>
      <c r="K36" s="104">
        <f t="shared" si="4"/>
        <v>2017</v>
      </c>
    </row>
    <row r="37" spans="2:11" hidden="1">
      <c r="B37" s="26">
        <f t="shared" si="0"/>
        <v>2039</v>
      </c>
      <c r="C37" s="27">
        <f t="shared" si="1"/>
        <v>6.4</v>
      </c>
      <c r="D37" s="27">
        <f t="shared" si="2"/>
        <v>6.25</v>
      </c>
      <c r="E37" s="27">
        <f t="shared" si="3"/>
        <v>6.25</v>
      </c>
      <c r="G37" s="31">
        <v>42979</v>
      </c>
      <c r="H37" s="35">
        <v>2.2194892808138165</v>
      </c>
      <c r="I37" s="35">
        <v>2.3919118237202426</v>
      </c>
      <c r="J37" s="35">
        <v>2.224504673004402</v>
      </c>
      <c r="K37" s="104">
        <f t="shared" si="4"/>
        <v>2017</v>
      </c>
    </row>
    <row r="38" spans="2:11" hidden="1">
      <c r="B38" s="26">
        <f t="shared" si="0"/>
        <v>2040</v>
      </c>
      <c r="C38" s="27">
        <f t="shared" si="1"/>
        <v>6.63</v>
      </c>
      <c r="D38" s="27">
        <f t="shared" si="2"/>
        <v>6.49</v>
      </c>
      <c r="E38" s="27">
        <f t="shared" si="3"/>
        <v>6.47</v>
      </c>
      <c r="G38" s="31">
        <v>43009</v>
      </c>
      <c r="H38" s="35">
        <v>2.9128539684320356</v>
      </c>
      <c r="I38" s="35">
        <v>4.6218921162427922</v>
      </c>
      <c r="J38" s="35">
        <v>2.9275610507263972</v>
      </c>
      <c r="K38" s="104">
        <f t="shared" si="4"/>
        <v>2017</v>
      </c>
    </row>
    <row r="39" spans="2:11" hidden="1">
      <c r="B39" s="26">
        <f t="shared" si="0"/>
        <v>2041</v>
      </c>
      <c r="C39" s="27">
        <f t="shared" si="1"/>
        <v>6.86</v>
      </c>
      <c r="D39" s="27">
        <f t="shared" si="2"/>
        <v>6.75</v>
      </c>
      <c r="E39" s="27">
        <f t="shared" si="3"/>
        <v>6.7</v>
      </c>
      <c r="G39" s="31">
        <v>43040</v>
      </c>
      <c r="H39" s="35">
        <v>3.9745333850417399</v>
      </c>
      <c r="I39" s="35">
        <v>8.6680488460990404</v>
      </c>
      <c r="J39" s="35">
        <v>3.8702964836561957</v>
      </c>
      <c r="K39" s="104">
        <f t="shared" si="4"/>
        <v>2017</v>
      </c>
    </row>
    <row r="40" spans="2:11" hidden="1">
      <c r="B40" s="26">
        <f t="shared" si="0"/>
        <v>2042</v>
      </c>
      <c r="C40" s="27">
        <f>ROUND(SUMIF($K$17:$K$340,$B40,$H$17:$H$340)/COUNTIF($K$17:$K$340,$B40),2)</f>
        <v>4.8899999999999997</v>
      </c>
      <c r="D40" s="27">
        <f t="shared" si="2"/>
        <v>4.8</v>
      </c>
      <c r="E40" s="27">
        <f t="shared" si="3"/>
        <v>4.78</v>
      </c>
      <c r="G40" s="31">
        <v>43070</v>
      </c>
      <c r="H40" s="35">
        <v>3.9079382357981771</v>
      </c>
      <c r="I40" s="35">
        <v>5.443905271233902</v>
      </c>
      <c r="J40" s="35">
        <v>3.5768990853253793</v>
      </c>
      <c r="K40" s="104">
        <f t="shared" si="4"/>
        <v>2017</v>
      </c>
    </row>
    <row r="41" spans="2:11">
      <c r="B41" s="26"/>
      <c r="C41" s="27"/>
      <c r="G41" s="31">
        <v>43101</v>
      </c>
      <c r="H41" s="35">
        <v>2.9365659189280224</v>
      </c>
      <c r="I41" s="35">
        <v>2.8135887402859616</v>
      </c>
      <c r="J41" s="35">
        <v>3.0826510126176525</v>
      </c>
      <c r="K41" s="104">
        <f t="shared" si="4"/>
        <v>2018</v>
      </c>
    </row>
    <row r="42" spans="2:11">
      <c r="B42" s="26"/>
      <c r="C42" s="27"/>
      <c r="G42" s="31">
        <v>43132</v>
      </c>
      <c r="H42" s="35">
        <v>2.2424949344592338</v>
      </c>
      <c r="I42" s="35">
        <v>2.2559061081726517</v>
      </c>
      <c r="J42" s="35">
        <v>2.2490598127356938</v>
      </c>
      <c r="K42" s="104">
        <f t="shared" si="4"/>
        <v>2018</v>
      </c>
    </row>
    <row r="43" spans="2:11">
      <c r="G43" s="31">
        <v>43160</v>
      </c>
      <c r="H43" s="35">
        <v>2.1136794713706815</v>
      </c>
      <c r="I43" s="35">
        <v>2.1843639754367272</v>
      </c>
      <c r="J43" s="35">
        <v>2.1613389321133352</v>
      </c>
      <c r="K43" s="104">
        <f t="shared" si="4"/>
        <v>2018</v>
      </c>
    </row>
    <row r="44" spans="2:11">
      <c r="B44" s="106" t="str">
        <f>"Official Forward Price Curve Forecast dated   "&amp;TEXT(G5,"MMM dd, YYYY")</f>
        <v>Official Forward Price Curve Forecast dated   Mar 29, 2019</v>
      </c>
      <c r="G44" s="31">
        <v>43191</v>
      </c>
      <c r="H44" s="35">
        <v>1.9776764449626556</v>
      </c>
      <c r="I44" s="35">
        <v>2.02262576128114</v>
      </c>
      <c r="J44" s="35">
        <v>2.0694667469637662</v>
      </c>
      <c r="K44" s="104">
        <f t="shared" si="4"/>
        <v>2018</v>
      </c>
    </row>
    <row r="45" spans="2:11">
      <c r="G45" s="31">
        <v>43221</v>
      </c>
      <c r="H45" s="35">
        <v>1.7831839406645238</v>
      </c>
      <c r="I45" s="35">
        <v>1.5708405984016238</v>
      </c>
      <c r="J45" s="35">
        <v>1.8794896381126289</v>
      </c>
      <c r="K45" s="104">
        <f t="shared" si="4"/>
        <v>2018</v>
      </c>
    </row>
    <row r="46" spans="2:11">
      <c r="G46" s="31">
        <v>43252</v>
      </c>
      <c r="H46" s="35">
        <v>2.1432785268173982</v>
      </c>
      <c r="I46" s="35">
        <v>1.8480369077372496</v>
      </c>
      <c r="J46" s="35">
        <v>2.252644504667269</v>
      </c>
      <c r="K46" s="104">
        <f t="shared" si="4"/>
        <v>2018</v>
      </c>
    </row>
    <row r="47" spans="2:11">
      <c r="G47" s="31">
        <v>43282</v>
      </c>
      <c r="H47" s="35">
        <v>2.421637499285668</v>
      </c>
      <c r="I47" s="35">
        <v>2.353571484540065</v>
      </c>
      <c r="J47" s="35">
        <v>2.4674716230698741</v>
      </c>
      <c r="K47" s="104">
        <f t="shared" si="4"/>
        <v>2018</v>
      </c>
    </row>
    <row r="48" spans="2:11">
      <c r="G48" s="31">
        <v>43313</v>
      </c>
      <c r="H48" s="35">
        <v>2.4788435090089065</v>
      </c>
      <c r="I48" s="35">
        <v>2.5401507418632927</v>
      </c>
      <c r="J48" s="35">
        <v>2.4624530543656684</v>
      </c>
      <c r="K48" s="104">
        <f t="shared" si="4"/>
        <v>2018</v>
      </c>
    </row>
    <row r="49" spans="7:13">
      <c r="G49" s="31">
        <v>43344</v>
      </c>
      <c r="H49" s="35">
        <v>2.2194892808138165</v>
      </c>
      <c r="I49" s="35">
        <v>2.3919118237202426</v>
      </c>
      <c r="J49" s="35">
        <v>2.224504673004402</v>
      </c>
      <c r="K49" s="104">
        <f t="shared" si="4"/>
        <v>2018</v>
      </c>
      <c r="L49" s="3"/>
      <c r="M49" s="3"/>
    </row>
    <row r="50" spans="7:13">
      <c r="G50" s="31">
        <v>43374</v>
      </c>
      <c r="H50" s="35">
        <v>2.9128539684320356</v>
      </c>
      <c r="I50" s="35">
        <v>4.6218921162427922</v>
      </c>
      <c r="J50" s="35">
        <v>2.9275610507263972</v>
      </c>
      <c r="K50" s="104">
        <f t="shared" si="4"/>
        <v>2018</v>
      </c>
      <c r="L50" s="3"/>
      <c r="M50" s="3"/>
    </row>
    <row r="51" spans="7:13">
      <c r="G51" s="31">
        <v>43405</v>
      </c>
      <c r="H51" s="35">
        <v>3.9745333850417399</v>
      </c>
      <c r="I51" s="35">
        <v>8.6680488460990404</v>
      </c>
      <c r="J51" s="35">
        <v>3.8702964836561957</v>
      </c>
      <c r="K51" s="104">
        <f t="shared" si="4"/>
        <v>2018</v>
      </c>
      <c r="L51" s="3"/>
      <c r="M51" s="3"/>
    </row>
    <row r="52" spans="7:13">
      <c r="G52" s="31">
        <v>43435</v>
      </c>
      <c r="H52" s="35">
        <v>3.9079382357981771</v>
      </c>
      <c r="I52" s="35">
        <v>5.443905271233902</v>
      </c>
      <c r="J52" s="35">
        <v>3.5768990853253793</v>
      </c>
      <c r="K52" s="104">
        <f t="shared" si="4"/>
        <v>2018</v>
      </c>
      <c r="L52" s="3"/>
      <c r="M52" s="3"/>
    </row>
    <row r="53" spans="7:13">
      <c r="G53" s="31">
        <v>43466</v>
      </c>
      <c r="H53" s="35">
        <v>3.1877490634924275</v>
      </c>
      <c r="I53" s="35">
        <v>3.6245487172817223</v>
      </c>
      <c r="J53" s="35">
        <v>2.9303131690480573</v>
      </c>
      <c r="K53" s="104">
        <f t="shared" si="4"/>
        <v>2019</v>
      </c>
      <c r="L53" s="3"/>
      <c r="M53" s="3"/>
    </row>
    <row r="54" spans="7:13">
      <c r="G54" s="31">
        <v>43497</v>
      </c>
      <c r="H54" s="35">
        <v>4.6376436365125295</v>
      </c>
      <c r="I54" s="35">
        <v>13.248679181072774</v>
      </c>
      <c r="J54" s="35">
        <v>2.6293956266758434</v>
      </c>
      <c r="K54" s="104">
        <f t="shared" si="4"/>
        <v>2019</v>
      </c>
      <c r="L54" s="3"/>
      <c r="M54" s="3"/>
    </row>
    <row r="55" spans="7:13">
      <c r="G55" s="31">
        <v>43525</v>
      </c>
      <c r="H55" s="35">
        <v>2.8840796764808312</v>
      </c>
      <c r="I55" s="35">
        <v>13.147581543206581</v>
      </c>
      <c r="J55" s="35">
        <v>3.1561599255175179</v>
      </c>
      <c r="K55" s="104">
        <f t="shared" si="4"/>
        <v>2019</v>
      </c>
      <c r="L55" s="3"/>
      <c r="M55" s="3"/>
    </row>
    <row r="56" spans="7:13">
      <c r="G56" s="31">
        <v>43556</v>
      </c>
      <c r="H56" s="35">
        <v>2.5386957426746424</v>
      </c>
      <c r="I56" s="35">
        <v>2.4228079233587558</v>
      </c>
      <c r="J56" s="35">
        <v>2.453387252835491</v>
      </c>
      <c r="K56" s="104">
        <f t="shared" si="4"/>
        <v>2019</v>
      </c>
      <c r="L56" s="3"/>
      <c r="M56" s="3"/>
    </row>
    <row r="57" spans="7:13">
      <c r="G57" s="31">
        <v>43586</v>
      </c>
      <c r="H57" s="35">
        <v>2.0388478262192034</v>
      </c>
      <c r="I57" s="35">
        <v>1.9717939101998985</v>
      </c>
      <c r="J57" s="35">
        <v>1.9510285255445146</v>
      </c>
      <c r="K57" s="104">
        <f t="shared" si="4"/>
        <v>2019</v>
      </c>
      <c r="L57" s="3"/>
      <c r="M57" s="3"/>
    </row>
    <row r="58" spans="7:13">
      <c r="G58" s="31">
        <v>43617</v>
      </c>
      <c r="H58" s="35">
        <v>2.1159034887965125</v>
      </c>
      <c r="I58" s="35">
        <v>1.9935420026828745</v>
      </c>
      <c r="J58" s="35">
        <v>2.0222922011442335</v>
      </c>
      <c r="K58" s="104">
        <f t="shared" si="4"/>
        <v>2019</v>
      </c>
      <c r="L58" s="3"/>
      <c r="M58" s="3"/>
    </row>
    <row r="59" spans="7:13">
      <c r="G59" s="31">
        <v>43647</v>
      </c>
      <c r="H59" s="35">
        <v>2.5356540717834331</v>
      </c>
      <c r="I59" s="35">
        <v>2.4526856599365585</v>
      </c>
      <c r="J59" s="35">
        <v>2.3173840409515205</v>
      </c>
      <c r="K59" s="104">
        <f t="shared" si="4"/>
        <v>2019</v>
      </c>
      <c r="L59" s="3"/>
      <c r="M59" s="3"/>
    </row>
    <row r="60" spans="7:13">
      <c r="G60" s="31">
        <v>43678</v>
      </c>
      <c r="H60" s="35">
        <v>2.6978765193146104</v>
      </c>
      <c r="I60" s="35">
        <v>2.5769604741249923</v>
      </c>
      <c r="J60" s="35">
        <v>2.387644002810398</v>
      </c>
      <c r="K60" s="104">
        <f t="shared" si="4"/>
        <v>2019</v>
      </c>
      <c r="L60" s="3"/>
      <c r="M60" s="3"/>
    </row>
    <row r="61" spans="7:13">
      <c r="G61" s="31">
        <v>43709</v>
      </c>
      <c r="H61" s="35">
        <v>2.4479525610868902</v>
      </c>
      <c r="I61" s="35">
        <v>2.4511840059317818</v>
      </c>
      <c r="J61" s="35">
        <v>2.2882763424671282</v>
      </c>
      <c r="K61" s="104">
        <f t="shared" si="4"/>
        <v>2019</v>
      </c>
      <c r="L61" s="3"/>
      <c r="M61" s="3"/>
    </row>
    <row r="62" spans="7:13">
      <c r="G62" s="31">
        <v>43739</v>
      </c>
      <c r="H62" s="35">
        <v>2.3921885947480486</v>
      </c>
      <c r="I62" s="35">
        <v>2.2498588069465191</v>
      </c>
      <c r="J62" s="35">
        <v>2.2205256649603533</v>
      </c>
      <c r="K62" s="104">
        <f t="shared" si="4"/>
        <v>2019</v>
      </c>
      <c r="L62" s="3"/>
      <c r="M62" s="3"/>
    </row>
    <row r="63" spans="7:13">
      <c r="G63" s="31">
        <v>43770</v>
      </c>
      <c r="H63" s="35">
        <v>2.5838138608942516</v>
      </c>
      <c r="I63" s="35">
        <v>2.8359181181901412</v>
      </c>
      <c r="J63" s="35">
        <v>2.2195219512195119</v>
      </c>
      <c r="K63" s="104">
        <f t="shared" si="4"/>
        <v>2019</v>
      </c>
      <c r="L63" s="3"/>
      <c r="M63" s="3"/>
    </row>
    <row r="64" spans="7:13">
      <c r="G64" s="31">
        <v>43800</v>
      </c>
      <c r="H64" s="35">
        <v>2.9239740555611884</v>
      </c>
      <c r="I64" s="35">
        <v>3.4046825177925397</v>
      </c>
      <c r="J64" s="35">
        <v>2.548740058215397</v>
      </c>
      <c r="K64" s="104">
        <f t="shared" si="4"/>
        <v>2019</v>
      </c>
      <c r="L64" s="3"/>
      <c r="M64" s="3"/>
    </row>
    <row r="65" spans="7:13">
      <c r="G65" s="31">
        <v>43831</v>
      </c>
      <c r="H65" s="35">
        <v>3.0172519628916152</v>
      </c>
      <c r="I65" s="35">
        <v>3.3731477836922252</v>
      </c>
      <c r="J65" s="35">
        <v>2.6184981632038538</v>
      </c>
      <c r="K65" s="104">
        <f t="shared" ref="K65:K112" si="5">YEAR(G65)</f>
        <v>2020</v>
      </c>
      <c r="L65" s="3"/>
      <c r="M65" s="3"/>
    </row>
    <row r="66" spans="7:13">
      <c r="G66" s="31">
        <v>43862</v>
      </c>
      <c r="H66" s="35">
        <v>2.897612907837372</v>
      </c>
      <c r="I66" s="35">
        <v>3.0942543881843481</v>
      </c>
      <c r="J66" s="35">
        <v>2.4925320887282947</v>
      </c>
      <c r="K66" s="104">
        <f t="shared" si="5"/>
        <v>2020</v>
      </c>
      <c r="L66" s="3"/>
      <c r="M66" s="3"/>
    </row>
    <row r="67" spans="7:13">
      <c r="G67" s="31">
        <v>43891</v>
      </c>
      <c r="H67" s="35">
        <v>2.514362375544966</v>
      </c>
      <c r="I67" s="35">
        <v>2.7267634063946335</v>
      </c>
      <c r="J67" s="35">
        <v>2.2235368061828762</v>
      </c>
      <c r="K67" s="104">
        <f t="shared" si="5"/>
        <v>2020</v>
      </c>
      <c r="L67" s="3"/>
      <c r="M67" s="3"/>
    </row>
    <row r="68" spans="7:13">
      <c r="G68" s="31">
        <v>43922</v>
      </c>
      <c r="H68" s="35">
        <v>2.0824451089932068</v>
      </c>
      <c r="I68" s="35">
        <v>1.8098224023743064</v>
      </c>
      <c r="J68" s="35">
        <v>1.9540396667670381</v>
      </c>
      <c r="K68" s="104">
        <f t="shared" si="5"/>
        <v>2020</v>
      </c>
      <c r="L68" s="3"/>
      <c r="M68" s="3"/>
    </row>
    <row r="69" spans="7:13">
      <c r="G69" s="31">
        <v>43952</v>
      </c>
      <c r="H69" s="35">
        <v>2.0292158683970394</v>
      </c>
      <c r="I69" s="35">
        <v>1.7386750712514278</v>
      </c>
      <c r="J69" s="35">
        <v>1.896326126668674</v>
      </c>
      <c r="K69" s="104">
        <f t="shared" si="5"/>
        <v>2020</v>
      </c>
      <c r="L69" s="3"/>
      <c r="M69" s="3"/>
    </row>
    <row r="70" spans="7:13">
      <c r="G70" s="31">
        <v>43983</v>
      </c>
      <c r="H70" s="35">
        <v>2.0586186870120651</v>
      </c>
      <c r="I70" s="35">
        <v>1.7745076426757596</v>
      </c>
      <c r="J70" s="35">
        <v>1.9354709625614772</v>
      </c>
      <c r="K70" s="104">
        <f t="shared" si="5"/>
        <v>2020</v>
      </c>
      <c r="L70" s="3"/>
      <c r="M70" s="3"/>
    </row>
    <row r="71" spans="7:13">
      <c r="G71" s="31">
        <v>44013</v>
      </c>
      <c r="H71" s="35">
        <v>2.2760981557335498</v>
      </c>
      <c r="I71" s="35">
        <v>2.0600808094462648</v>
      </c>
      <c r="J71" s="35">
        <v>2.10058187292984</v>
      </c>
      <c r="K71" s="104">
        <f t="shared" si="5"/>
        <v>2020</v>
      </c>
      <c r="L71" s="3"/>
      <c r="M71" s="3"/>
    </row>
    <row r="72" spans="7:13">
      <c r="G72" s="31">
        <v>44044</v>
      </c>
      <c r="H72" s="35">
        <v>2.2826884426645035</v>
      </c>
      <c r="I72" s="35">
        <v>2.0784631257116377</v>
      </c>
      <c r="J72" s="35">
        <v>2.1045967278932047</v>
      </c>
      <c r="K72" s="104">
        <f t="shared" si="5"/>
        <v>2020</v>
      </c>
      <c r="L72" s="3"/>
      <c r="M72" s="3"/>
    </row>
    <row r="73" spans="7:13">
      <c r="G73" s="31">
        <v>44075</v>
      </c>
      <c r="H73" s="35">
        <v>2.2537925691980125</v>
      </c>
      <c r="I73" s="35">
        <v>2.0709548556877531</v>
      </c>
      <c r="J73" s="35">
        <v>2.0885373080397471</v>
      </c>
      <c r="K73" s="104">
        <f t="shared" si="5"/>
        <v>2020</v>
      </c>
      <c r="L73" s="3"/>
      <c r="M73" s="3"/>
    </row>
    <row r="74" spans="7:13">
      <c r="G74" s="31">
        <v>44105</v>
      </c>
      <c r="H74" s="35">
        <v>2.1645702230558652</v>
      </c>
      <c r="I74" s="35">
        <v>1.9901762264652709</v>
      </c>
      <c r="J74" s="35">
        <v>2.0855261668172238</v>
      </c>
      <c r="K74" s="104">
        <f t="shared" si="5"/>
        <v>2020</v>
      </c>
      <c r="L74" s="3"/>
      <c r="M74" s="3"/>
    </row>
    <row r="75" spans="7:13">
      <c r="G75" s="31">
        <v>44136</v>
      </c>
      <c r="H75" s="35">
        <v>2.2705217590996654</v>
      </c>
      <c r="I75" s="35">
        <v>2.4530999093171868</v>
      </c>
      <c r="J75" s="35">
        <v>2.130191428284653</v>
      </c>
      <c r="K75" s="104">
        <f t="shared" si="5"/>
        <v>2020</v>
      </c>
      <c r="L75" s="3"/>
      <c r="M75" s="3"/>
    </row>
    <row r="76" spans="7:13">
      <c r="G76" s="31">
        <v>44166</v>
      </c>
      <c r="H76" s="35">
        <v>2.5569457680218997</v>
      </c>
      <c r="I76" s="35">
        <v>2.8227139191826205</v>
      </c>
      <c r="J76" s="35">
        <v>2.3886477165512399</v>
      </c>
      <c r="K76" s="104">
        <f t="shared" si="5"/>
        <v>2020</v>
      </c>
      <c r="L76" s="3"/>
      <c r="M76" s="3"/>
    </row>
    <row r="77" spans="7:13">
      <c r="G77" s="31">
        <v>44197</v>
      </c>
      <c r="H77" s="35">
        <v>2.6816542745614926</v>
      </c>
      <c r="I77" s="35">
        <v>2.8251476342938107</v>
      </c>
      <c r="J77" s="35">
        <v>2.5146137910267989</v>
      </c>
      <c r="K77" s="104">
        <f t="shared" si="5"/>
        <v>2021</v>
      </c>
      <c r="L77" s="3"/>
      <c r="M77" s="3"/>
    </row>
    <row r="78" spans="7:13">
      <c r="G78" s="31">
        <v>44228</v>
      </c>
      <c r="H78" s="35">
        <v>2.6056125022812529</v>
      </c>
      <c r="I78" s="35">
        <v>2.6354731991387137</v>
      </c>
      <c r="J78" s="35">
        <v>2.4945395162099766</v>
      </c>
      <c r="K78" s="104">
        <f t="shared" si="5"/>
        <v>2021</v>
      </c>
      <c r="L78" s="3"/>
      <c r="M78" s="3"/>
    </row>
    <row r="79" spans="7:13">
      <c r="G79" s="31">
        <v>44256</v>
      </c>
      <c r="H79" s="35">
        <v>2.3009384680117608</v>
      </c>
      <c r="I79" s="35">
        <v>2.3314141537576791</v>
      </c>
      <c r="J79" s="35">
        <v>2.1853956840309143</v>
      </c>
      <c r="K79" s="104">
        <f t="shared" si="5"/>
        <v>2021</v>
      </c>
      <c r="L79" s="3"/>
      <c r="M79" s="3"/>
    </row>
    <row r="80" spans="7:13">
      <c r="G80" s="31">
        <v>44287</v>
      </c>
      <c r="H80" s="35">
        <v>1.9942366531481297</v>
      </c>
      <c r="I80" s="35">
        <v>1.752759550192784</v>
      </c>
      <c r="J80" s="35">
        <v>1.9545415236374586</v>
      </c>
      <c r="K80" s="104">
        <f t="shared" si="5"/>
        <v>2021</v>
      </c>
      <c r="L80" s="3"/>
      <c r="M80" s="3"/>
    </row>
    <row r="81" spans="7:13">
      <c r="G81" s="31">
        <v>44317</v>
      </c>
      <c r="H81" s="35">
        <v>1.9592574378992196</v>
      </c>
      <c r="I81" s="35">
        <v>1.6969394461531455</v>
      </c>
      <c r="J81" s="35">
        <v>1.8396163003111512</v>
      </c>
      <c r="K81" s="104">
        <f t="shared" si="5"/>
        <v>2021</v>
      </c>
      <c r="L81" s="3"/>
      <c r="M81" s="3"/>
    </row>
    <row r="82" spans="7:13">
      <c r="G82" s="31">
        <v>44348</v>
      </c>
      <c r="H82" s="35">
        <v>1.9937297079995946</v>
      </c>
      <c r="I82" s="35">
        <v>1.7328237987500561</v>
      </c>
      <c r="J82" s="35">
        <v>1.8913075579644685</v>
      </c>
      <c r="K82" s="104">
        <f t="shared" si="5"/>
        <v>2021</v>
      </c>
      <c r="L82" s="3"/>
      <c r="M82" s="3"/>
    </row>
    <row r="83" spans="7:13">
      <c r="G83" s="31">
        <v>44378</v>
      </c>
      <c r="H83" s="35">
        <v>2.1818063581060532</v>
      </c>
      <c r="I83" s="35">
        <v>1.8886851282113832</v>
      </c>
      <c r="J83" s="35">
        <v>2.0147643480879256</v>
      </c>
      <c r="K83" s="104">
        <f t="shared" si="5"/>
        <v>2021</v>
      </c>
      <c r="L83" s="3"/>
      <c r="M83" s="3"/>
    </row>
    <row r="84" spans="7:13">
      <c r="G84" s="31">
        <v>44409</v>
      </c>
      <c r="H84" s="35">
        <v>2.194479986819426</v>
      </c>
      <c r="I84" s="35">
        <v>1.9152488697441612</v>
      </c>
      <c r="J84" s="35">
        <v>2.0248014854963365</v>
      </c>
      <c r="K84" s="104">
        <f t="shared" si="5"/>
        <v>2021</v>
      </c>
      <c r="L84" s="3"/>
      <c r="M84" s="3"/>
    </row>
    <row r="85" spans="7:13">
      <c r="G85" s="31">
        <v>44440</v>
      </c>
      <c r="H85" s="35">
        <v>2.1767369066207034</v>
      </c>
      <c r="I85" s="35">
        <v>1.9203752058294339</v>
      </c>
      <c r="J85" s="35">
        <v>2.0373479072568506</v>
      </c>
      <c r="K85" s="104">
        <f t="shared" si="5"/>
        <v>2021</v>
      </c>
      <c r="L85" s="3"/>
      <c r="M85" s="3"/>
    </row>
    <row r="86" spans="7:13">
      <c r="G86" s="31">
        <v>44470</v>
      </c>
      <c r="H86" s="35">
        <v>2.1321257335496302</v>
      </c>
      <c r="I86" s="35">
        <v>1.9557417467005589</v>
      </c>
      <c r="J86" s="35">
        <v>2.0534073271103082</v>
      </c>
      <c r="K86" s="104">
        <f t="shared" si="5"/>
        <v>2021</v>
      </c>
      <c r="L86" s="3"/>
      <c r="M86" s="3"/>
    </row>
    <row r="87" spans="7:13">
      <c r="G87" s="31">
        <v>44501</v>
      </c>
      <c r="H87" s="35">
        <v>2.2537925691980125</v>
      </c>
      <c r="I87" s="35">
        <v>2.3712856566431348</v>
      </c>
      <c r="J87" s="35">
        <v>2.1462508481381106</v>
      </c>
      <c r="K87" s="104">
        <f t="shared" si="5"/>
        <v>2021</v>
      </c>
      <c r="L87" s="3"/>
      <c r="M87" s="3"/>
    </row>
    <row r="88" spans="7:13">
      <c r="G88" s="31">
        <v>44531</v>
      </c>
      <c r="H88" s="35">
        <v>2.5148693206935011</v>
      </c>
      <c r="I88" s="35">
        <v>2.6812995368706982</v>
      </c>
      <c r="J88" s="35">
        <v>2.417253558165211</v>
      </c>
      <c r="K88" s="104">
        <f t="shared" si="5"/>
        <v>2021</v>
      </c>
      <c r="L88" s="3"/>
      <c r="M88" s="3"/>
    </row>
    <row r="89" spans="7:13">
      <c r="G89" s="31">
        <v>44562</v>
      </c>
      <c r="H89" s="35">
        <v>2.6441403335699079</v>
      </c>
      <c r="I89" s="35">
        <v>2.7434369439649156</v>
      </c>
      <c r="J89" s="35">
        <v>2.4975506574324999</v>
      </c>
      <c r="K89" s="104">
        <f t="shared" si="5"/>
        <v>2022</v>
      </c>
      <c r="L89" s="3"/>
      <c r="M89" s="3"/>
    </row>
    <row r="90" spans="7:13">
      <c r="G90" s="31">
        <v>44593</v>
      </c>
      <c r="H90" s="35">
        <v>2.5985152702017644</v>
      </c>
      <c r="I90" s="35">
        <v>2.6230457177198701</v>
      </c>
      <c r="J90" s="35">
        <v>2.4925320887282947</v>
      </c>
      <c r="K90" s="104">
        <f t="shared" si="5"/>
        <v>2022</v>
      </c>
      <c r="L90" s="3"/>
      <c r="M90" s="3"/>
    </row>
    <row r="91" spans="7:13">
      <c r="G91" s="31">
        <v>44621</v>
      </c>
      <c r="H91" s="35">
        <v>2.3470704765284394</v>
      </c>
      <c r="I91" s="35">
        <v>2.3785350208041263</v>
      </c>
      <c r="J91" s="35">
        <v>2.2636853558165209</v>
      </c>
      <c r="K91" s="104">
        <f t="shared" si="5"/>
        <v>2022</v>
      </c>
      <c r="L91" s="3"/>
      <c r="M91" s="3"/>
    </row>
    <row r="92" spans="7:13">
      <c r="G92" s="31">
        <v>44652</v>
      </c>
      <c r="H92" s="35">
        <v>1.984604695325966</v>
      </c>
      <c r="I92" s="35">
        <v>1.7959968292958433</v>
      </c>
      <c r="J92" s="35">
        <v>1.9249319682826458</v>
      </c>
      <c r="K92" s="104">
        <f t="shared" si="5"/>
        <v>2022</v>
      </c>
      <c r="L92" s="3"/>
      <c r="M92" s="3"/>
    </row>
    <row r="93" spans="7:13">
      <c r="G93" s="31">
        <v>44682</v>
      </c>
      <c r="H93" s="35">
        <v>2.1562563226198921</v>
      </c>
      <c r="I93" s="35">
        <v>1.956104214908609</v>
      </c>
      <c r="J93" s="35">
        <v>2.0346378801565792</v>
      </c>
      <c r="K93" s="104">
        <f t="shared" si="5"/>
        <v>2022</v>
      </c>
      <c r="L93" s="3"/>
      <c r="M93" s="3"/>
    </row>
    <row r="94" spans="7:13">
      <c r="G94" s="31">
        <v>44713</v>
      </c>
      <c r="H94" s="35">
        <v>2.1796771884822062</v>
      </c>
      <c r="I94" s="35">
        <v>1.9771791521480639</v>
      </c>
      <c r="J94" s="35">
        <v>2.0753886580347287</v>
      </c>
      <c r="K94" s="104">
        <f t="shared" si="5"/>
        <v>2022</v>
      </c>
      <c r="L94" s="3"/>
      <c r="M94" s="3"/>
    </row>
    <row r="95" spans="7:13">
      <c r="G95" s="31">
        <v>44743</v>
      </c>
      <c r="H95" s="35">
        <v>2.3048926401703338</v>
      </c>
      <c r="I95" s="35">
        <v>2.1091693610506965</v>
      </c>
      <c r="J95" s="35">
        <v>2.1366151962260362</v>
      </c>
      <c r="K95" s="104">
        <f t="shared" si="5"/>
        <v>2022</v>
      </c>
      <c r="L95" s="3"/>
      <c r="M95" s="3"/>
    </row>
    <row r="96" spans="7:13">
      <c r="G96" s="31">
        <v>44774</v>
      </c>
      <c r="H96" s="35">
        <v>2.3236496106661257</v>
      </c>
      <c r="I96" s="35">
        <v>2.1383221612123999</v>
      </c>
      <c r="J96" s="35">
        <v>2.1526746160794943</v>
      </c>
      <c r="K96" s="104">
        <f t="shared" si="5"/>
        <v>2022</v>
      </c>
      <c r="L96" s="3"/>
      <c r="M96" s="3"/>
    </row>
    <row r="97" spans="7:13">
      <c r="G97" s="31">
        <v>44805</v>
      </c>
      <c r="H97" s="35">
        <v>2.3210134958937441</v>
      </c>
      <c r="I97" s="35">
        <v>2.1091175798781179</v>
      </c>
      <c r="J97" s="35">
        <v>2.1801763725785408</v>
      </c>
      <c r="K97" s="104">
        <f t="shared" si="5"/>
        <v>2022</v>
      </c>
      <c r="L97" s="3"/>
      <c r="M97" s="3"/>
    </row>
    <row r="98" spans="7:13">
      <c r="G98" s="31">
        <v>44835</v>
      </c>
      <c r="H98" s="35">
        <v>2.2987079093582077</v>
      </c>
      <c r="I98" s="35">
        <v>2.1299853924272591</v>
      </c>
      <c r="J98" s="35">
        <v>2.2183174947305027</v>
      </c>
      <c r="K98" s="104">
        <f t="shared" si="5"/>
        <v>2022</v>
      </c>
      <c r="L98" s="3"/>
      <c r="M98" s="3"/>
    </row>
    <row r="99" spans="7:13">
      <c r="G99" s="31">
        <v>44866</v>
      </c>
      <c r="H99" s="35">
        <v>2.4714748159789108</v>
      </c>
      <c r="I99" s="35">
        <v>2.5379174700007932</v>
      </c>
      <c r="J99" s="35">
        <v>2.3617481882966977</v>
      </c>
      <c r="K99" s="104">
        <f t="shared" si="5"/>
        <v>2022</v>
      </c>
      <c r="L99" s="3"/>
      <c r="M99" s="3"/>
    </row>
    <row r="100" spans="7:13">
      <c r="G100" s="31">
        <v>44896</v>
      </c>
      <c r="H100" s="35">
        <v>2.6891570627598096</v>
      </c>
      <c r="I100" s="35">
        <v>2.8963467465892672</v>
      </c>
      <c r="J100" s="35">
        <v>2.589791950215798</v>
      </c>
      <c r="K100" s="104">
        <f t="shared" si="5"/>
        <v>2022</v>
      </c>
      <c r="L100" s="3"/>
      <c r="M100" s="3"/>
    </row>
    <row r="101" spans="7:13">
      <c r="G101" s="31">
        <v>44927</v>
      </c>
      <c r="H101" s="35">
        <v>2.7437043607421678</v>
      </c>
      <c r="I101" s="35">
        <v>2.8865601049719278</v>
      </c>
      <c r="J101" s="35">
        <v>2.5961153467830971</v>
      </c>
      <c r="K101" s="104">
        <f t="shared" si="5"/>
        <v>2023</v>
      </c>
      <c r="L101" s="3"/>
      <c r="M101" s="3"/>
    </row>
    <row r="102" spans="7:13">
      <c r="G102" s="31">
        <v>44958</v>
      </c>
      <c r="H102" s="35">
        <v>2.6954431826016423</v>
      </c>
      <c r="I102" s="35">
        <v>2.7059473750180709</v>
      </c>
      <c r="J102" s="35">
        <v>2.5884871223527051</v>
      </c>
      <c r="K102" s="104">
        <f t="shared" si="5"/>
        <v>2023</v>
      </c>
      <c r="L102" s="3"/>
      <c r="M102" s="3"/>
    </row>
    <row r="103" spans="7:13">
      <c r="G103" s="31">
        <v>44986</v>
      </c>
      <c r="H103" s="35">
        <v>2.5314971215654469</v>
      </c>
      <c r="I103" s="35">
        <v>2.4958711578670396</v>
      </c>
      <c r="J103" s="35">
        <v>2.4462608852755192</v>
      </c>
      <c r="K103" s="104">
        <f t="shared" si="5"/>
        <v>2023</v>
      </c>
      <c r="L103" s="3"/>
      <c r="M103" s="3"/>
    </row>
    <row r="104" spans="7:13">
      <c r="G104" s="31">
        <v>45017</v>
      </c>
      <c r="H104" s="35">
        <v>2.3056023633782821</v>
      </c>
      <c r="I104" s="35">
        <v>2.1948154204955586</v>
      </c>
      <c r="J104" s="35">
        <v>2.2427077386329421</v>
      </c>
      <c r="K104" s="104">
        <f t="shared" si="5"/>
        <v>2023</v>
      </c>
      <c r="L104" s="3"/>
      <c r="M104" s="3"/>
    </row>
    <row r="105" spans="7:13">
      <c r="G105" s="31">
        <v>45047</v>
      </c>
      <c r="H105" s="35">
        <v>2.3532552073405655</v>
      </c>
      <c r="I105" s="35">
        <v>2.2152172024914933</v>
      </c>
      <c r="J105" s="35">
        <v>2.229659460002007</v>
      </c>
      <c r="K105" s="104">
        <f t="shared" si="5"/>
        <v>2023</v>
      </c>
      <c r="L105" s="3"/>
      <c r="M105" s="3"/>
    </row>
    <row r="106" spans="7:13">
      <c r="G106" s="31">
        <v>45078</v>
      </c>
      <c r="H106" s="35">
        <v>2.3657260579945252</v>
      </c>
      <c r="I106" s="35">
        <v>2.2215862867186504</v>
      </c>
      <c r="J106" s="35">
        <v>2.2595701294790724</v>
      </c>
      <c r="K106" s="104">
        <f t="shared" si="5"/>
        <v>2023</v>
      </c>
      <c r="L106" s="3"/>
      <c r="M106" s="3"/>
    </row>
    <row r="107" spans="7:13">
      <c r="G107" s="31">
        <v>45108</v>
      </c>
      <c r="H107" s="35">
        <v>2.427877533204907</v>
      </c>
      <c r="I107" s="35">
        <v>2.3296535938900091</v>
      </c>
      <c r="J107" s="35">
        <v>2.2583656729900627</v>
      </c>
      <c r="K107" s="104">
        <f t="shared" si="5"/>
        <v>2023</v>
      </c>
      <c r="L107" s="3"/>
      <c r="M107" s="3"/>
    </row>
    <row r="108" spans="7:13">
      <c r="G108" s="31">
        <v>45139</v>
      </c>
      <c r="H108" s="35">
        <v>2.4528192345128255</v>
      </c>
      <c r="I108" s="35">
        <v>2.3613954526806382</v>
      </c>
      <c r="J108" s="35">
        <v>2.2805477466626516</v>
      </c>
      <c r="K108" s="104">
        <f t="shared" si="5"/>
        <v>2023</v>
      </c>
      <c r="L108" s="3"/>
      <c r="M108" s="3"/>
    </row>
    <row r="109" spans="7:13">
      <c r="G109" s="31">
        <v>45170</v>
      </c>
      <c r="H109" s="35">
        <v>2.4652900851667847</v>
      </c>
      <c r="I109" s="35">
        <v>2.2978599539268019</v>
      </c>
      <c r="J109" s="35">
        <v>2.3230048379002306</v>
      </c>
      <c r="K109" s="104">
        <f t="shared" si="5"/>
        <v>2023</v>
      </c>
      <c r="L109" s="3"/>
      <c r="M109" s="3"/>
    </row>
    <row r="110" spans="7:13">
      <c r="G110" s="31">
        <v>45200</v>
      </c>
      <c r="H110" s="35">
        <v>2.4652900851667847</v>
      </c>
      <c r="I110" s="35">
        <v>2.304229038153959</v>
      </c>
      <c r="J110" s="35">
        <v>2.3832276623506972</v>
      </c>
      <c r="K110" s="104">
        <f t="shared" si="5"/>
        <v>2023</v>
      </c>
      <c r="L110" s="3"/>
      <c r="M110" s="3"/>
    </row>
    <row r="111" spans="7:13">
      <c r="G111" s="31">
        <v>45231</v>
      </c>
      <c r="H111" s="35">
        <v>2.6892584517895162</v>
      </c>
      <c r="I111" s="35">
        <v>2.7046528457036083</v>
      </c>
      <c r="J111" s="35">
        <v>2.5773458998293686</v>
      </c>
      <c r="K111" s="104">
        <f t="shared" si="5"/>
        <v>2023</v>
      </c>
      <c r="L111" s="3"/>
      <c r="M111" s="3"/>
    </row>
    <row r="112" spans="7:13">
      <c r="G112" s="31">
        <v>45261</v>
      </c>
      <c r="H112" s="35">
        <v>2.8634448048261181</v>
      </c>
      <c r="I112" s="35">
        <v>3.1113939563078361</v>
      </c>
      <c r="J112" s="35">
        <v>2.7623303422663854</v>
      </c>
      <c r="K112" s="104">
        <f t="shared" si="5"/>
        <v>2023</v>
      </c>
      <c r="L112" s="3"/>
      <c r="M112" s="3"/>
    </row>
    <row r="113" spans="7:13">
      <c r="G113" s="31">
        <v>45292</v>
      </c>
      <c r="H113" s="35">
        <v>2.8432683879144274</v>
      </c>
      <c r="I113" s="35">
        <v>3.0296314848063624</v>
      </c>
      <c r="J113" s="35">
        <v>2.6946800361336947</v>
      </c>
      <c r="K113" s="104">
        <f t="shared" ref="K113:K159" si="6">YEAR(G113)</f>
        <v>2024</v>
      </c>
      <c r="L113" s="3"/>
      <c r="M113" s="3"/>
    </row>
    <row r="114" spans="7:13">
      <c r="G114" s="31">
        <v>45323</v>
      </c>
      <c r="H114" s="35">
        <v>2.792269705971814</v>
      </c>
      <c r="I114" s="35">
        <v>2.7888490323162722</v>
      </c>
      <c r="J114" s="35">
        <v>2.6843417846030313</v>
      </c>
      <c r="K114" s="104">
        <f t="shared" si="6"/>
        <v>2024</v>
      </c>
      <c r="L114" s="3"/>
      <c r="M114" s="3"/>
    </row>
    <row r="115" spans="7:13">
      <c r="G115" s="31">
        <v>45352</v>
      </c>
      <c r="H115" s="35">
        <v>2.7158223775727466</v>
      </c>
      <c r="I115" s="35">
        <v>2.6131037325847952</v>
      </c>
      <c r="J115" s="35">
        <v>2.6287360433604334</v>
      </c>
      <c r="K115" s="104">
        <f t="shared" si="6"/>
        <v>2024</v>
      </c>
      <c r="L115" s="3"/>
      <c r="M115" s="3"/>
    </row>
    <row r="116" spans="7:13">
      <c r="G116" s="31">
        <v>45383</v>
      </c>
      <c r="H116" s="35">
        <v>2.6266000314305993</v>
      </c>
      <c r="I116" s="35">
        <v>2.5935822305226957</v>
      </c>
      <c r="J116" s="35">
        <v>2.5604835089832378</v>
      </c>
      <c r="K116" s="104">
        <f t="shared" si="6"/>
        <v>2024</v>
      </c>
      <c r="L116" s="3"/>
      <c r="M116" s="3"/>
    </row>
    <row r="117" spans="7:13">
      <c r="G117" s="31">
        <v>45413</v>
      </c>
      <c r="H117" s="35">
        <v>2.6521500669167595</v>
      </c>
      <c r="I117" s="35">
        <v>2.6196281603296878</v>
      </c>
      <c r="J117" s="35">
        <v>2.5255542708019671</v>
      </c>
      <c r="K117" s="104">
        <f t="shared" si="6"/>
        <v>2024</v>
      </c>
      <c r="L117" s="3"/>
      <c r="M117" s="3"/>
    </row>
    <row r="118" spans="7:13">
      <c r="G118" s="31">
        <v>45444</v>
      </c>
      <c r="H118" s="35">
        <v>2.6648236956301328</v>
      </c>
      <c r="I118" s="35">
        <v>2.6000548770950096</v>
      </c>
      <c r="J118" s="35">
        <v>2.5556656830272004</v>
      </c>
      <c r="K118" s="104">
        <f t="shared" si="6"/>
        <v>2024</v>
      </c>
      <c r="L118" s="3"/>
      <c r="M118" s="3"/>
    </row>
    <row r="119" spans="7:13">
      <c r="G119" s="31">
        <v>45474</v>
      </c>
      <c r="H119" s="35">
        <v>2.792269705971814</v>
      </c>
      <c r="I119" s="35">
        <v>2.7692757490815936</v>
      </c>
      <c r="J119" s="35">
        <v>2.619100391448359</v>
      </c>
      <c r="K119" s="104">
        <f t="shared" si="6"/>
        <v>2024</v>
      </c>
      <c r="L119" s="3"/>
      <c r="M119" s="3"/>
    </row>
    <row r="120" spans="7:13">
      <c r="G120" s="31">
        <v>45505</v>
      </c>
      <c r="H120" s="35">
        <v>2.8304933701713475</v>
      </c>
      <c r="I120" s="35">
        <v>2.8213676086955788</v>
      </c>
      <c r="J120" s="35">
        <v>2.6544311151259659</v>
      </c>
      <c r="K120" s="104">
        <f t="shared" si="6"/>
        <v>2024</v>
      </c>
      <c r="L120" s="3"/>
      <c r="M120" s="3"/>
    </row>
    <row r="121" spans="7:13">
      <c r="G121" s="31">
        <v>45536</v>
      </c>
      <c r="H121" s="35">
        <v>2.8432683879144274</v>
      </c>
      <c r="I121" s="35">
        <v>2.7563304559369648</v>
      </c>
      <c r="J121" s="35">
        <v>2.6971893204857973</v>
      </c>
      <c r="K121" s="104">
        <f t="shared" si="6"/>
        <v>2024</v>
      </c>
      <c r="L121" s="3"/>
      <c r="M121" s="3"/>
    </row>
    <row r="122" spans="7:13">
      <c r="G122" s="31">
        <v>45566</v>
      </c>
      <c r="H122" s="35">
        <v>2.8814920521139613</v>
      </c>
      <c r="I122" s="35">
        <v>2.8148431809506862</v>
      </c>
      <c r="J122" s="35">
        <v>2.7952521529659742</v>
      </c>
      <c r="K122" s="104">
        <f t="shared" si="6"/>
        <v>2024</v>
      </c>
      <c r="L122" s="3"/>
      <c r="M122" s="3"/>
    </row>
    <row r="123" spans="7:13">
      <c r="G123" s="31">
        <v>45597</v>
      </c>
      <c r="H123" s="35">
        <v>3.0217130801987224</v>
      </c>
      <c r="I123" s="35">
        <v>3.1272389951168615</v>
      </c>
      <c r="J123" s="35">
        <v>2.906463635451169</v>
      </c>
      <c r="K123" s="104">
        <f t="shared" si="6"/>
        <v>2024</v>
      </c>
      <c r="L123" s="3"/>
      <c r="M123" s="3"/>
    </row>
    <row r="124" spans="7:13">
      <c r="G124" s="31">
        <v>45627</v>
      </c>
      <c r="H124" s="35">
        <v>3.2000563834533104</v>
      </c>
      <c r="I124" s="35">
        <v>3.4917266688970221</v>
      </c>
      <c r="J124" s="35">
        <v>3.0955633042256347</v>
      </c>
      <c r="K124" s="104">
        <f t="shared" si="6"/>
        <v>2024</v>
      </c>
      <c r="L124" s="3"/>
      <c r="M124" s="3"/>
    </row>
    <row r="125" spans="7:13">
      <c r="G125" s="31">
        <v>45658</v>
      </c>
      <c r="H125" s="35">
        <v>3.2087758400081108</v>
      </c>
      <c r="I125" s="35">
        <v>3.4585867184467736</v>
      </c>
      <c r="J125" s="35">
        <v>3.0565188397069156</v>
      </c>
      <c r="K125" s="104">
        <f t="shared" si="6"/>
        <v>2025</v>
      </c>
      <c r="L125" s="3"/>
      <c r="M125" s="3"/>
    </row>
    <row r="126" spans="7:13">
      <c r="G126" s="31">
        <v>45689</v>
      </c>
      <c r="H126" s="35">
        <v>3.1956966551759103</v>
      </c>
      <c r="I126" s="35">
        <v>3.265546507074073</v>
      </c>
      <c r="J126" s="35">
        <v>3.0837194820837097</v>
      </c>
      <c r="K126" s="104">
        <f t="shared" si="6"/>
        <v>2025</v>
      </c>
      <c r="L126" s="3"/>
      <c r="M126" s="3"/>
    </row>
    <row r="127" spans="7:13">
      <c r="G127" s="31">
        <v>45717</v>
      </c>
      <c r="H127" s="35">
        <v>3.0783895478049277</v>
      </c>
      <c r="I127" s="35">
        <v>3.0258514592081314</v>
      </c>
      <c r="J127" s="35">
        <v>2.9876640770852152</v>
      </c>
      <c r="K127" s="104">
        <f t="shared" si="6"/>
        <v>2025</v>
      </c>
      <c r="L127" s="3"/>
      <c r="M127" s="3"/>
    </row>
    <row r="128" spans="7:13">
      <c r="G128" s="31">
        <v>45748</v>
      </c>
      <c r="H128" s="35">
        <v>3.0131964017033357</v>
      </c>
      <c r="I128" s="35">
        <v>2.9326453485668056</v>
      </c>
      <c r="J128" s="35">
        <v>2.9431995583659538</v>
      </c>
      <c r="K128" s="104">
        <f t="shared" si="6"/>
        <v>2025</v>
      </c>
      <c r="L128" s="3"/>
      <c r="M128" s="3"/>
    </row>
    <row r="129" spans="7:13">
      <c r="G129" s="31">
        <v>45778</v>
      </c>
      <c r="H129" s="35">
        <v>3.0131964017033357</v>
      </c>
      <c r="I129" s="35">
        <v>2.9127095971240777</v>
      </c>
      <c r="J129" s="35">
        <v>2.8829767339154873</v>
      </c>
      <c r="K129" s="104">
        <f t="shared" si="6"/>
        <v>2025</v>
      </c>
      <c r="L129" s="3"/>
      <c r="M129" s="3"/>
    </row>
    <row r="130" spans="7:13">
      <c r="G130" s="31">
        <v>45809</v>
      </c>
      <c r="H130" s="35">
        <v>3.0131964017033357</v>
      </c>
      <c r="I130" s="35">
        <v>2.9326453485668056</v>
      </c>
      <c r="J130" s="35">
        <v>2.9005417243802065</v>
      </c>
      <c r="K130" s="104">
        <f t="shared" si="6"/>
        <v>2025</v>
      </c>
      <c r="L130" s="3"/>
      <c r="M130" s="3"/>
    </row>
    <row r="131" spans="7:13">
      <c r="G131" s="31">
        <v>45839</v>
      </c>
      <c r="H131" s="35">
        <v>3.1696396745412145</v>
      </c>
      <c r="I131" s="35">
        <v>3.0857622758814718</v>
      </c>
      <c r="J131" s="35">
        <v>2.9926826457894209</v>
      </c>
      <c r="K131" s="104">
        <f t="shared" si="6"/>
        <v>2025</v>
      </c>
      <c r="L131" s="3"/>
      <c r="M131" s="3"/>
    </row>
    <row r="132" spans="7:13">
      <c r="G132" s="31">
        <v>45870</v>
      </c>
      <c r="H132" s="35">
        <v>3.1956966551759103</v>
      </c>
      <c r="I132" s="35">
        <v>3.1123777985868277</v>
      </c>
      <c r="J132" s="35">
        <v>3.0159688045769348</v>
      </c>
      <c r="K132" s="104">
        <f t="shared" si="6"/>
        <v>2025</v>
      </c>
      <c r="L132" s="3"/>
      <c r="M132" s="3"/>
    </row>
    <row r="133" spans="7:13">
      <c r="G133" s="31">
        <v>45901</v>
      </c>
      <c r="H133" s="35">
        <v>3.2087758400081108</v>
      </c>
      <c r="I133" s="35">
        <v>3.0524669819134873</v>
      </c>
      <c r="J133" s="35">
        <v>3.0590281240590182</v>
      </c>
      <c r="K133" s="104">
        <f t="shared" si="6"/>
        <v>2025</v>
      </c>
      <c r="L133" s="3"/>
      <c r="M133" s="3"/>
    </row>
    <row r="134" spans="7:13">
      <c r="G134" s="31">
        <v>45931</v>
      </c>
      <c r="H134" s="35">
        <v>3.1827188593734159</v>
      </c>
      <c r="I134" s="35">
        <v>3.0724545145287938</v>
      </c>
      <c r="J134" s="35">
        <v>3.0934555053698687</v>
      </c>
      <c r="K134" s="104">
        <f t="shared" si="6"/>
        <v>2025</v>
      </c>
      <c r="L134" s="3"/>
      <c r="M134" s="3"/>
    </row>
    <row r="135" spans="7:13">
      <c r="G135" s="31">
        <v>45962</v>
      </c>
      <c r="H135" s="35">
        <v>3.3912760934806854</v>
      </c>
      <c r="I135" s="35">
        <v>3.4385991858314666</v>
      </c>
      <c r="J135" s="35">
        <v>3.2723172939877547</v>
      </c>
      <c r="K135" s="104">
        <f t="shared" si="6"/>
        <v>2025</v>
      </c>
      <c r="L135" s="3"/>
      <c r="M135" s="3"/>
    </row>
    <row r="136" spans="7:13">
      <c r="G136" s="31">
        <v>45992</v>
      </c>
      <c r="H136" s="35">
        <v>3.57377634695326</v>
      </c>
      <c r="I136" s="35">
        <v>3.8115271907419253</v>
      </c>
      <c r="J136" s="35">
        <v>3.4655321890996684</v>
      </c>
      <c r="K136" s="104">
        <f t="shared" si="6"/>
        <v>2025</v>
      </c>
      <c r="L136" s="3"/>
      <c r="M136" s="3"/>
    </row>
    <row r="137" spans="7:13">
      <c r="G137" s="31">
        <v>46023</v>
      </c>
      <c r="H137" s="35">
        <v>3.5762096836662272</v>
      </c>
      <c r="I137" s="35">
        <v>3.7763159933885353</v>
      </c>
      <c r="J137" s="35">
        <v>3.4202646993877348</v>
      </c>
      <c r="K137" s="104">
        <f t="shared" ref="K137:K148" si="7">YEAR(G137)</f>
        <v>2026</v>
      </c>
      <c r="L137" s="3"/>
      <c r="M137" s="3"/>
    </row>
    <row r="138" spans="7:13">
      <c r="G138" s="31">
        <v>46054</v>
      </c>
      <c r="H138" s="35">
        <v>3.5495443688532902</v>
      </c>
      <c r="I138" s="35">
        <v>3.5652041527859337</v>
      </c>
      <c r="J138" s="35">
        <v>3.4340155776372576</v>
      </c>
      <c r="K138" s="104">
        <f t="shared" si="7"/>
        <v>2026</v>
      </c>
      <c r="L138" s="3"/>
      <c r="M138" s="3"/>
    </row>
    <row r="139" spans="7:13">
      <c r="G139" s="31">
        <v>46082</v>
      </c>
      <c r="H139" s="35">
        <v>3.3495038132414074</v>
      </c>
      <c r="I139" s="35">
        <v>3.3200203006266693</v>
      </c>
      <c r="J139" s="35">
        <v>3.2560571313861284</v>
      </c>
      <c r="K139" s="104">
        <f t="shared" si="7"/>
        <v>2026</v>
      </c>
      <c r="L139" s="3"/>
      <c r="M139" s="3"/>
    </row>
    <row r="140" spans="7:13">
      <c r="G140" s="31">
        <v>46113</v>
      </c>
      <c r="H140" s="35">
        <v>3.2161772391767212</v>
      </c>
      <c r="I140" s="35">
        <v>3.1974024839607482</v>
      </c>
      <c r="J140" s="35">
        <v>3.1441430492823446</v>
      </c>
      <c r="K140" s="104">
        <f t="shared" si="7"/>
        <v>2026</v>
      </c>
      <c r="L140" s="3"/>
      <c r="M140" s="3"/>
    </row>
    <row r="141" spans="7:13">
      <c r="G141" s="31">
        <v>46143</v>
      </c>
      <c r="H141" s="35">
        <v>3.2027938872553987</v>
      </c>
      <c r="I141" s="35">
        <v>3.1633304724040858</v>
      </c>
      <c r="J141" s="35">
        <v>3.0706712034527754</v>
      </c>
      <c r="K141" s="104">
        <f t="shared" si="7"/>
        <v>2026</v>
      </c>
      <c r="L141" s="3"/>
      <c r="M141" s="3"/>
    </row>
    <row r="142" spans="7:13">
      <c r="G142" s="31">
        <v>46174</v>
      </c>
      <c r="H142" s="35">
        <v>3.2161772391767212</v>
      </c>
      <c r="I142" s="35">
        <v>3.1973507027881696</v>
      </c>
      <c r="J142" s="35">
        <v>3.1014852152965973</v>
      </c>
      <c r="K142" s="104">
        <f t="shared" si="7"/>
        <v>2026</v>
      </c>
      <c r="L142" s="3"/>
      <c r="M142" s="3"/>
    </row>
    <row r="143" spans="7:13">
      <c r="G143" s="31">
        <v>46204</v>
      </c>
      <c r="H143" s="35">
        <v>3.4028344428672819</v>
      </c>
      <c r="I143" s="35">
        <v>3.3472571974029677</v>
      </c>
      <c r="J143" s="35">
        <v>3.2235368061828766</v>
      </c>
      <c r="K143" s="104">
        <f t="shared" si="7"/>
        <v>2026</v>
      </c>
      <c r="L143" s="3"/>
      <c r="M143" s="3"/>
    </row>
    <row r="144" spans="7:13">
      <c r="G144" s="31">
        <v>46235</v>
      </c>
      <c r="H144" s="35">
        <v>3.4028344428672819</v>
      </c>
      <c r="I144" s="35">
        <v>3.3608238646185384</v>
      </c>
      <c r="J144" s="35">
        <v>3.221027521830774</v>
      </c>
      <c r="K144" s="104">
        <f t="shared" si="7"/>
        <v>2026</v>
      </c>
      <c r="L144" s="3"/>
      <c r="M144" s="3"/>
    </row>
    <row r="145" spans="7:13">
      <c r="G145" s="31">
        <v>46266</v>
      </c>
      <c r="H145" s="35">
        <v>3.3761691280543444</v>
      </c>
      <c r="I145" s="35">
        <v>3.2654947259014939</v>
      </c>
      <c r="J145" s="35">
        <v>3.2247412626718859</v>
      </c>
      <c r="K145" s="104">
        <f t="shared" si="7"/>
        <v>2026</v>
      </c>
      <c r="L145" s="3"/>
      <c r="M145" s="3"/>
    </row>
    <row r="146" spans="7:13">
      <c r="G146" s="31">
        <v>46296</v>
      </c>
      <c r="H146" s="35">
        <v>3.3761691280543444</v>
      </c>
      <c r="I146" s="35">
        <v>3.2927316226777923</v>
      </c>
      <c r="J146" s="35">
        <v>3.2849640871223524</v>
      </c>
      <c r="K146" s="104">
        <f t="shared" si="7"/>
        <v>2026</v>
      </c>
      <c r="L146" s="3"/>
      <c r="M146" s="3"/>
    </row>
    <row r="147" spans="7:13">
      <c r="G147" s="31">
        <v>46327</v>
      </c>
      <c r="H147" s="35">
        <v>3.5762096836662272</v>
      </c>
      <c r="I147" s="35">
        <v>3.6741517398911272</v>
      </c>
      <c r="J147" s="35">
        <v>3.4553946803171733</v>
      </c>
      <c r="K147" s="104">
        <f t="shared" si="7"/>
        <v>2026</v>
      </c>
      <c r="L147" s="3"/>
      <c r="M147" s="3"/>
    </row>
    <row r="148" spans="7:13">
      <c r="G148" s="31">
        <v>46357</v>
      </c>
      <c r="H148" s="35">
        <v>3.7495849244651729</v>
      </c>
      <c r="I148" s="35">
        <v>4.0828087538807605</v>
      </c>
      <c r="J148" s="35">
        <v>3.6395761517615175</v>
      </c>
      <c r="K148" s="104">
        <f t="shared" si="7"/>
        <v>2026</v>
      </c>
      <c r="L148" s="3"/>
      <c r="M148" s="3"/>
    </row>
    <row r="149" spans="7:13">
      <c r="G149" s="31">
        <v>46388</v>
      </c>
      <c r="H149" s="35">
        <v>3.7678349498124302</v>
      </c>
      <c r="I149" s="35">
        <v>4.0371895408390897</v>
      </c>
      <c r="J149" s="35">
        <v>3.6099665964067045</v>
      </c>
      <c r="K149" s="104">
        <f t="shared" si="6"/>
        <v>2027</v>
      </c>
      <c r="L149" s="3"/>
      <c r="M149" s="3"/>
    </row>
    <row r="150" spans="7:13">
      <c r="G150" s="31">
        <v>46419</v>
      </c>
      <c r="H150" s="35">
        <v>3.7269751708405154</v>
      </c>
      <c r="I150" s="35">
        <v>3.8072293534179087</v>
      </c>
      <c r="J150" s="35">
        <v>3.6096654822844525</v>
      </c>
      <c r="K150" s="104">
        <f t="shared" si="6"/>
        <v>2027</v>
      </c>
      <c r="L150" s="3"/>
      <c r="M150" s="3"/>
    </row>
    <row r="151" spans="7:13">
      <c r="G151" s="31">
        <v>46447</v>
      </c>
      <c r="H151" s="35">
        <v>3.5495443688532902</v>
      </c>
      <c r="I151" s="35">
        <v>3.5215008431296679</v>
      </c>
      <c r="J151" s="35">
        <v>3.45408985245408</v>
      </c>
      <c r="K151" s="104">
        <f t="shared" si="6"/>
        <v>2027</v>
      </c>
      <c r="L151" s="3"/>
      <c r="M151" s="3"/>
    </row>
    <row r="152" spans="7:13">
      <c r="G152" s="31">
        <v>46478</v>
      </c>
      <c r="H152" s="35">
        <v>3.3586288259150359</v>
      </c>
      <c r="I152" s="35">
        <v>3.3334316243245041</v>
      </c>
      <c r="J152" s="35">
        <v>3.2851648298705207</v>
      </c>
      <c r="K152" s="104">
        <f t="shared" si="6"/>
        <v>2027</v>
      </c>
      <c r="L152" s="3"/>
      <c r="M152" s="3"/>
    </row>
    <row r="153" spans="7:13">
      <c r="G153" s="31">
        <v>46508</v>
      </c>
      <c r="H153" s="35">
        <v>3.3449413069045928</v>
      </c>
      <c r="I153" s="35">
        <v>3.3125120306027847</v>
      </c>
      <c r="J153" s="35">
        <v>3.2113918699186987</v>
      </c>
      <c r="K153" s="104">
        <f t="shared" si="6"/>
        <v>2027</v>
      </c>
      <c r="L153" s="3"/>
      <c r="M153" s="3"/>
    </row>
    <row r="154" spans="7:13">
      <c r="G154" s="31">
        <v>46539</v>
      </c>
      <c r="H154" s="35">
        <v>3.3449413069045928</v>
      </c>
      <c r="I154" s="35">
        <v>3.3125120306027851</v>
      </c>
      <c r="J154" s="35">
        <v>3.2289568603834184</v>
      </c>
      <c r="K154" s="104">
        <f t="shared" si="6"/>
        <v>2027</v>
      </c>
      <c r="L154" s="3"/>
      <c r="M154" s="3"/>
    </row>
    <row r="155" spans="7:13">
      <c r="G155" s="31">
        <v>46569</v>
      </c>
      <c r="H155" s="35">
        <v>3.5359582388725541</v>
      </c>
      <c r="I155" s="35">
        <v>3.5076234888786257</v>
      </c>
      <c r="J155" s="35">
        <v>3.3553244203553145</v>
      </c>
      <c r="K155" s="104">
        <f t="shared" si="6"/>
        <v>2027</v>
      </c>
      <c r="L155" s="3"/>
      <c r="M155" s="3"/>
    </row>
    <row r="156" spans="7:13">
      <c r="G156" s="31">
        <v>46600</v>
      </c>
      <c r="H156" s="35">
        <v>3.5359582388725541</v>
      </c>
      <c r="I156" s="35">
        <v>3.5076234888786257</v>
      </c>
      <c r="J156" s="35">
        <v>3.3528151360032119</v>
      </c>
      <c r="K156" s="104">
        <f t="shared" si="6"/>
        <v>2027</v>
      </c>
      <c r="L156" s="3"/>
      <c r="M156" s="3"/>
    </row>
    <row r="157" spans="7:13">
      <c r="G157" s="31">
        <v>46631</v>
      </c>
      <c r="H157" s="35">
        <v>3.4949970708709319</v>
      </c>
      <c r="I157" s="35">
        <v>3.3542994368736458</v>
      </c>
      <c r="J157" s="35">
        <v>3.342376513098464</v>
      </c>
      <c r="K157" s="104">
        <f t="shared" si="6"/>
        <v>2027</v>
      </c>
      <c r="L157" s="3"/>
      <c r="M157" s="3"/>
    </row>
    <row r="158" spans="7:13">
      <c r="G158" s="31">
        <v>46661</v>
      </c>
      <c r="H158" s="35">
        <v>3.4949970708709319</v>
      </c>
      <c r="I158" s="35">
        <v>3.423996895164326</v>
      </c>
      <c r="J158" s="35">
        <v>3.402599337548931</v>
      </c>
      <c r="K158" s="104">
        <f t="shared" si="6"/>
        <v>2027</v>
      </c>
      <c r="L158" s="3"/>
      <c r="M158" s="3"/>
    </row>
    <row r="159" spans="7:13">
      <c r="G159" s="31">
        <v>46692</v>
      </c>
      <c r="H159" s="35">
        <v>3.7132876518300724</v>
      </c>
      <c r="I159" s="35">
        <v>3.8281489471396286</v>
      </c>
      <c r="J159" s="35">
        <v>3.5910967780788918</v>
      </c>
      <c r="K159" s="104">
        <f t="shared" si="6"/>
        <v>2027</v>
      </c>
      <c r="L159" s="3"/>
      <c r="M159" s="3"/>
    </row>
    <row r="160" spans="7:13">
      <c r="G160" s="31">
        <v>46722</v>
      </c>
      <c r="H160" s="35">
        <v>3.8906170647875902</v>
      </c>
      <c r="I160" s="35">
        <v>4.2461783533659725</v>
      </c>
      <c r="J160" s="35">
        <v>3.7791927331125161</v>
      </c>
      <c r="K160" s="104">
        <f t="shared" ref="K160:K223" si="8">YEAR(G160)</f>
        <v>2027</v>
      </c>
      <c r="L160" s="3"/>
      <c r="M160" s="3"/>
    </row>
    <row r="161" spans="7:13">
      <c r="G161" s="31">
        <v>46753</v>
      </c>
      <c r="H161" s="35">
        <v>3.9284351728682956</v>
      </c>
      <c r="I161" s="35">
        <v>4.2194074871428811</v>
      </c>
      <c r="J161" s="35">
        <v>3.7689548529559369</v>
      </c>
      <c r="K161" s="104">
        <f t="shared" si="8"/>
        <v>2028</v>
      </c>
      <c r="L161" s="3"/>
      <c r="M161" s="3"/>
    </row>
    <row r="162" spans="7:13">
      <c r="G162" s="31">
        <v>46784</v>
      </c>
      <c r="H162" s="35">
        <v>3.8725698174997465</v>
      </c>
      <c r="I162" s="35">
        <v>3.9625728711534505</v>
      </c>
      <c r="J162" s="35">
        <v>3.7537987754692357</v>
      </c>
      <c r="K162" s="104">
        <f t="shared" si="8"/>
        <v>2028</v>
      </c>
      <c r="L162" s="3"/>
      <c r="M162" s="3"/>
    </row>
    <row r="163" spans="7:13">
      <c r="G163" s="31">
        <v>46813</v>
      </c>
      <c r="H163" s="35">
        <v>3.7188640484639564</v>
      </c>
      <c r="I163" s="35">
        <v>3.7128322758072771</v>
      </c>
      <c r="J163" s="35">
        <v>3.6217100471745458</v>
      </c>
      <c r="K163" s="104">
        <f t="shared" si="8"/>
        <v>2028</v>
      </c>
      <c r="L163" s="3"/>
      <c r="M163" s="3"/>
    </row>
    <row r="164" spans="7:13">
      <c r="G164" s="31">
        <v>46844</v>
      </c>
      <c r="H164" s="35">
        <v>3.5791499655277299</v>
      </c>
      <c r="I164" s="35">
        <v>3.5915607696283973</v>
      </c>
      <c r="J164" s="35">
        <v>3.5034725685034629</v>
      </c>
      <c r="K164" s="104">
        <f t="shared" si="8"/>
        <v>2028</v>
      </c>
      <c r="L164" s="3"/>
      <c r="M164" s="3"/>
    </row>
    <row r="165" spans="7:13">
      <c r="G165" s="31">
        <v>46874</v>
      </c>
      <c r="H165" s="35">
        <v>3.5651582794281658</v>
      </c>
      <c r="I165" s="35">
        <v>3.5772691659967273</v>
      </c>
      <c r="J165" s="35">
        <v>3.4293984944293885</v>
      </c>
      <c r="K165" s="104">
        <f t="shared" si="8"/>
        <v>2028</v>
      </c>
      <c r="L165" s="3"/>
      <c r="M165" s="3"/>
    </row>
    <row r="166" spans="7:13">
      <c r="G166" s="31">
        <v>46905</v>
      </c>
      <c r="H166" s="35">
        <v>3.5651582794281658</v>
      </c>
      <c r="I166" s="35">
        <v>3.5915607696283969</v>
      </c>
      <c r="J166" s="35">
        <v>3.4469634848941082</v>
      </c>
      <c r="K166" s="104">
        <f t="shared" si="8"/>
        <v>2028</v>
      </c>
      <c r="L166" s="3"/>
      <c r="M166" s="3"/>
    </row>
    <row r="167" spans="7:13">
      <c r="G167" s="31">
        <v>46935</v>
      </c>
      <c r="H167" s="35">
        <v>3.7887210899320691</v>
      </c>
      <c r="I167" s="35">
        <v>3.7556553055297086</v>
      </c>
      <c r="J167" s="35">
        <v>3.6055502559470036</v>
      </c>
      <c r="K167" s="104">
        <f t="shared" si="8"/>
        <v>2028</v>
      </c>
      <c r="L167" s="3"/>
      <c r="M167" s="3"/>
    </row>
    <row r="168" spans="7:13">
      <c r="G168" s="31">
        <v>46966</v>
      </c>
      <c r="H168" s="35">
        <v>3.8027127760316337</v>
      </c>
      <c r="I168" s="35">
        <v>3.7699469091613782</v>
      </c>
      <c r="J168" s="35">
        <v>3.6168922212185084</v>
      </c>
      <c r="K168" s="104">
        <f t="shared" si="8"/>
        <v>2028</v>
      </c>
      <c r="L168" s="3"/>
      <c r="M168" s="3"/>
    </row>
    <row r="169" spans="7:13">
      <c r="G169" s="31">
        <v>46997</v>
      </c>
      <c r="H169" s="35">
        <v>3.7887210899320691</v>
      </c>
      <c r="I169" s="35">
        <v>3.6771550479006812</v>
      </c>
      <c r="J169" s="35">
        <v>3.6331523838201347</v>
      </c>
      <c r="K169" s="104">
        <f t="shared" si="8"/>
        <v>2028</v>
      </c>
      <c r="L169" s="3"/>
      <c r="M169" s="3"/>
    </row>
    <row r="170" spans="7:13">
      <c r="G170" s="31">
        <v>47027</v>
      </c>
      <c r="H170" s="35">
        <v>3.7887210899320691</v>
      </c>
      <c r="I170" s="35">
        <v>3.7485095037138736</v>
      </c>
      <c r="J170" s="35">
        <v>3.6933752082706013</v>
      </c>
      <c r="K170" s="104">
        <f t="shared" si="8"/>
        <v>2028</v>
      </c>
      <c r="L170" s="3"/>
      <c r="M170" s="3"/>
    </row>
    <row r="171" spans="7:13">
      <c r="G171" s="31">
        <v>47058</v>
      </c>
      <c r="H171" s="35">
        <v>3.970308842137281</v>
      </c>
      <c r="I171" s="35">
        <v>4.1124275845956708</v>
      </c>
      <c r="J171" s="35">
        <v>3.8455382113821135</v>
      </c>
      <c r="K171" s="104">
        <f t="shared" si="8"/>
        <v>2028</v>
      </c>
      <c r="L171" s="3"/>
      <c r="M171" s="3"/>
    </row>
    <row r="172" spans="7:13">
      <c r="G172" s="31">
        <v>47088</v>
      </c>
      <c r="H172" s="35">
        <v>4.1798799665416198</v>
      </c>
      <c r="I172" s="35">
        <v>4.5618881625771728</v>
      </c>
      <c r="J172" s="35">
        <v>4.0655522633744861</v>
      </c>
      <c r="K172" s="104">
        <f t="shared" si="8"/>
        <v>2028</v>
      </c>
      <c r="L172" s="3"/>
      <c r="M172" s="3"/>
    </row>
    <row r="173" spans="7:13">
      <c r="G173" s="31">
        <v>47119</v>
      </c>
      <c r="H173" s="35">
        <v>4.2089786180675253</v>
      </c>
      <c r="I173" s="35">
        <v>4.5323211130348415</v>
      </c>
      <c r="J173" s="35">
        <v>4.0466824450466721</v>
      </c>
      <c r="K173" s="104">
        <f t="shared" si="8"/>
        <v>2029</v>
      </c>
      <c r="L173" s="3"/>
      <c r="M173" s="3"/>
    </row>
    <row r="174" spans="7:13">
      <c r="G174" s="31">
        <v>47150</v>
      </c>
      <c r="H174" s="35">
        <v>4.165989669471764</v>
      </c>
      <c r="I174" s="35">
        <v>4.3350866266832808</v>
      </c>
      <c r="J174" s="35">
        <v>4.0442735320686536</v>
      </c>
      <c r="K174" s="104">
        <f t="shared" si="8"/>
        <v>2029</v>
      </c>
      <c r="L174" s="3"/>
      <c r="M174" s="3"/>
    </row>
    <row r="175" spans="7:13">
      <c r="G175" s="31">
        <v>47178</v>
      </c>
      <c r="H175" s="35">
        <v>3.9800421889891515</v>
      </c>
      <c r="I175" s="35">
        <v>4.0281796168104282</v>
      </c>
      <c r="J175" s="35">
        <v>3.8802667068152163</v>
      </c>
      <c r="K175" s="104">
        <f t="shared" si="8"/>
        <v>2029</v>
      </c>
      <c r="L175" s="3"/>
      <c r="M175" s="3"/>
    </row>
    <row r="176" spans="7:13">
      <c r="G176" s="31">
        <v>47209</v>
      </c>
      <c r="H176" s="35">
        <v>3.708218200344723</v>
      </c>
      <c r="I176" s="35">
        <v>3.7578818959505846</v>
      </c>
      <c r="J176" s="35">
        <v>3.6312453277125365</v>
      </c>
      <c r="K176" s="104">
        <f t="shared" si="8"/>
        <v>2029</v>
      </c>
      <c r="L176" s="3"/>
      <c r="M176" s="3"/>
    </row>
    <row r="177" spans="7:13">
      <c r="G177" s="31">
        <v>47239</v>
      </c>
      <c r="H177" s="35">
        <v>3.6796264939673531</v>
      </c>
      <c r="I177" s="35">
        <v>3.743227824110865</v>
      </c>
      <c r="J177" s="35">
        <v>3.5427177757703503</v>
      </c>
      <c r="K177" s="104">
        <f t="shared" si="8"/>
        <v>2029</v>
      </c>
      <c r="L177" s="3"/>
      <c r="M177" s="3"/>
    </row>
    <row r="178" spans="7:13">
      <c r="G178" s="31">
        <v>47270</v>
      </c>
      <c r="H178" s="35">
        <v>3.6939223471560378</v>
      </c>
      <c r="I178" s="35">
        <v>3.7578818959505846</v>
      </c>
      <c r="J178" s="35">
        <v>3.5744351299809294</v>
      </c>
      <c r="K178" s="104">
        <f t="shared" si="8"/>
        <v>2029</v>
      </c>
      <c r="L178" s="3"/>
      <c r="M178" s="3"/>
    </row>
    <row r="179" spans="7:13">
      <c r="G179" s="31">
        <v>47300</v>
      </c>
      <c r="H179" s="35">
        <v>3.8942670698570416</v>
      </c>
      <c r="I179" s="35">
        <v>3.9040083649671518</v>
      </c>
      <c r="J179" s="35">
        <v>3.7100368563685637</v>
      </c>
      <c r="K179" s="104">
        <f t="shared" si="8"/>
        <v>2029</v>
      </c>
      <c r="L179" s="3"/>
      <c r="M179" s="3"/>
    </row>
    <row r="180" spans="7:13">
      <c r="G180" s="31">
        <v>47331</v>
      </c>
      <c r="H180" s="35">
        <v>3.9085629230457268</v>
      </c>
      <c r="I180" s="35">
        <v>3.9113095103007218</v>
      </c>
      <c r="J180" s="35">
        <v>3.7216799357623205</v>
      </c>
      <c r="K180" s="104">
        <f t="shared" si="8"/>
        <v>2029</v>
      </c>
      <c r="L180" s="3"/>
      <c r="M180" s="3"/>
    </row>
    <row r="181" spans="7:13">
      <c r="G181" s="31">
        <v>47362</v>
      </c>
      <c r="H181" s="35">
        <v>3.8512781212612794</v>
      </c>
      <c r="I181" s="35">
        <v>3.7651830412841552</v>
      </c>
      <c r="J181" s="35">
        <v>3.6950815216300308</v>
      </c>
      <c r="K181" s="104">
        <f t="shared" si="8"/>
        <v>2029</v>
      </c>
      <c r="L181" s="3"/>
      <c r="M181" s="3"/>
    </row>
    <row r="182" spans="7:13">
      <c r="G182" s="31">
        <v>47392</v>
      </c>
      <c r="H182" s="35">
        <v>3.8512781212612794</v>
      </c>
      <c r="I182" s="35">
        <v>3.845547421126009</v>
      </c>
      <c r="J182" s="35">
        <v>3.7553043460804978</v>
      </c>
      <c r="K182" s="104">
        <f t="shared" si="8"/>
        <v>2029</v>
      </c>
      <c r="L182" s="3"/>
      <c r="M182" s="3"/>
    </row>
    <row r="183" spans="7:13">
      <c r="G183" s="31">
        <v>47423</v>
      </c>
      <c r="H183" s="35">
        <v>4.0229297485552067</v>
      </c>
      <c r="I183" s="35">
        <v>4.1451015044927129</v>
      </c>
      <c r="J183" s="35">
        <v>3.8976309545317678</v>
      </c>
      <c r="K183" s="104">
        <f t="shared" si="8"/>
        <v>2029</v>
      </c>
      <c r="L183" s="3"/>
      <c r="M183" s="3"/>
    </row>
    <row r="184" spans="7:13">
      <c r="G184" s="31">
        <v>47453</v>
      </c>
      <c r="H184" s="35">
        <v>4.28045788401095</v>
      </c>
      <c r="I184" s="35">
        <v>4.5688786208752719</v>
      </c>
      <c r="J184" s="35">
        <v>4.1651206664659242</v>
      </c>
      <c r="K184" s="104">
        <f t="shared" si="8"/>
        <v>2029</v>
      </c>
      <c r="L184" s="3"/>
      <c r="M184" s="3"/>
    </row>
    <row r="185" spans="7:13">
      <c r="G185" s="31">
        <v>47484</v>
      </c>
      <c r="H185" s="35">
        <v>4.3206079397749164</v>
      </c>
      <c r="I185" s="35">
        <v>4.5541209866903953</v>
      </c>
      <c r="J185" s="35">
        <v>4.1571913279132788</v>
      </c>
      <c r="K185" s="104">
        <f t="shared" si="8"/>
        <v>2030</v>
      </c>
      <c r="L185" s="3"/>
      <c r="M185" s="3"/>
    </row>
    <row r="186" spans="7:13">
      <c r="G186" s="31">
        <v>47515</v>
      </c>
      <c r="H186" s="35">
        <v>4.2621064696339852</v>
      </c>
      <c r="I186" s="35">
        <v>4.3374167794493141</v>
      </c>
      <c r="J186" s="35">
        <v>4.1394255947003913</v>
      </c>
      <c r="K186" s="104">
        <f t="shared" si="8"/>
        <v>2030</v>
      </c>
      <c r="L186" s="3"/>
      <c r="M186" s="3"/>
    </row>
    <row r="187" spans="7:13">
      <c r="G187" s="31">
        <v>47543</v>
      </c>
      <c r="H187" s="35">
        <v>4.027999200040556</v>
      </c>
      <c r="I187" s="35">
        <v>4.0234675301057834</v>
      </c>
      <c r="J187" s="35">
        <v>3.9277423667570006</v>
      </c>
      <c r="K187" s="104">
        <f t="shared" si="8"/>
        <v>2030</v>
      </c>
      <c r="L187" s="3"/>
      <c r="M187" s="3"/>
    </row>
    <row r="188" spans="7:13">
      <c r="G188" s="31">
        <v>47574</v>
      </c>
      <c r="H188" s="35">
        <v>3.7352890712764881</v>
      </c>
      <c r="I188" s="35">
        <v>3.7693773162630144</v>
      </c>
      <c r="J188" s="35">
        <v>3.658044484592994</v>
      </c>
      <c r="K188" s="104">
        <f t="shared" si="8"/>
        <v>2030</v>
      </c>
      <c r="L188" s="3"/>
      <c r="M188" s="3"/>
    </row>
    <row r="189" spans="7:13">
      <c r="G189" s="31">
        <v>47604</v>
      </c>
      <c r="H189" s="35">
        <v>3.749889091554294</v>
      </c>
      <c r="I189" s="35">
        <v>3.8067115416921231</v>
      </c>
      <c r="J189" s="35">
        <v>3.6122751380106393</v>
      </c>
      <c r="K189" s="104">
        <f t="shared" si="8"/>
        <v>2030</v>
      </c>
      <c r="L189" s="3"/>
      <c r="M189" s="3"/>
    </row>
    <row r="190" spans="7:13">
      <c r="G190" s="31">
        <v>47635</v>
      </c>
      <c r="H190" s="35">
        <v>3.7937905414174184</v>
      </c>
      <c r="I190" s="35">
        <v>3.8515540371451165</v>
      </c>
      <c r="J190" s="35">
        <v>3.6733009334537789</v>
      </c>
      <c r="K190" s="104">
        <f t="shared" si="8"/>
        <v>2030</v>
      </c>
      <c r="L190" s="3"/>
      <c r="M190" s="3"/>
    </row>
    <row r="191" spans="7:13">
      <c r="G191" s="31">
        <v>47665</v>
      </c>
      <c r="H191" s="35">
        <v>4.0571992405961677</v>
      </c>
      <c r="I191" s="35">
        <v>4.0533452666835856</v>
      </c>
      <c r="J191" s="35">
        <v>3.8713336545217301</v>
      </c>
      <c r="K191" s="104">
        <f t="shared" si="8"/>
        <v>2030</v>
      </c>
      <c r="L191" s="3"/>
      <c r="M191" s="3"/>
    </row>
    <row r="192" spans="7:13">
      <c r="G192" s="31">
        <v>47696</v>
      </c>
      <c r="H192" s="35">
        <v>4.1158020997668059</v>
      </c>
      <c r="I192" s="35">
        <v>4.1206090098630757</v>
      </c>
      <c r="J192" s="35">
        <v>3.9268390243902438</v>
      </c>
      <c r="K192" s="104">
        <f t="shared" si="8"/>
        <v>2030</v>
      </c>
      <c r="L192" s="3"/>
      <c r="M192" s="3"/>
    </row>
    <row r="193" spans="7:13">
      <c r="G193" s="31">
        <v>47727</v>
      </c>
      <c r="H193" s="35">
        <v>4.0571992405961677</v>
      </c>
      <c r="I193" s="35">
        <v>3.9860815235040965</v>
      </c>
      <c r="J193" s="35">
        <v>3.8989357823948607</v>
      </c>
      <c r="K193" s="104">
        <f t="shared" si="8"/>
        <v>2030</v>
      </c>
      <c r="L193" s="3"/>
      <c r="M193" s="3"/>
    </row>
    <row r="194" spans="7:13">
      <c r="G194" s="31">
        <v>47757</v>
      </c>
      <c r="H194" s="35">
        <v>4.0865006701814863</v>
      </c>
      <c r="I194" s="35">
        <v>4.0683100255587767</v>
      </c>
      <c r="J194" s="35">
        <v>3.9881659339556359</v>
      </c>
      <c r="K194" s="104">
        <f t="shared" si="8"/>
        <v>2030</v>
      </c>
      <c r="L194" s="3"/>
      <c r="M194" s="3"/>
    </row>
    <row r="195" spans="7:13">
      <c r="G195" s="31">
        <v>47788</v>
      </c>
      <c r="H195" s="35">
        <v>4.3206079397749164</v>
      </c>
      <c r="I195" s="35">
        <v>4.4420665292304911</v>
      </c>
      <c r="J195" s="35">
        <v>4.1923213088427174</v>
      </c>
      <c r="K195" s="104">
        <f t="shared" si="8"/>
        <v>2030</v>
      </c>
      <c r="L195" s="3"/>
      <c r="M195" s="3"/>
    </row>
    <row r="196" spans="7:13">
      <c r="G196" s="31">
        <v>47818</v>
      </c>
      <c r="H196" s="35">
        <v>4.6280194778464967</v>
      </c>
      <c r="I196" s="35">
        <v>4.9054562426356139</v>
      </c>
      <c r="J196" s="35">
        <v>4.5091937368262576</v>
      </c>
      <c r="K196" s="104">
        <f t="shared" si="8"/>
        <v>2030</v>
      </c>
      <c r="L196" s="3"/>
      <c r="M196" s="3"/>
    </row>
    <row r="197" spans="7:13">
      <c r="G197" s="31">
        <v>47849</v>
      </c>
      <c r="H197" s="35">
        <v>4.6598556331744909</v>
      </c>
      <c r="I197" s="35">
        <v>4.9033332145598951</v>
      </c>
      <c r="J197" s="35">
        <v>4.4930339455987145</v>
      </c>
      <c r="K197" s="104">
        <f t="shared" si="8"/>
        <v>2031</v>
      </c>
      <c r="L197" s="3"/>
      <c r="M197" s="3"/>
    </row>
    <row r="198" spans="7:13">
      <c r="G198" s="31">
        <v>47880</v>
      </c>
      <c r="H198" s="35">
        <v>4.5550193764574676</v>
      </c>
      <c r="I198" s="35">
        <v>4.6586153929538368</v>
      </c>
      <c r="J198" s="35">
        <v>4.4293984944293889</v>
      </c>
      <c r="K198" s="104">
        <f t="shared" si="8"/>
        <v>2031</v>
      </c>
      <c r="L198" s="3"/>
      <c r="M198" s="3"/>
    </row>
    <row r="199" spans="7:13">
      <c r="G199" s="31">
        <v>47908</v>
      </c>
      <c r="H199" s="35">
        <v>4.3903635922133226</v>
      </c>
      <c r="I199" s="35">
        <v>4.4216129660619776</v>
      </c>
      <c r="J199" s="35">
        <v>4.2864696577336137</v>
      </c>
      <c r="K199" s="104">
        <f t="shared" si="8"/>
        <v>2031</v>
      </c>
      <c r="L199" s="3"/>
      <c r="M199" s="3"/>
    </row>
    <row r="200" spans="7:13">
      <c r="G200" s="31">
        <v>47939</v>
      </c>
      <c r="H200" s="35">
        <v>4.0909617874885935</v>
      </c>
      <c r="I200" s="35">
        <v>4.0928543013609922</v>
      </c>
      <c r="J200" s="35">
        <v>4.0101472648800565</v>
      </c>
      <c r="K200" s="104">
        <f t="shared" si="8"/>
        <v>2031</v>
      </c>
      <c r="L200" s="3"/>
      <c r="M200" s="3"/>
    </row>
    <row r="201" spans="7:13">
      <c r="G201" s="31">
        <v>47969</v>
      </c>
      <c r="H201" s="35">
        <v>4.0609506346953266</v>
      </c>
      <c r="I201" s="35">
        <v>4.1004661337300341</v>
      </c>
      <c r="J201" s="35">
        <v>3.9202145137006927</v>
      </c>
      <c r="K201" s="104">
        <f t="shared" si="8"/>
        <v>2031</v>
      </c>
      <c r="L201" s="3"/>
      <c r="M201" s="3"/>
    </row>
    <row r="202" spans="7:13">
      <c r="G202" s="31">
        <v>48000</v>
      </c>
      <c r="H202" s="35">
        <v>4.0759562110919605</v>
      </c>
      <c r="I202" s="35">
        <v>4.1004661337300341</v>
      </c>
      <c r="J202" s="35">
        <v>3.9526344675298604</v>
      </c>
      <c r="K202" s="104">
        <f t="shared" si="8"/>
        <v>2031</v>
      </c>
      <c r="L202" s="3"/>
      <c r="M202" s="3"/>
    </row>
    <row r="203" spans="7:13">
      <c r="G203" s="31">
        <v>48030</v>
      </c>
      <c r="H203" s="35">
        <v>4.4801942725337121</v>
      </c>
      <c r="I203" s="35">
        <v>4.4216129660619776</v>
      </c>
      <c r="J203" s="35">
        <v>4.2900830272006427</v>
      </c>
      <c r="K203" s="104">
        <f t="shared" si="8"/>
        <v>2031</v>
      </c>
      <c r="L203" s="3"/>
      <c r="M203" s="3"/>
    </row>
    <row r="204" spans="7:13">
      <c r="G204" s="31">
        <v>48061</v>
      </c>
      <c r="H204" s="35">
        <v>4.4950984599006389</v>
      </c>
      <c r="I204" s="35">
        <v>4.4598274714249211</v>
      </c>
      <c r="J204" s="35">
        <v>4.3023283348389043</v>
      </c>
      <c r="K204" s="104">
        <f t="shared" si="8"/>
        <v>2031</v>
      </c>
      <c r="L204" s="3"/>
      <c r="M204" s="3"/>
    </row>
    <row r="205" spans="7:13">
      <c r="G205" s="31">
        <v>48092</v>
      </c>
      <c r="H205" s="35">
        <v>4.4052677795802495</v>
      </c>
      <c r="I205" s="35">
        <v>4.2839786093482868</v>
      </c>
      <c r="J205" s="35">
        <v>4.2435107096256148</v>
      </c>
      <c r="K205" s="104">
        <f t="shared" si="8"/>
        <v>2031</v>
      </c>
      <c r="L205" s="3"/>
      <c r="M205" s="3"/>
    </row>
    <row r="206" spans="7:13">
      <c r="G206" s="31">
        <v>48122</v>
      </c>
      <c r="H206" s="35">
        <v>4.4052677795802495</v>
      </c>
      <c r="I206" s="35">
        <v>4.3375203417944714</v>
      </c>
      <c r="J206" s="35">
        <v>4.3037335340760814</v>
      </c>
      <c r="K206" s="104">
        <f t="shared" si="8"/>
        <v>2031</v>
      </c>
      <c r="L206" s="3"/>
      <c r="M206" s="3"/>
    </row>
    <row r="207" spans="7:13">
      <c r="G207" s="31">
        <v>48153</v>
      </c>
      <c r="H207" s="35">
        <v>4.4950984599006389</v>
      </c>
      <c r="I207" s="35">
        <v>4.6280645011325134</v>
      </c>
      <c r="J207" s="35">
        <v>4.3650604436414735</v>
      </c>
      <c r="K207" s="104">
        <f t="shared" si="8"/>
        <v>2031</v>
      </c>
      <c r="L207" s="3"/>
      <c r="M207" s="3"/>
    </row>
    <row r="208" spans="7:13">
      <c r="G208" s="31">
        <v>48183</v>
      </c>
      <c r="H208" s="35">
        <v>4.7047709733346856</v>
      </c>
      <c r="I208" s="35">
        <v>4.9874258388274013</v>
      </c>
      <c r="J208" s="35">
        <v>4.5851748670079289</v>
      </c>
      <c r="K208" s="104">
        <f t="shared" si="8"/>
        <v>2031</v>
      </c>
      <c r="L208" s="3"/>
      <c r="M208" s="3"/>
    </row>
    <row r="209" spans="7:13">
      <c r="G209" s="31">
        <v>48214</v>
      </c>
      <c r="H209" s="35">
        <v>4.7519168721484339</v>
      </c>
      <c r="I209" s="35">
        <v>4.9376641319794494</v>
      </c>
      <c r="J209" s="35">
        <v>4.5841711532670883</v>
      </c>
      <c r="K209" s="104">
        <f t="shared" si="8"/>
        <v>2032</v>
      </c>
      <c r="L209" s="3"/>
      <c r="M209" s="3"/>
    </row>
    <row r="210" spans="7:13">
      <c r="G210" s="31">
        <v>48245</v>
      </c>
      <c r="H210" s="35">
        <v>4.64474866774815</v>
      </c>
      <c r="I210" s="35">
        <v>4.6874057249074914</v>
      </c>
      <c r="J210" s="35">
        <v>4.5182271604938267</v>
      </c>
      <c r="K210" s="104">
        <f t="shared" si="8"/>
        <v>2032</v>
      </c>
      <c r="L210" s="3"/>
      <c r="M210" s="3"/>
    </row>
    <row r="211" spans="7:13">
      <c r="G211" s="31">
        <v>48274</v>
      </c>
      <c r="H211" s="35">
        <v>4.5835096938051301</v>
      </c>
      <c r="I211" s="35">
        <v>4.5778367637313551</v>
      </c>
      <c r="J211" s="35">
        <v>4.4776771253638463</v>
      </c>
      <c r="K211" s="104">
        <f t="shared" si="8"/>
        <v>2032</v>
      </c>
      <c r="L211" s="3"/>
      <c r="M211" s="3"/>
    </row>
    <row r="212" spans="7:13">
      <c r="G212" s="31">
        <v>48305</v>
      </c>
      <c r="H212" s="35">
        <v>4.384381639460611</v>
      </c>
      <c r="I212" s="35">
        <v>4.3509834466648849</v>
      </c>
      <c r="J212" s="35">
        <v>4.3006220214794739</v>
      </c>
      <c r="K212" s="104">
        <f t="shared" si="8"/>
        <v>2032</v>
      </c>
      <c r="L212" s="3"/>
      <c r="M212" s="3"/>
    </row>
    <row r="213" spans="7:13">
      <c r="G213" s="31">
        <v>48335</v>
      </c>
      <c r="H213" s="35">
        <v>4.384381639460611</v>
      </c>
      <c r="I213" s="35">
        <v>4.3666213607835971</v>
      </c>
      <c r="J213" s="35">
        <v>4.2403991970290074</v>
      </c>
      <c r="K213" s="104">
        <f t="shared" si="8"/>
        <v>2032</v>
      </c>
      <c r="L213" s="3"/>
      <c r="M213" s="3"/>
    </row>
    <row r="214" spans="7:13">
      <c r="G214" s="31">
        <v>48366</v>
      </c>
      <c r="H214" s="35">
        <v>4.4150011264321201</v>
      </c>
      <c r="I214" s="35">
        <v>4.4135868843123074</v>
      </c>
      <c r="J214" s="35">
        <v>4.2882763424671282</v>
      </c>
      <c r="K214" s="104">
        <f t="shared" si="8"/>
        <v>2032</v>
      </c>
      <c r="L214" s="3"/>
      <c r="M214" s="3"/>
    </row>
    <row r="215" spans="7:13">
      <c r="G215" s="31">
        <v>48396</v>
      </c>
      <c r="H215" s="35">
        <v>4.64474866774815</v>
      </c>
      <c r="I215" s="35">
        <v>4.6091125919687777</v>
      </c>
      <c r="J215" s="35">
        <v>4.4529857673391549</v>
      </c>
      <c r="K215" s="104">
        <f t="shared" si="8"/>
        <v>2032</v>
      </c>
      <c r="L215" s="3"/>
      <c r="M215" s="3"/>
    </row>
    <row r="216" spans="7:13">
      <c r="G216" s="31">
        <v>48427</v>
      </c>
      <c r="H216" s="35">
        <v>4.705987641691169</v>
      </c>
      <c r="I216" s="35">
        <v>4.6560781154974897</v>
      </c>
      <c r="J216" s="35">
        <v>4.5111007929338554</v>
      </c>
      <c r="K216" s="104">
        <f t="shared" si="8"/>
        <v>2032</v>
      </c>
      <c r="L216" s="3"/>
      <c r="M216" s="3"/>
    </row>
    <row r="217" spans="7:13">
      <c r="G217" s="31">
        <v>48458</v>
      </c>
      <c r="H217" s="35">
        <v>4.6600584112339041</v>
      </c>
      <c r="I217" s="35">
        <v>4.5230522831432864</v>
      </c>
      <c r="J217" s="35">
        <v>4.4957439726989854</v>
      </c>
      <c r="K217" s="104">
        <f t="shared" si="8"/>
        <v>2032</v>
      </c>
      <c r="L217" s="3"/>
      <c r="M217" s="3"/>
    </row>
    <row r="218" spans="7:13">
      <c r="G218" s="31">
        <v>48488</v>
      </c>
      <c r="H218" s="35">
        <v>4.6600584112339041</v>
      </c>
      <c r="I218" s="35">
        <v>4.6247505060874889</v>
      </c>
      <c r="J218" s="35">
        <v>4.5559667971494529</v>
      </c>
      <c r="K218" s="104">
        <f t="shared" si="8"/>
        <v>2032</v>
      </c>
      <c r="L218" s="3"/>
      <c r="M218" s="3"/>
    </row>
    <row r="219" spans="7:13">
      <c r="G219" s="31">
        <v>48519</v>
      </c>
      <c r="H219" s="35">
        <v>4.8591864655784249</v>
      </c>
      <c r="I219" s="35">
        <v>4.9689917413894502</v>
      </c>
      <c r="J219" s="35">
        <v>4.7254940479775165</v>
      </c>
      <c r="K219" s="104">
        <f t="shared" si="8"/>
        <v>2032</v>
      </c>
      <c r="L219" s="3"/>
      <c r="M219" s="3"/>
    </row>
    <row r="220" spans="7:13">
      <c r="G220" s="31">
        <v>48549</v>
      </c>
      <c r="H220" s="35">
        <v>5.1501729808374739</v>
      </c>
      <c r="I220" s="35">
        <v>5.4070086802311002</v>
      </c>
      <c r="J220" s="35">
        <v>5.0261063133594295</v>
      </c>
      <c r="K220" s="104">
        <f t="shared" si="8"/>
        <v>2032</v>
      </c>
      <c r="L220" s="3"/>
      <c r="M220" s="3"/>
    </row>
    <row r="221" spans="7:13">
      <c r="G221" s="31">
        <v>48580</v>
      </c>
      <c r="H221" s="35">
        <v>5.1905258146608535</v>
      </c>
      <c r="I221" s="35">
        <v>5.4030733111151346</v>
      </c>
      <c r="J221" s="35">
        <v>5.0183777175549533</v>
      </c>
      <c r="K221" s="104">
        <f t="shared" si="8"/>
        <v>2033</v>
      </c>
      <c r="L221" s="3"/>
      <c r="M221" s="3"/>
    </row>
    <row r="222" spans="7:13">
      <c r="G222" s="31">
        <v>48611</v>
      </c>
      <c r="H222" s="35">
        <v>5.1905258146608535</v>
      </c>
      <c r="I222" s="35">
        <v>5.235043406097855</v>
      </c>
      <c r="J222" s="35">
        <v>5.058526267188598</v>
      </c>
      <c r="K222" s="104">
        <f t="shared" si="8"/>
        <v>2033</v>
      </c>
      <c r="L222" s="3"/>
      <c r="M222" s="3"/>
    </row>
    <row r="223" spans="7:13">
      <c r="G223" s="31">
        <v>48639</v>
      </c>
      <c r="H223" s="35">
        <v>4.9868352539795193</v>
      </c>
      <c r="I223" s="35">
        <v>4.9869598082741948</v>
      </c>
      <c r="J223" s="35">
        <v>4.8769544514704402</v>
      </c>
      <c r="K223" s="104">
        <f t="shared" si="8"/>
        <v>2033</v>
      </c>
      <c r="L223" s="3"/>
      <c r="M223" s="3"/>
    </row>
    <row r="224" spans="7:13">
      <c r="G224" s="31">
        <v>48670</v>
      </c>
      <c r="H224" s="35">
        <v>4.7988599929027673</v>
      </c>
      <c r="I224" s="35">
        <v>4.7549283739498733</v>
      </c>
      <c r="J224" s="35">
        <v>4.7109401987353205</v>
      </c>
      <c r="K224" s="104">
        <f t="shared" ref="K224:K311" si="9">YEAR(G224)</f>
        <v>2033</v>
      </c>
      <c r="L224" s="3"/>
      <c r="M224" s="3"/>
    </row>
    <row r="225" spans="7:13">
      <c r="G225" s="31">
        <v>48700</v>
      </c>
      <c r="H225" s="35">
        <v>4.8144739034776443</v>
      </c>
      <c r="I225" s="35">
        <v>4.7549283739498733</v>
      </c>
      <c r="J225" s="35">
        <v>4.6661745658938072</v>
      </c>
      <c r="K225" s="104">
        <f t="shared" si="9"/>
        <v>2033</v>
      </c>
      <c r="L225" s="3"/>
      <c r="M225" s="3"/>
    </row>
    <row r="226" spans="7:13">
      <c r="G226" s="31">
        <v>48731</v>
      </c>
      <c r="H226" s="35">
        <v>4.8458031136571025</v>
      </c>
      <c r="I226" s="35">
        <v>4.7869291386033952</v>
      </c>
      <c r="J226" s="35">
        <v>4.714754310950517</v>
      </c>
      <c r="K226" s="104">
        <f t="shared" si="9"/>
        <v>2033</v>
      </c>
      <c r="L226" s="3"/>
      <c r="M226" s="3"/>
    </row>
    <row r="227" spans="7:13">
      <c r="G227" s="31">
        <v>48761</v>
      </c>
      <c r="H227" s="35">
        <v>5.0181644641589784</v>
      </c>
      <c r="I227" s="35">
        <v>4.8989318148907213</v>
      </c>
      <c r="J227" s="35">
        <v>4.8226535380909361</v>
      </c>
      <c r="K227" s="104">
        <f t="shared" si="9"/>
        <v>2033</v>
      </c>
      <c r="L227" s="3"/>
      <c r="M227" s="3"/>
    </row>
    <row r="228" spans="7:13">
      <c r="G228" s="31">
        <v>48792</v>
      </c>
      <c r="H228" s="35">
        <v>5.0338797637635615</v>
      </c>
      <c r="I228" s="35">
        <v>4.9309325795442422</v>
      </c>
      <c r="J228" s="35">
        <v>4.8357018167218708</v>
      </c>
      <c r="K228" s="104">
        <f t="shared" si="9"/>
        <v>2033</v>
      </c>
      <c r="L228" s="3"/>
      <c r="M228" s="3"/>
    </row>
    <row r="229" spans="7:13">
      <c r="G229" s="31">
        <v>48823</v>
      </c>
      <c r="H229" s="35">
        <v>5.0338797637635615</v>
      </c>
      <c r="I229" s="35">
        <v>4.8349302855836775</v>
      </c>
      <c r="J229" s="35">
        <v>4.8658132289471041</v>
      </c>
      <c r="K229" s="104">
        <f t="shared" si="9"/>
        <v>2033</v>
      </c>
      <c r="L229" s="3"/>
      <c r="M229" s="3"/>
    </row>
    <row r="230" spans="7:13">
      <c r="G230" s="31">
        <v>48853</v>
      </c>
      <c r="H230" s="35">
        <v>5.0025505535841024</v>
      </c>
      <c r="I230" s="35">
        <v>4.8669828314097776</v>
      </c>
      <c r="J230" s="35">
        <v>4.8950212988055801</v>
      </c>
      <c r="K230" s="104">
        <f t="shared" si="9"/>
        <v>2033</v>
      </c>
      <c r="L230" s="3"/>
      <c r="M230" s="3"/>
    </row>
    <row r="231" spans="7:13">
      <c r="G231" s="31">
        <v>48884</v>
      </c>
      <c r="H231" s="35">
        <v>5.1278673943019371</v>
      </c>
      <c r="I231" s="35">
        <v>5.2190430237710954</v>
      </c>
      <c r="J231" s="35">
        <v>4.9914781893004108</v>
      </c>
      <c r="K231" s="104">
        <f t="shared" si="9"/>
        <v>2033</v>
      </c>
      <c r="L231" s="3"/>
      <c r="M231" s="3"/>
    </row>
    <row r="232" spans="7:13">
      <c r="G232" s="31">
        <v>48914</v>
      </c>
      <c r="H232" s="35">
        <v>5.3785010757376055</v>
      </c>
      <c r="I232" s="35">
        <v>5.6431826083617036</v>
      </c>
      <c r="J232" s="35">
        <v>5.2521426477968483</v>
      </c>
      <c r="K232" s="104">
        <f t="shared" si="9"/>
        <v>2033</v>
      </c>
      <c r="L232" s="3"/>
      <c r="M232" s="3"/>
    </row>
    <row r="233" spans="7:13">
      <c r="G233" s="31">
        <v>48945</v>
      </c>
      <c r="H233" s="35">
        <v>5.4063830589070268</v>
      </c>
      <c r="I233" s="35">
        <v>5.6090070344598848</v>
      </c>
      <c r="J233" s="35">
        <v>5.2320683729800255</v>
      </c>
      <c r="K233" s="104">
        <f t="shared" si="9"/>
        <v>2034</v>
      </c>
      <c r="L233" s="3"/>
      <c r="M233" s="3"/>
    </row>
    <row r="234" spans="7:13">
      <c r="G234" s="31">
        <v>48976</v>
      </c>
      <c r="H234" s="35">
        <v>5.3742427364899124</v>
      </c>
      <c r="I234" s="35">
        <v>5.3961864151621919</v>
      </c>
      <c r="J234" s="35">
        <v>5.2403991970290074</v>
      </c>
      <c r="K234" s="104">
        <f t="shared" si="9"/>
        <v>2034</v>
      </c>
      <c r="L234" s="3"/>
      <c r="M234" s="3"/>
    </row>
    <row r="235" spans="7:13">
      <c r="G235" s="31">
        <v>49004</v>
      </c>
      <c r="H235" s="35">
        <v>5.1338493470546487</v>
      </c>
      <c r="I235" s="35">
        <v>5.1342254630874891</v>
      </c>
      <c r="J235" s="35">
        <v>5.0224929438924013</v>
      </c>
      <c r="K235" s="104">
        <f t="shared" si="9"/>
        <v>2034</v>
      </c>
      <c r="L235" s="3"/>
      <c r="M235" s="3"/>
    </row>
    <row r="236" spans="7:13">
      <c r="G236" s="31">
        <v>49035</v>
      </c>
      <c r="H236" s="35">
        <v>4.9415143577004974</v>
      </c>
      <c r="I236" s="35">
        <v>4.8558498793053975</v>
      </c>
      <c r="J236" s="35">
        <v>4.8521627220716645</v>
      </c>
      <c r="K236" s="104">
        <f t="shared" si="9"/>
        <v>2034</v>
      </c>
      <c r="L236" s="3"/>
      <c r="M236" s="3"/>
    </row>
    <row r="237" spans="7:13">
      <c r="G237" s="31">
        <v>49065</v>
      </c>
      <c r="H237" s="35">
        <v>4.90947542431309</v>
      </c>
      <c r="I237" s="35">
        <v>4.8394870287705869</v>
      </c>
      <c r="J237" s="35">
        <v>4.7602225434106193</v>
      </c>
      <c r="K237" s="104">
        <f t="shared" si="9"/>
        <v>2034</v>
      </c>
      <c r="L237" s="3"/>
      <c r="M237" s="3"/>
    </row>
    <row r="238" spans="7:13">
      <c r="G238" s="31">
        <v>49096</v>
      </c>
      <c r="H238" s="35">
        <v>4.9415143577004974</v>
      </c>
      <c r="I238" s="35">
        <v>4.8558498793053975</v>
      </c>
      <c r="J238" s="35">
        <v>4.8095048880859181</v>
      </c>
      <c r="K238" s="104">
        <f t="shared" si="9"/>
        <v>2034</v>
      </c>
      <c r="L238" s="3"/>
      <c r="M238" s="3"/>
    </row>
    <row r="239" spans="7:13">
      <c r="G239" s="31">
        <v>49126</v>
      </c>
      <c r="H239" s="35">
        <v>5.1178298803609454</v>
      </c>
      <c r="I239" s="35">
        <v>4.9868562459290366</v>
      </c>
      <c r="J239" s="35">
        <v>4.9213185988156178</v>
      </c>
      <c r="K239" s="104">
        <f t="shared" si="9"/>
        <v>2034</v>
      </c>
      <c r="L239" s="3"/>
      <c r="M239" s="3"/>
    </row>
    <row r="240" spans="7:13">
      <c r="G240" s="31">
        <v>49157</v>
      </c>
      <c r="H240" s="35">
        <v>5.1819077471357602</v>
      </c>
      <c r="I240" s="35">
        <v>5.0687222797756686</v>
      </c>
      <c r="J240" s="35">
        <v>4.9822440228846725</v>
      </c>
      <c r="K240" s="104">
        <f t="shared" si="9"/>
        <v>2034</v>
      </c>
      <c r="L240" s="3"/>
      <c r="M240" s="3"/>
    </row>
    <row r="241" spans="7:13">
      <c r="G241" s="31">
        <v>49188</v>
      </c>
      <c r="H241" s="35">
        <v>5.1658882804420561</v>
      </c>
      <c r="I241" s="35">
        <v>4.970493395394227</v>
      </c>
      <c r="J241" s="35">
        <v>4.9964967580046178</v>
      </c>
      <c r="K241" s="104">
        <f t="shared" si="9"/>
        <v>2034</v>
      </c>
      <c r="L241" s="3"/>
      <c r="M241" s="3"/>
    </row>
    <row r="242" spans="7:13">
      <c r="G242" s="31">
        <v>49218</v>
      </c>
      <c r="H242" s="35">
        <v>5.1819077471357602</v>
      </c>
      <c r="I242" s="35">
        <v>5.0687222797756686</v>
      </c>
      <c r="J242" s="35">
        <v>5.0725782595603732</v>
      </c>
      <c r="K242" s="104">
        <f t="shared" si="9"/>
        <v>2034</v>
      </c>
      <c r="L242" s="3"/>
      <c r="M242" s="3"/>
    </row>
    <row r="243" spans="7:13">
      <c r="G243" s="31">
        <v>49249</v>
      </c>
      <c r="H243" s="35">
        <v>5.342203803102505</v>
      </c>
      <c r="I243" s="35">
        <v>5.4289121162318121</v>
      </c>
      <c r="J243" s="35">
        <v>5.2036632741142226</v>
      </c>
      <c r="K243" s="104">
        <f t="shared" si="9"/>
        <v>2034</v>
      </c>
      <c r="L243" s="3"/>
      <c r="M243" s="3"/>
    </row>
    <row r="244" spans="7:13">
      <c r="G244" s="31">
        <v>49279</v>
      </c>
      <c r="H244" s="35">
        <v>5.5825971925377678</v>
      </c>
      <c r="I244" s="35">
        <v>5.7891019526879575</v>
      </c>
      <c r="J244" s="35">
        <v>5.4541902238281637</v>
      </c>
      <c r="K244" s="104">
        <f t="shared" si="9"/>
        <v>2034</v>
      </c>
      <c r="L244" s="3"/>
      <c r="M244" s="3"/>
    </row>
    <row r="245" spans="7:13">
      <c r="G245" s="31">
        <v>49310</v>
      </c>
      <c r="H245" s="35">
        <v>5.6237611385988036</v>
      </c>
      <c r="I245" s="35">
        <v>5.7907589502104688</v>
      </c>
      <c r="J245" s="35">
        <v>5.4472645990163606</v>
      </c>
      <c r="K245" s="104">
        <f t="shared" si="9"/>
        <v>2035</v>
      </c>
      <c r="L245" s="3"/>
      <c r="M245" s="3"/>
    </row>
    <row r="246" spans="7:13">
      <c r="G246" s="31">
        <v>49341</v>
      </c>
      <c r="H246" s="35">
        <v>5.6237611385988036</v>
      </c>
      <c r="I246" s="35">
        <v>5.6234539816092894</v>
      </c>
      <c r="J246" s="35">
        <v>5.4874131486500053</v>
      </c>
      <c r="K246" s="104">
        <f t="shared" si="9"/>
        <v>2035</v>
      </c>
      <c r="L246" s="3"/>
      <c r="M246" s="3"/>
    </row>
    <row r="247" spans="7:13">
      <c r="G247" s="31">
        <v>49369</v>
      </c>
      <c r="H247" s="35">
        <v>5.3616704968062461</v>
      </c>
      <c r="I247" s="35">
        <v>5.3389682194629335</v>
      </c>
      <c r="J247" s="35">
        <v>5.2480274214593994</v>
      </c>
      <c r="K247" s="104">
        <f t="shared" si="9"/>
        <v>2035</v>
      </c>
      <c r="L247" s="3"/>
      <c r="M247" s="3"/>
    </row>
    <row r="248" spans="7:13">
      <c r="G248" s="31">
        <v>49400</v>
      </c>
      <c r="H248" s="35">
        <v>5.0832562212308625</v>
      </c>
      <c r="I248" s="35">
        <v>4.970855863602277</v>
      </c>
      <c r="J248" s="35">
        <v>4.9924819030412522</v>
      </c>
      <c r="K248" s="104">
        <f t="shared" si="9"/>
        <v>2035</v>
      </c>
      <c r="L248" s="3"/>
      <c r="M248" s="3"/>
    </row>
    <row r="249" spans="7:13">
      <c r="G249" s="31">
        <v>49430</v>
      </c>
      <c r="H249" s="35">
        <v>5.116004877826219</v>
      </c>
      <c r="I249" s="35">
        <v>4.970855863602277</v>
      </c>
      <c r="J249" s="35">
        <v>4.9646790324199532</v>
      </c>
      <c r="K249" s="104">
        <f t="shared" si="9"/>
        <v>2035</v>
      </c>
      <c r="L249" s="3"/>
      <c r="M249" s="3"/>
    </row>
    <row r="250" spans="7:13">
      <c r="G250" s="31">
        <v>49461</v>
      </c>
      <c r="H250" s="35">
        <v>5.1651785572341069</v>
      </c>
      <c r="I250" s="35">
        <v>5.012695051045716</v>
      </c>
      <c r="J250" s="35">
        <v>5.0309241393154673</v>
      </c>
      <c r="K250" s="104">
        <f t="shared" si="9"/>
        <v>2035</v>
      </c>
      <c r="L250" s="3"/>
      <c r="M250" s="3"/>
    </row>
    <row r="251" spans="7:13">
      <c r="G251" s="31">
        <v>49491</v>
      </c>
      <c r="H251" s="35">
        <v>5.3125982064280644</v>
      </c>
      <c r="I251" s="35">
        <v>5.146549382161175</v>
      </c>
      <c r="J251" s="35">
        <v>5.114132008431195</v>
      </c>
      <c r="K251" s="104">
        <f t="shared" si="9"/>
        <v>2035</v>
      </c>
      <c r="L251" s="3"/>
      <c r="M251" s="3"/>
    </row>
    <row r="252" spans="7:13">
      <c r="G252" s="31">
        <v>49522</v>
      </c>
      <c r="H252" s="35">
        <v>5.4108441762141339</v>
      </c>
      <c r="I252" s="35">
        <v>5.2218909882629134</v>
      </c>
      <c r="J252" s="35">
        <v>5.2088825855665961</v>
      </c>
      <c r="K252" s="104">
        <f t="shared" si="9"/>
        <v>2035</v>
      </c>
      <c r="L252" s="3"/>
      <c r="M252" s="3"/>
    </row>
    <row r="253" spans="7:13">
      <c r="G253" s="31">
        <v>49553</v>
      </c>
      <c r="H253" s="35">
        <v>5.2142508476122877</v>
      </c>
      <c r="I253" s="35">
        <v>4.9624673136445576</v>
      </c>
      <c r="J253" s="35">
        <v>5.0443739034427386</v>
      </c>
      <c r="K253" s="104">
        <f t="shared" si="9"/>
        <v>2035</v>
      </c>
      <c r="L253" s="3"/>
      <c r="M253" s="3"/>
    </row>
    <row r="254" spans="7:13">
      <c r="G254" s="31">
        <v>49583</v>
      </c>
      <c r="H254" s="35">
        <v>5.2469995042076452</v>
      </c>
      <c r="I254" s="35">
        <v>5.0378089197462952</v>
      </c>
      <c r="J254" s="35">
        <v>5.1370166817223728</v>
      </c>
      <c r="K254" s="104">
        <f t="shared" si="9"/>
        <v>2035</v>
      </c>
      <c r="L254" s="3"/>
      <c r="M254" s="3"/>
    </row>
    <row r="255" spans="7:13">
      <c r="G255" s="31">
        <v>49614</v>
      </c>
      <c r="H255" s="35">
        <v>5.3945205424313087</v>
      </c>
      <c r="I255" s="35">
        <v>5.3557453193783724</v>
      </c>
      <c r="J255" s="35">
        <v>5.255454903141624</v>
      </c>
      <c r="K255" s="104">
        <f t="shared" si="9"/>
        <v>2035</v>
      </c>
      <c r="L255" s="3"/>
      <c r="M255" s="3"/>
    </row>
    <row r="256" spans="7:13">
      <c r="G256" s="31">
        <v>49644</v>
      </c>
      <c r="H256" s="35">
        <v>5.6237611385988036</v>
      </c>
      <c r="I256" s="35">
        <v>5.815872818911048</v>
      </c>
      <c r="J256" s="35">
        <v>5.4949410017063132</v>
      </c>
      <c r="K256" s="104">
        <f t="shared" si="9"/>
        <v>2035</v>
      </c>
      <c r="L256" s="3"/>
      <c r="M256" s="3"/>
    </row>
    <row r="257" spans="7:13">
      <c r="G257" s="31">
        <v>49675</v>
      </c>
      <c r="H257" s="35">
        <v>5.6975723522254889</v>
      </c>
      <c r="I257" s="35">
        <v>5.8153032260126851</v>
      </c>
      <c r="J257" s="35">
        <v>5.5203349593495936</v>
      </c>
      <c r="K257" s="104">
        <f t="shared" si="9"/>
        <v>2036</v>
      </c>
      <c r="L257" s="3"/>
      <c r="M257" s="3"/>
    </row>
    <row r="258" spans="7:13">
      <c r="G258" s="31">
        <v>49706</v>
      </c>
      <c r="H258" s="35">
        <v>5.6472833934908246</v>
      </c>
      <c r="I258" s="35">
        <v>5.6443217941584312</v>
      </c>
      <c r="J258" s="35">
        <v>5.5106993074375188</v>
      </c>
      <c r="K258" s="104">
        <f t="shared" si="9"/>
        <v>2036</v>
      </c>
      <c r="L258" s="3"/>
      <c r="M258" s="3"/>
    </row>
    <row r="259" spans="7:13">
      <c r="G259" s="31">
        <v>49735</v>
      </c>
      <c r="H259" s="35">
        <v>5.3795149660346748</v>
      </c>
      <c r="I259" s="35">
        <v>5.2766754688509812</v>
      </c>
      <c r="J259" s="35">
        <v>5.2656927832982028</v>
      </c>
      <c r="K259" s="104">
        <f t="shared" si="9"/>
        <v>2036</v>
      </c>
      <c r="L259" s="3"/>
      <c r="M259" s="3"/>
    </row>
    <row r="260" spans="7:13">
      <c r="G260" s="31">
        <v>49766</v>
      </c>
      <c r="H260" s="35">
        <v>5.1116451495488189</v>
      </c>
      <c r="I260" s="35">
        <v>4.951800392093384</v>
      </c>
      <c r="J260" s="35">
        <v>5.0205858877848035</v>
      </c>
      <c r="K260" s="104">
        <f t="shared" si="9"/>
        <v>2036</v>
      </c>
      <c r="L260" s="3"/>
      <c r="M260" s="3"/>
    </row>
    <row r="261" spans="7:13">
      <c r="G261" s="31">
        <v>49796</v>
      </c>
      <c r="H261" s="35">
        <v>5.1451035293521246</v>
      </c>
      <c r="I261" s="35">
        <v>4.9603442855688389</v>
      </c>
      <c r="J261" s="35">
        <v>4.9934856167820936</v>
      </c>
      <c r="K261" s="104">
        <f t="shared" si="9"/>
        <v>2036</v>
      </c>
      <c r="L261" s="3"/>
      <c r="M261" s="3"/>
    </row>
    <row r="262" spans="7:13">
      <c r="G262" s="31">
        <v>49827</v>
      </c>
      <c r="H262" s="35">
        <v>5.1952910990570818</v>
      </c>
      <c r="I262" s="35">
        <v>5.0201515398970216</v>
      </c>
      <c r="J262" s="35">
        <v>5.0607344374184473</v>
      </c>
      <c r="K262" s="104">
        <f t="shared" si="9"/>
        <v>2036</v>
      </c>
      <c r="L262" s="3"/>
      <c r="M262" s="3"/>
    </row>
    <row r="263" spans="7:13">
      <c r="G263" s="31">
        <v>49857</v>
      </c>
      <c r="H263" s="35">
        <v>5.3962441559363272</v>
      </c>
      <c r="I263" s="35">
        <v>5.1911847529238546</v>
      </c>
      <c r="J263" s="35">
        <v>5.1969383920505878</v>
      </c>
      <c r="K263" s="104">
        <f t="shared" si="9"/>
        <v>2036</v>
      </c>
      <c r="L263" s="3"/>
      <c r="M263" s="3"/>
    </row>
    <row r="264" spans="7:13">
      <c r="G264" s="31">
        <v>49888</v>
      </c>
      <c r="H264" s="35">
        <v>5.479890105444591</v>
      </c>
      <c r="I264" s="35">
        <v>5.268079794202948</v>
      </c>
      <c r="J264" s="35">
        <v>5.2772354913178754</v>
      </c>
      <c r="K264" s="104">
        <f t="shared" si="9"/>
        <v>2036</v>
      </c>
      <c r="L264" s="3"/>
      <c r="M264" s="3"/>
    </row>
    <row r="265" spans="7:13">
      <c r="G265" s="31">
        <v>49919</v>
      </c>
      <c r="H265" s="35">
        <v>5.4631609155429386</v>
      </c>
      <c r="I265" s="35">
        <v>5.1740451848003657</v>
      </c>
      <c r="J265" s="35">
        <v>5.2907856268192308</v>
      </c>
      <c r="K265" s="104">
        <f t="shared" si="9"/>
        <v>2036</v>
      </c>
      <c r="L265" s="3"/>
      <c r="M265" s="3"/>
    </row>
    <row r="266" spans="7:13">
      <c r="G266" s="31">
        <v>49949</v>
      </c>
      <c r="H266" s="35">
        <v>5.4966192953462434</v>
      </c>
      <c r="I266" s="35">
        <v>5.2424481137765833</v>
      </c>
      <c r="J266" s="35">
        <v>5.3841310047174549</v>
      </c>
      <c r="K266" s="104">
        <f t="shared" si="9"/>
        <v>2036</v>
      </c>
      <c r="L266" s="3"/>
      <c r="M266" s="3"/>
    </row>
    <row r="267" spans="7:13">
      <c r="G267" s="31">
        <v>49980</v>
      </c>
      <c r="H267" s="35">
        <v>5.6641139724221841</v>
      </c>
      <c r="I267" s="35">
        <v>5.5759188651822136</v>
      </c>
      <c r="J267" s="35">
        <v>5.5223423868312755</v>
      </c>
      <c r="K267" s="104">
        <f t="shared" si="9"/>
        <v>2036</v>
      </c>
      <c r="L267" s="3"/>
      <c r="M267" s="3"/>
    </row>
    <row r="268" spans="7:13">
      <c r="G268" s="31">
        <v>50010</v>
      </c>
      <c r="H268" s="35">
        <v>5.9821713586129981</v>
      </c>
      <c r="I268" s="35">
        <v>6.0803710484420979</v>
      </c>
      <c r="J268" s="35">
        <v>5.8497538090936461</v>
      </c>
      <c r="K268" s="104">
        <f t="shared" si="9"/>
        <v>2036</v>
      </c>
      <c r="L268" s="3"/>
      <c r="M268" s="3"/>
    </row>
    <row r="269" spans="7:13">
      <c r="G269" s="31">
        <v>50041</v>
      </c>
      <c r="H269" s="35">
        <v>6.0285061451890911</v>
      </c>
      <c r="I269" s="35">
        <v>6.1702631640383983</v>
      </c>
      <c r="J269" s="35">
        <v>5.8479471243601315</v>
      </c>
      <c r="K269" s="104">
        <f t="shared" si="9"/>
        <v>2037</v>
      </c>
      <c r="L269" s="3"/>
      <c r="M269" s="3"/>
    </row>
    <row r="270" spans="7:13">
      <c r="G270" s="31">
        <v>50072</v>
      </c>
      <c r="H270" s="35">
        <v>6.0113713991686097</v>
      </c>
      <c r="I270" s="35">
        <v>5.9867506884201447</v>
      </c>
      <c r="J270" s="35">
        <v>5.8711329117735618</v>
      </c>
      <c r="K270" s="104">
        <f t="shared" si="9"/>
        <v>2037</v>
      </c>
      <c r="L270" s="3"/>
      <c r="M270" s="3"/>
    </row>
    <row r="271" spans="7:13">
      <c r="G271" s="31">
        <v>50100</v>
      </c>
      <c r="H271" s="35">
        <v>5.7889238679914836</v>
      </c>
      <c r="I271" s="35">
        <v>5.6634290468399024</v>
      </c>
      <c r="J271" s="35">
        <v>5.6709923918498442</v>
      </c>
      <c r="K271" s="104">
        <f t="shared" si="9"/>
        <v>2037</v>
      </c>
      <c r="L271" s="3"/>
      <c r="M271" s="3"/>
    </row>
    <row r="272" spans="7:13">
      <c r="G272" s="31">
        <v>50131</v>
      </c>
      <c r="H272" s="35">
        <v>5.5836110828348371</v>
      </c>
      <c r="I272" s="35">
        <v>5.418711225233845</v>
      </c>
      <c r="J272" s="35">
        <v>5.487814634146341</v>
      </c>
      <c r="K272" s="104">
        <f t="shared" si="9"/>
        <v>2037</v>
      </c>
      <c r="L272" s="3"/>
      <c r="M272" s="3"/>
    </row>
    <row r="273" spans="7:13">
      <c r="G273" s="31">
        <v>50161</v>
      </c>
      <c r="H273" s="35">
        <v>5.5836110828348371</v>
      </c>
      <c r="I273" s="35">
        <v>5.4274622433996136</v>
      </c>
      <c r="J273" s="35">
        <v>5.4275918096958753</v>
      </c>
      <c r="K273" s="104">
        <f t="shared" si="9"/>
        <v>2037</v>
      </c>
      <c r="L273" s="3"/>
      <c r="M273" s="3"/>
    </row>
    <row r="274" spans="7:13">
      <c r="G274" s="31">
        <v>50192</v>
      </c>
      <c r="H274" s="35">
        <v>5.6178805748757989</v>
      </c>
      <c r="I274" s="35">
        <v>5.4799165712216489</v>
      </c>
      <c r="J274" s="35">
        <v>5.4790823246010234</v>
      </c>
      <c r="K274" s="104">
        <f t="shared" si="9"/>
        <v>2037</v>
      </c>
      <c r="L274" s="3"/>
      <c r="M274" s="3"/>
    </row>
    <row r="275" spans="7:13">
      <c r="G275" s="31">
        <v>50222</v>
      </c>
      <c r="H275" s="35">
        <v>5.8231933600324446</v>
      </c>
      <c r="I275" s="35">
        <v>5.6284767553494071</v>
      </c>
      <c r="J275" s="35">
        <v>5.6196022483187793</v>
      </c>
      <c r="K275" s="104">
        <f t="shared" si="9"/>
        <v>2037</v>
      </c>
      <c r="L275" s="3"/>
      <c r="M275" s="3"/>
    </row>
    <row r="276" spans="7:13">
      <c r="G276" s="31">
        <v>50253</v>
      </c>
      <c r="H276" s="35">
        <v>5.874496209064179</v>
      </c>
      <c r="I276" s="35">
        <v>5.6808793019988615</v>
      </c>
      <c r="J276" s="35">
        <v>5.6678808792532367</v>
      </c>
      <c r="K276" s="104">
        <f t="shared" si="9"/>
        <v>2037</v>
      </c>
      <c r="L276" s="3"/>
      <c r="M276" s="3"/>
    </row>
    <row r="277" spans="7:13">
      <c r="G277" s="31">
        <v>50284</v>
      </c>
      <c r="H277" s="35">
        <v>5.874496209064179</v>
      </c>
      <c r="I277" s="35">
        <v>5.5585721723684118</v>
      </c>
      <c r="J277" s="35">
        <v>5.69799229147847</v>
      </c>
      <c r="K277" s="104">
        <f t="shared" si="9"/>
        <v>2037</v>
      </c>
      <c r="L277" s="3"/>
      <c r="M277" s="3"/>
    </row>
    <row r="278" spans="7:13">
      <c r="G278" s="31">
        <v>50314</v>
      </c>
      <c r="H278" s="35">
        <v>5.8573614630436994</v>
      </c>
      <c r="I278" s="35">
        <v>5.5760224275273709</v>
      </c>
      <c r="J278" s="35">
        <v>5.7412523537087221</v>
      </c>
      <c r="K278" s="104">
        <f t="shared" si="9"/>
        <v>2037</v>
      </c>
      <c r="L278" s="3"/>
      <c r="M278" s="3"/>
    </row>
    <row r="279" spans="7:13">
      <c r="G279" s="31">
        <v>50345</v>
      </c>
      <c r="H279" s="35">
        <v>6.0455395021798646</v>
      </c>
      <c r="I279" s="35">
        <v>5.9954499254133351</v>
      </c>
      <c r="J279" s="35">
        <v>5.8999394961357012</v>
      </c>
      <c r="K279" s="104">
        <f t="shared" si="9"/>
        <v>2037</v>
      </c>
      <c r="L279" s="3"/>
      <c r="M279" s="3"/>
    </row>
    <row r="280" spans="7:13">
      <c r="G280" s="31">
        <v>50375</v>
      </c>
      <c r="H280" s="35">
        <v>6.4048622234614223</v>
      </c>
      <c r="I280" s="35">
        <v>6.5546865892612871</v>
      </c>
      <c r="J280" s="35">
        <v>6.2682020676503054</v>
      </c>
      <c r="K280" s="104">
        <f t="shared" si="9"/>
        <v>2037</v>
      </c>
      <c r="L280" s="3"/>
      <c r="M280" s="3"/>
    </row>
    <row r="281" spans="7:13">
      <c r="G281" s="31">
        <v>50406</v>
      </c>
      <c r="H281" s="35">
        <v>6.4474456159383555</v>
      </c>
      <c r="I281" s="35">
        <v>6.5175594885224921</v>
      </c>
      <c r="J281" s="35">
        <v>6.2626816420756803</v>
      </c>
      <c r="K281" s="104">
        <f t="shared" ref="K281:K304" si="10">YEAR(G281)</f>
        <v>2038</v>
      </c>
      <c r="L281" s="3"/>
      <c r="M281" s="3"/>
    </row>
    <row r="282" spans="7:13">
      <c r="G282" s="31">
        <v>50437</v>
      </c>
      <c r="H282" s="35">
        <v>6.3949260985501368</v>
      </c>
      <c r="I282" s="35">
        <v>6.3119364522132138</v>
      </c>
      <c r="J282" s="35">
        <v>6.2508378199337553</v>
      </c>
      <c r="K282" s="104">
        <f t="shared" si="10"/>
        <v>2038</v>
      </c>
      <c r="L282" s="3"/>
      <c r="M282" s="3"/>
    </row>
    <row r="283" spans="7:13">
      <c r="G283" s="31">
        <v>50465</v>
      </c>
      <c r="H283" s="35">
        <v>6.1148895984994427</v>
      </c>
      <c r="I283" s="35">
        <v>5.9186066653068208</v>
      </c>
      <c r="J283" s="35">
        <v>5.993686359530261</v>
      </c>
      <c r="K283" s="104">
        <f t="shared" si="10"/>
        <v>2038</v>
      </c>
      <c r="L283" s="3"/>
      <c r="M283" s="3"/>
    </row>
    <row r="284" spans="7:13">
      <c r="G284" s="31">
        <v>50496</v>
      </c>
      <c r="H284" s="35">
        <v>5.8348530984487486</v>
      </c>
      <c r="I284" s="35">
        <v>5.6593383342062005</v>
      </c>
      <c r="J284" s="35">
        <v>5.7365348991267684</v>
      </c>
      <c r="K284" s="104">
        <f t="shared" si="10"/>
        <v>2038</v>
      </c>
      <c r="L284" s="3"/>
      <c r="M284" s="3"/>
    </row>
    <row r="285" spans="7:13">
      <c r="G285" s="31">
        <v>50526</v>
      </c>
      <c r="H285" s="35">
        <v>5.8348530984487486</v>
      </c>
      <c r="I285" s="35">
        <v>5.6772546199183651</v>
      </c>
      <c r="J285" s="35">
        <v>5.6763120746763027</v>
      </c>
      <c r="K285" s="104">
        <f t="shared" si="10"/>
        <v>2038</v>
      </c>
      <c r="L285" s="3"/>
      <c r="M285" s="3"/>
    </row>
    <row r="286" spans="7:13">
      <c r="G286" s="31">
        <v>50557</v>
      </c>
      <c r="H286" s="35">
        <v>5.8698323136976578</v>
      </c>
      <c r="I286" s="35">
        <v>5.7040772673140365</v>
      </c>
      <c r="J286" s="35">
        <v>5.7285051892000398</v>
      </c>
      <c r="K286" s="104">
        <f t="shared" si="10"/>
        <v>2038</v>
      </c>
      <c r="L286" s="3"/>
      <c r="M286" s="3"/>
    </row>
    <row r="287" spans="7:13">
      <c r="G287" s="31">
        <v>50587</v>
      </c>
      <c r="H287" s="35">
        <v>6.0799103832505326</v>
      </c>
      <c r="I287" s="35">
        <v>5.8739195133715629</v>
      </c>
      <c r="J287" s="35">
        <v>5.8737425674997494</v>
      </c>
      <c r="K287" s="104">
        <f t="shared" si="10"/>
        <v>2038</v>
      </c>
      <c r="L287" s="3"/>
      <c r="M287" s="3"/>
    </row>
    <row r="288" spans="7:13">
      <c r="G288" s="31">
        <v>50618</v>
      </c>
      <c r="H288" s="35">
        <v>6.1498688137483528</v>
      </c>
      <c r="I288" s="35">
        <v>5.9364711698464072</v>
      </c>
      <c r="J288" s="35">
        <v>5.9404895312656825</v>
      </c>
      <c r="K288" s="104">
        <f t="shared" si="10"/>
        <v>2038</v>
      </c>
      <c r="L288" s="3"/>
      <c r="M288" s="3"/>
    </row>
    <row r="289" spans="7:13">
      <c r="G289" s="31">
        <v>50649</v>
      </c>
      <c r="H289" s="35">
        <v>6.1148895984994427</v>
      </c>
      <c r="I289" s="35">
        <v>5.7934515711845513</v>
      </c>
      <c r="J289" s="35">
        <v>5.9359728194318979</v>
      </c>
      <c r="K289" s="104">
        <f t="shared" si="10"/>
        <v>2038</v>
      </c>
      <c r="L289" s="3"/>
      <c r="M289" s="3"/>
    </row>
    <row r="290" spans="7:13">
      <c r="G290" s="31">
        <v>50679</v>
      </c>
      <c r="H290" s="35">
        <v>6.062370081111224</v>
      </c>
      <c r="I290" s="35">
        <v>5.8202742185802219</v>
      </c>
      <c r="J290" s="35">
        <v>5.9442032721067948</v>
      </c>
      <c r="K290" s="104">
        <f t="shared" si="10"/>
        <v>2038</v>
      </c>
      <c r="L290" s="3"/>
      <c r="M290" s="3"/>
    </row>
    <row r="291" spans="7:13">
      <c r="G291" s="31">
        <v>50710</v>
      </c>
      <c r="H291" s="35">
        <v>6.2549078485247902</v>
      </c>
      <c r="I291" s="35">
        <v>6.1956877197744493</v>
      </c>
      <c r="J291" s="35">
        <v>6.1072063836193911</v>
      </c>
      <c r="K291" s="104">
        <f t="shared" si="10"/>
        <v>2038</v>
      </c>
      <c r="L291" s="3"/>
      <c r="M291" s="3"/>
    </row>
    <row r="292" spans="7:13">
      <c r="G292" s="31">
        <v>50740</v>
      </c>
      <c r="H292" s="35">
        <v>6.6399833833519217</v>
      </c>
      <c r="I292" s="35">
        <v>6.7409952481987814</v>
      </c>
      <c r="J292" s="35">
        <v>6.5009632841513598</v>
      </c>
      <c r="K292" s="104">
        <f t="shared" si="10"/>
        <v>2038</v>
      </c>
      <c r="L292" s="3"/>
      <c r="M292" s="3"/>
    </row>
    <row r="293" spans="7:13">
      <c r="G293" s="31">
        <v>50771</v>
      </c>
      <c r="H293" s="35">
        <v>6.6855070576903577</v>
      </c>
      <c r="I293" s="35">
        <v>6.7037645851148291</v>
      </c>
      <c r="J293" s="35">
        <v>6.4983536284251731</v>
      </c>
      <c r="K293" s="104">
        <f t="shared" si="10"/>
        <v>2039</v>
      </c>
      <c r="L293" s="3"/>
      <c r="M293" s="3"/>
    </row>
    <row r="294" spans="7:13">
      <c r="G294" s="31">
        <v>50802</v>
      </c>
      <c r="H294" s="35">
        <v>6.6317708719456556</v>
      </c>
      <c r="I294" s="35">
        <v>6.4934812432734823</v>
      </c>
      <c r="J294" s="35">
        <v>6.4853053497942383</v>
      </c>
      <c r="K294" s="104">
        <f t="shared" si="10"/>
        <v>2039</v>
      </c>
      <c r="L294" s="3"/>
      <c r="M294" s="3"/>
    </row>
    <row r="295" spans="7:13">
      <c r="G295" s="31">
        <v>50830</v>
      </c>
      <c r="H295" s="35">
        <v>6.3274010047652842</v>
      </c>
      <c r="I295" s="35">
        <v>6.1093685050860653</v>
      </c>
      <c r="J295" s="35">
        <v>6.2040647596105583</v>
      </c>
      <c r="K295" s="104">
        <f t="shared" si="10"/>
        <v>2039</v>
      </c>
      <c r="L295" s="3"/>
      <c r="M295" s="3"/>
    </row>
    <row r="296" spans="7:13">
      <c r="G296" s="31">
        <v>50861</v>
      </c>
      <c r="H296" s="35">
        <v>6.0588214650714791</v>
      </c>
      <c r="I296" s="35">
        <v>5.8716411417781078</v>
      </c>
      <c r="J296" s="35">
        <v>5.9582552644785709</v>
      </c>
      <c r="K296" s="104">
        <f t="shared" si="10"/>
        <v>2039</v>
      </c>
      <c r="L296" s="3"/>
      <c r="M296" s="3"/>
    </row>
    <row r="297" spans="7:13">
      <c r="G297" s="31">
        <v>50891</v>
      </c>
      <c r="H297" s="35">
        <v>6.0588214650714791</v>
      </c>
      <c r="I297" s="35">
        <v>5.8441453391389162</v>
      </c>
      <c r="J297" s="35">
        <v>5.8980324400281035</v>
      </c>
      <c r="K297" s="104">
        <f t="shared" si="10"/>
        <v>2039</v>
      </c>
      <c r="L297" s="3"/>
      <c r="M297" s="3"/>
    </row>
    <row r="298" spans="7:13">
      <c r="G298" s="31">
        <v>50922</v>
      </c>
      <c r="H298" s="35">
        <v>6.0766659342999088</v>
      </c>
      <c r="I298" s="35">
        <v>5.8899198956983243</v>
      </c>
      <c r="J298" s="35">
        <v>5.9332627923316261</v>
      </c>
      <c r="K298" s="104">
        <f t="shared" si="10"/>
        <v>2039</v>
      </c>
      <c r="L298" s="3"/>
      <c r="M298" s="3"/>
    </row>
    <row r="299" spans="7:13">
      <c r="G299" s="31">
        <v>50952</v>
      </c>
      <c r="H299" s="35">
        <v>6.3631913322518505</v>
      </c>
      <c r="I299" s="35">
        <v>6.1185337726324631</v>
      </c>
      <c r="J299" s="35">
        <v>6.1541801866907555</v>
      </c>
      <c r="K299" s="104">
        <f t="shared" si="10"/>
        <v>2039</v>
      </c>
      <c r="L299" s="3"/>
      <c r="M299" s="3"/>
    </row>
    <row r="300" spans="7:13">
      <c r="G300" s="31">
        <v>50983</v>
      </c>
      <c r="H300" s="35">
        <v>6.4348733762546901</v>
      </c>
      <c r="I300" s="35">
        <v>6.2099793234061194</v>
      </c>
      <c r="J300" s="35">
        <v>6.2226334638161198</v>
      </c>
      <c r="K300" s="104">
        <f t="shared" si="10"/>
        <v>2039</v>
      </c>
      <c r="L300" s="3"/>
      <c r="M300" s="3"/>
    </row>
    <row r="301" spans="7:13">
      <c r="G301" s="31">
        <v>51014</v>
      </c>
      <c r="H301" s="35">
        <v>6.3631913322518505</v>
      </c>
      <c r="I301" s="35">
        <v>6.118481991459884</v>
      </c>
      <c r="J301" s="35">
        <v>6.1817823145638862</v>
      </c>
      <c r="K301" s="104">
        <f t="shared" si="10"/>
        <v>2039</v>
      </c>
      <c r="L301" s="3"/>
      <c r="M301" s="3"/>
    </row>
    <row r="302" spans="7:13">
      <c r="G302" s="31">
        <v>51044</v>
      </c>
      <c r="H302" s="35">
        <v>6.3453468630234209</v>
      </c>
      <c r="I302" s="35">
        <v>6.1550912804728934</v>
      </c>
      <c r="J302" s="35">
        <v>6.2243397771755493</v>
      </c>
      <c r="K302" s="104">
        <f t="shared" si="10"/>
        <v>2039</v>
      </c>
      <c r="L302" s="3"/>
      <c r="M302" s="3"/>
    </row>
    <row r="303" spans="7:13">
      <c r="G303" s="31">
        <v>51075</v>
      </c>
      <c r="H303" s="35">
        <v>6.613926402717226</v>
      </c>
      <c r="I303" s="35">
        <v>6.5392040186603104</v>
      </c>
      <c r="J303" s="35">
        <v>6.4626214192512288</v>
      </c>
      <c r="K303" s="104">
        <f t="shared" si="10"/>
        <v>2039</v>
      </c>
      <c r="L303" s="3"/>
      <c r="M303" s="3"/>
    </row>
    <row r="304" spans="7:13">
      <c r="G304" s="31">
        <v>51105</v>
      </c>
      <c r="H304" s="35">
        <v>6.9003504116394607</v>
      </c>
      <c r="I304" s="35">
        <v>6.9872665049821929</v>
      </c>
      <c r="J304" s="35">
        <v>6.7587169727993572</v>
      </c>
      <c r="K304" s="104">
        <f t="shared" si="10"/>
        <v>2039</v>
      </c>
      <c r="L304" s="3"/>
      <c r="M304" s="3"/>
    </row>
    <row r="305" spans="7:13">
      <c r="G305" s="31">
        <v>51136</v>
      </c>
      <c r="H305" s="35">
        <v>6.9494227020176416</v>
      </c>
      <c r="I305" s="35">
        <v>6.9700233745135485</v>
      </c>
      <c r="J305" s="35">
        <v>6.7596203151661145</v>
      </c>
      <c r="K305" s="104">
        <f t="shared" si="9"/>
        <v>2040</v>
      </c>
      <c r="L305" s="3"/>
      <c r="M305" s="3"/>
    </row>
    <row r="306" spans="7:13">
      <c r="G306" s="31">
        <v>51167</v>
      </c>
      <c r="H306" s="35">
        <v>6.8395169938152698</v>
      </c>
      <c r="I306" s="35">
        <v>6.7080106412662666</v>
      </c>
      <c r="J306" s="35">
        <v>6.6909662952925819</v>
      </c>
      <c r="K306" s="104">
        <f t="shared" si="9"/>
        <v>2040</v>
      </c>
      <c r="L306" s="3"/>
      <c r="M306" s="3"/>
    </row>
    <row r="307" spans="7:13">
      <c r="G307" s="31">
        <v>51196</v>
      </c>
      <c r="H307" s="35">
        <v>6.5647527233093381</v>
      </c>
      <c r="I307" s="35">
        <v>6.3806500682249014</v>
      </c>
      <c r="J307" s="35">
        <v>6.4390341463414638</v>
      </c>
      <c r="K307" s="104">
        <f t="shared" si="9"/>
        <v>2040</v>
      </c>
      <c r="L307" s="3"/>
      <c r="M307" s="3"/>
    </row>
    <row r="308" spans="7:13">
      <c r="G308" s="31">
        <v>51227</v>
      </c>
      <c r="H308" s="35">
        <v>6.2533870130791849</v>
      </c>
      <c r="I308" s="35">
        <v>6.0999443316767774</v>
      </c>
      <c r="J308" s="35">
        <v>6.1508679313459798</v>
      </c>
      <c r="K308" s="104">
        <f t="shared" si="9"/>
        <v>2040</v>
      </c>
      <c r="L308" s="3"/>
      <c r="M308" s="3"/>
    </row>
    <row r="309" spans="7:13">
      <c r="G309" s="31">
        <v>51257</v>
      </c>
      <c r="H309" s="35">
        <v>6.2716370384264426</v>
      </c>
      <c r="I309" s="35">
        <v>6.1093167239134871</v>
      </c>
      <c r="J309" s="35">
        <v>6.1087119542306532</v>
      </c>
      <c r="K309" s="104">
        <f t="shared" si="9"/>
        <v>2040</v>
      </c>
      <c r="L309" s="3"/>
      <c r="M309" s="3"/>
    </row>
    <row r="310" spans="7:13">
      <c r="G310" s="31">
        <v>51288</v>
      </c>
      <c r="H310" s="35">
        <v>6.3083398671803712</v>
      </c>
      <c r="I310" s="35">
        <v>6.1467027305151749</v>
      </c>
      <c r="J310" s="35">
        <v>6.1626113821138206</v>
      </c>
      <c r="K310" s="104">
        <f t="shared" si="9"/>
        <v>2040</v>
      </c>
      <c r="L310" s="3"/>
      <c r="M310" s="3"/>
    </row>
    <row r="311" spans="7:13">
      <c r="G311" s="31">
        <v>51318</v>
      </c>
      <c r="H311" s="35">
        <v>6.5647527233093381</v>
      </c>
      <c r="I311" s="35">
        <v>6.3805982870523223</v>
      </c>
      <c r="J311" s="35">
        <v>6.3537184783699692</v>
      </c>
      <c r="K311" s="104">
        <f t="shared" si="9"/>
        <v>2040</v>
      </c>
      <c r="L311" s="3"/>
      <c r="M311" s="3"/>
    </row>
    <row r="312" spans="7:13">
      <c r="G312" s="31">
        <v>51349</v>
      </c>
      <c r="H312" s="35">
        <v>6.6930098458886755</v>
      </c>
      <c r="I312" s="35">
        <v>6.4928598692025412</v>
      </c>
      <c r="J312" s="35">
        <v>6.4781789822342661</v>
      </c>
      <c r="K312" s="104">
        <f t="shared" ref="K312:K328" si="11">YEAR(G312)</f>
        <v>2040</v>
      </c>
      <c r="L312" s="3"/>
      <c r="M312" s="3"/>
    </row>
    <row r="313" spans="7:13">
      <c r="G313" s="31">
        <v>51380</v>
      </c>
      <c r="H313" s="35">
        <v>6.6197055774105245</v>
      </c>
      <c r="I313" s="35">
        <v>6.333839888213924</v>
      </c>
      <c r="J313" s="35">
        <v>6.4357218909966871</v>
      </c>
      <c r="K313" s="104">
        <f t="shared" si="11"/>
        <v>2040</v>
      </c>
      <c r="L313" s="3"/>
      <c r="M313" s="3"/>
    </row>
    <row r="314" spans="7:13">
      <c r="G314" s="31">
        <v>51410</v>
      </c>
      <c r="H314" s="35">
        <v>6.5647527233093381</v>
      </c>
      <c r="I314" s="35">
        <v>6.3245192771497916</v>
      </c>
      <c r="J314" s="35">
        <v>6.4415434306935655</v>
      </c>
      <c r="K314" s="104">
        <f t="shared" si="11"/>
        <v>2040</v>
      </c>
      <c r="L314" s="3"/>
      <c r="M314" s="3"/>
    </row>
    <row r="315" spans="7:13">
      <c r="G315" s="31">
        <v>51441</v>
      </c>
      <c r="H315" s="35">
        <v>6.7479626999898619</v>
      </c>
      <c r="I315" s="35">
        <v>6.698690030202135</v>
      </c>
      <c r="J315" s="35">
        <v>6.5953123757904244</v>
      </c>
      <c r="K315" s="104">
        <f t="shared" si="11"/>
        <v>2040</v>
      </c>
      <c r="L315" s="3"/>
      <c r="M315" s="3"/>
    </row>
    <row r="316" spans="7:13">
      <c r="G316" s="31">
        <v>51471</v>
      </c>
      <c r="H316" s="35">
        <v>7.150882704045423</v>
      </c>
      <c r="I316" s="35">
        <v>7.2693703331899382</v>
      </c>
      <c r="J316" s="35">
        <v>7.0067346381611966</v>
      </c>
      <c r="K316" s="104">
        <f t="shared" si="11"/>
        <v>2040</v>
      </c>
      <c r="L316" s="3"/>
      <c r="M316" s="3"/>
    </row>
    <row r="317" spans="7:13">
      <c r="G317" s="31">
        <v>51502</v>
      </c>
      <c r="H317" s="35">
        <v>7.2407133843658116</v>
      </c>
      <c r="I317" s="35">
        <v>7.2640886535869296</v>
      </c>
      <c r="J317" s="35">
        <v>7.0479872729097659</v>
      </c>
      <c r="K317" s="104">
        <f t="shared" si="11"/>
        <v>2041</v>
      </c>
      <c r="L317" s="3"/>
      <c r="M317" s="3"/>
    </row>
    <row r="318" spans="7:13">
      <c r="G318" s="31">
        <v>51533</v>
      </c>
      <c r="H318" s="35">
        <v>7.1470299209165571</v>
      </c>
      <c r="I318" s="35">
        <v>7.1109199450996847</v>
      </c>
      <c r="J318" s="35">
        <v>6.9953926728896914</v>
      </c>
      <c r="K318" s="104">
        <f t="shared" si="11"/>
        <v>2041</v>
      </c>
      <c r="L318" s="3"/>
      <c r="M318" s="3"/>
    </row>
    <row r="319" spans="7:13">
      <c r="G319" s="31">
        <v>51561</v>
      </c>
      <c r="H319" s="35">
        <v>6.809708619081416</v>
      </c>
      <c r="I319" s="35">
        <v>6.6228306123746119</v>
      </c>
      <c r="J319" s="35">
        <v>6.6815313861286763</v>
      </c>
      <c r="K319" s="104">
        <f t="shared" si="11"/>
        <v>2041</v>
      </c>
      <c r="L319" s="3"/>
      <c r="M319" s="3"/>
    </row>
    <row r="320" spans="7:13">
      <c r="G320" s="31">
        <v>51592</v>
      </c>
      <c r="H320" s="35">
        <v>6.5099012582378588</v>
      </c>
      <c r="I320" s="35">
        <v>6.3644425612078255</v>
      </c>
      <c r="J320" s="35">
        <v>6.4048075077787807</v>
      </c>
      <c r="K320" s="104">
        <f t="shared" si="11"/>
        <v>2041</v>
      </c>
      <c r="L320" s="3"/>
      <c r="M320" s="3"/>
    </row>
    <row r="321" spans="7:13">
      <c r="G321" s="31">
        <v>51622</v>
      </c>
      <c r="H321" s="35">
        <v>6.5286582287336508</v>
      </c>
      <c r="I321" s="35">
        <v>6.3740220781348507</v>
      </c>
      <c r="J321" s="35">
        <v>6.3631533875338748</v>
      </c>
      <c r="K321" s="104">
        <f t="shared" si="11"/>
        <v>2041</v>
      </c>
      <c r="L321" s="3"/>
      <c r="M321" s="3"/>
    </row>
    <row r="322" spans="7:13">
      <c r="G322" s="31">
        <v>51653</v>
      </c>
      <c r="H322" s="35">
        <v>6.5660707806955294</v>
      </c>
      <c r="I322" s="35">
        <v>6.3836015950618767</v>
      </c>
      <c r="J322" s="35">
        <v>6.4177554150356313</v>
      </c>
      <c r="K322" s="104">
        <f t="shared" si="11"/>
        <v>2041</v>
      </c>
      <c r="L322" s="3"/>
      <c r="M322" s="3"/>
    </row>
    <row r="323" spans="7:13">
      <c r="G323" s="31">
        <v>51683</v>
      </c>
      <c r="H323" s="35">
        <v>6.7535390966237454</v>
      </c>
      <c r="I323" s="35">
        <v>6.5749848089120642</v>
      </c>
      <c r="J323" s="35">
        <v>6.5406099769145838</v>
      </c>
      <c r="K323" s="104">
        <f t="shared" si="11"/>
        <v>2041</v>
      </c>
      <c r="L323" s="3"/>
      <c r="M323" s="3"/>
    </row>
    <row r="324" spans="7:13">
      <c r="G324" s="31">
        <v>51714</v>
      </c>
      <c r="H324" s="35">
        <v>6.8472225600730008</v>
      </c>
      <c r="I324" s="35">
        <v>6.6611486800827127</v>
      </c>
      <c r="J324" s="35">
        <v>6.6308438422161995</v>
      </c>
      <c r="K324" s="104">
        <f t="shared" si="11"/>
        <v>2041</v>
      </c>
      <c r="L324" s="3"/>
      <c r="M324" s="3"/>
    </row>
    <row r="325" spans="7:13">
      <c r="G325" s="31">
        <v>51745</v>
      </c>
      <c r="H325" s="35">
        <v>6.809708619081416</v>
      </c>
      <c r="I325" s="35">
        <v>6.5558257750580147</v>
      </c>
      <c r="J325" s="35">
        <v>6.6238178460303123</v>
      </c>
      <c r="K325" s="104">
        <f t="shared" si="11"/>
        <v>2041</v>
      </c>
      <c r="L325" s="3"/>
      <c r="M325" s="3"/>
    </row>
    <row r="326" spans="7:13">
      <c r="G326" s="31">
        <v>51775</v>
      </c>
      <c r="H326" s="35">
        <v>6.7909516485856232</v>
      </c>
      <c r="I326" s="35">
        <v>6.5558775562305929</v>
      </c>
      <c r="J326" s="35">
        <v>6.6654719662752182</v>
      </c>
      <c r="K326" s="104">
        <f t="shared" si="11"/>
        <v>2041</v>
      </c>
      <c r="L326" s="3"/>
      <c r="M326" s="3"/>
    </row>
    <row r="327" spans="7:13">
      <c r="G327" s="31">
        <v>51806</v>
      </c>
      <c r="H327" s="35">
        <v>6.978318575484133</v>
      </c>
      <c r="I327" s="35">
        <v>6.9674343158846233</v>
      </c>
      <c r="J327" s="35">
        <v>6.8233561377095242</v>
      </c>
      <c r="K327" s="104">
        <f t="shared" si="11"/>
        <v>2041</v>
      </c>
      <c r="L327" s="3"/>
      <c r="M327" s="3"/>
    </row>
    <row r="328" spans="7:13">
      <c r="G328" s="31">
        <v>51836</v>
      </c>
      <c r="H328" s="35">
        <v>7.3719107888066517</v>
      </c>
      <c r="I328" s="35">
        <v>7.522424923581136</v>
      </c>
      <c r="J328" s="35">
        <v>7.225544233664559</v>
      </c>
      <c r="K328" s="104">
        <f t="shared" si="11"/>
        <v>2041</v>
      </c>
      <c r="L328" s="3"/>
      <c r="M328" s="3"/>
    </row>
    <row r="329" spans="7:13">
      <c r="G329" s="31">
        <v>51867</v>
      </c>
      <c r="H329" s="35">
        <v>7.4266608648484231</v>
      </c>
      <c r="I329" s="35">
        <v>7.4700741581042589</v>
      </c>
      <c r="J329" s="35">
        <v>7.2320683729800264</v>
      </c>
      <c r="K329" s="104">
        <f t="shared" ref="K329:K340" si="12">YEAR(G329)</f>
        <v>2042</v>
      </c>
    </row>
    <row r="330" spans="7:13">
      <c r="G330" s="31">
        <v>51898</v>
      </c>
      <c r="H330" s="35">
        <v>7.2925231785460811</v>
      </c>
      <c r="I330" s="35">
        <v>7.2057312720909446</v>
      </c>
      <c r="J330" s="35">
        <v>7.1394255947003913</v>
      </c>
      <c r="K330" s="104">
        <f t="shared" si="12"/>
        <v>2042</v>
      </c>
    </row>
    <row r="331" spans="7:13">
      <c r="G331" s="31">
        <v>51926</v>
      </c>
      <c r="H331" s="35">
        <v>7.004882501267363</v>
      </c>
      <c r="I331" s="35">
        <v>6.8238969054969818</v>
      </c>
      <c r="J331" s="35">
        <v>6.87474628124059</v>
      </c>
      <c r="K331" s="104">
        <f t="shared" si="12"/>
        <v>2042</v>
      </c>
    </row>
    <row r="332" spans="7:13">
      <c r="G332" s="31">
        <v>51957</v>
      </c>
      <c r="H332" s="35">
        <v>7.2732592629017541</v>
      </c>
      <c r="I332" s="35">
        <v>7.0980264331276341</v>
      </c>
      <c r="J332" s="35">
        <v>7.1605035832580546</v>
      </c>
      <c r="K332" s="104">
        <f t="shared" si="12"/>
        <v>2042</v>
      </c>
    </row>
    <row r="333" spans="7:13">
      <c r="G333" s="31">
        <v>51987</v>
      </c>
      <c r="H333" s="35">
        <v>7.2732592629017541</v>
      </c>
      <c r="I333" s="35">
        <v>7.0980264331276341</v>
      </c>
      <c r="J333" s="35">
        <v>7.1002807588075871</v>
      </c>
      <c r="K333" s="104">
        <f t="shared" si="12"/>
        <v>2042</v>
      </c>
    </row>
    <row r="334" spans="7:13">
      <c r="G334" s="31">
        <v>52018</v>
      </c>
      <c r="H334" s="35">
        <v>7.3308482317753221</v>
      </c>
      <c r="I334" s="35">
        <v>7.1372247807695697</v>
      </c>
      <c r="J334" s="35">
        <v>7.1748566897520822</v>
      </c>
      <c r="K334" s="104">
        <f t="shared" si="12"/>
        <v>2042</v>
      </c>
    </row>
    <row r="335" spans="7:13">
      <c r="G335" s="31">
        <v>52048</v>
      </c>
      <c r="H335" s="35">
        <v>7.5224734979215251</v>
      </c>
      <c r="I335" s="35">
        <v>7.3232227526715929</v>
      </c>
      <c r="J335" s="35">
        <v>7.3018264779684827</v>
      </c>
      <c r="K335" s="104">
        <f t="shared" si="12"/>
        <v>2042</v>
      </c>
    </row>
    <row r="336" spans="7:13">
      <c r="G336" s="31">
        <v>52079</v>
      </c>
      <c r="H336" s="35">
        <v>7.5992249934097131</v>
      </c>
      <c r="I336" s="35">
        <v>7.4113543084002229</v>
      </c>
      <c r="J336" s="35">
        <v>7.3752983237980523</v>
      </c>
      <c r="K336" s="104">
        <f t="shared" si="12"/>
        <v>2042</v>
      </c>
    </row>
    <row r="337" spans="7:11">
      <c r="G337" s="31">
        <v>52110</v>
      </c>
      <c r="H337" s="35">
        <v>0</v>
      </c>
      <c r="I337" s="35">
        <v>0</v>
      </c>
      <c r="J337" s="35">
        <v>0</v>
      </c>
      <c r="K337" s="104">
        <f t="shared" si="12"/>
        <v>2042</v>
      </c>
    </row>
    <row r="338" spans="7:11">
      <c r="G338" s="31">
        <v>52140</v>
      </c>
      <c r="H338" s="35">
        <v>0</v>
      </c>
      <c r="I338" s="35">
        <v>0</v>
      </c>
      <c r="J338" s="35">
        <v>0</v>
      </c>
      <c r="K338" s="104">
        <f t="shared" si="12"/>
        <v>2042</v>
      </c>
    </row>
    <row r="339" spans="7:11">
      <c r="G339" s="31">
        <v>52171</v>
      </c>
      <c r="H339" s="35">
        <v>0</v>
      </c>
      <c r="I339" s="35">
        <v>0</v>
      </c>
      <c r="J339" s="35">
        <v>0</v>
      </c>
      <c r="K339" s="104">
        <f t="shared" si="12"/>
        <v>2042</v>
      </c>
    </row>
    <row r="340" spans="7:11">
      <c r="G340" s="31">
        <v>52201</v>
      </c>
      <c r="H340" s="35">
        <v>0</v>
      </c>
      <c r="I340" s="35">
        <v>0</v>
      </c>
      <c r="J340" s="35">
        <v>0</v>
      </c>
      <c r="K340" s="104">
        <f t="shared" si="12"/>
        <v>2042</v>
      </c>
    </row>
    <row r="341" spans="7:11">
      <c r="G341" s="31">
        <v>0</v>
      </c>
      <c r="H341" s="35" t="e">
        <v>#N/A</v>
      </c>
      <c r="I341" s="35" t="e">
        <v>#N/A</v>
      </c>
      <c r="J341" s="35" t="e">
        <v>#N/A</v>
      </c>
      <c r="K341" s="104">
        <f t="shared" ref="K341:K343" si="13">YEAR(G341)</f>
        <v>1900</v>
      </c>
    </row>
    <row r="342" spans="7:11">
      <c r="G342" s="31">
        <v>0</v>
      </c>
      <c r="H342" s="35" t="e">
        <v>#N/A</v>
      </c>
      <c r="I342" s="35" t="e">
        <v>#N/A</v>
      </c>
      <c r="J342" s="35" t="e">
        <v>#N/A</v>
      </c>
      <c r="K342" s="104">
        <f t="shared" si="13"/>
        <v>1900</v>
      </c>
    </row>
    <row r="343" spans="7:11">
      <c r="G343" s="31">
        <v>0</v>
      </c>
      <c r="H343" s="35" t="e">
        <v>#N/A</v>
      </c>
      <c r="I343" s="35" t="e">
        <v>#N/A</v>
      </c>
      <c r="J343" s="35" t="e">
        <v>#N/A</v>
      </c>
      <c r="K343" s="104">
        <f t="shared" si="13"/>
        <v>1900</v>
      </c>
    </row>
    <row r="344" spans="7:11">
      <c r="G344" s="31"/>
      <c r="H344" s="35"/>
      <c r="K344" s="104"/>
    </row>
    <row r="345" spans="7:11">
      <c r="G345" s="31"/>
      <c r="H345" s="35"/>
      <c r="K345" s="104"/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view="pageBreakPreview" topLeftCell="A2" zoomScale="80" zoomScaleNormal="80" zoomScaleSheetLayoutView="80" workbookViewId="0">
      <selection activeCell="B8" sqref="B8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6.16406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8" s="3" customFormat="1" ht="15.75" hidden="1">
      <c r="B1" s="1" t="s">
        <v>37</v>
      </c>
      <c r="C1" s="1"/>
      <c r="D1" s="11"/>
      <c r="E1" s="11"/>
      <c r="F1" s="11"/>
      <c r="G1" s="11"/>
      <c r="H1" s="32"/>
      <c r="I1" s="94"/>
      <c r="J1" s="94"/>
      <c r="K1" s="94"/>
    </row>
    <row r="2" spans="1:18" ht="5.25" customHeight="1"/>
    <row r="3" spans="1:18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57</v>
      </c>
      <c r="O3" s="118"/>
    </row>
    <row r="4" spans="1:18" ht="38.25">
      <c r="B4" s="83" t="str">
        <f ca="1">'Table 1'!B5</f>
        <v>Kennecott Refinery Non Firm - 6.2 MW and 85.0% CF</v>
      </c>
      <c r="C4" s="83"/>
      <c r="D4" s="83"/>
      <c r="E4" s="83"/>
      <c r="F4" s="83"/>
      <c r="G4" s="83"/>
      <c r="K4" s="56">
        <f>MIN(K13:K24)</f>
        <v>43831</v>
      </c>
      <c r="M4" s="57" t="s">
        <v>178</v>
      </c>
      <c r="P4" s="251" t="s">
        <v>177</v>
      </c>
      <c r="Q4" s="251" t="s">
        <v>176</v>
      </c>
      <c r="R4" s="251" t="s">
        <v>164</v>
      </c>
    </row>
    <row r="5" spans="1:18">
      <c r="B5" s="83" t="str">
        <f>TEXT($K$5,"MMMM YYYY")&amp;"  through  "&amp;TEXT($K$6,"MMMM YYYY")</f>
        <v>January 2020  through  December 2020</v>
      </c>
      <c r="C5" s="83"/>
      <c r="D5" s="83"/>
      <c r="E5" s="83"/>
      <c r="F5" s="83"/>
      <c r="G5" s="83"/>
      <c r="J5" s="56" t="s">
        <v>40</v>
      </c>
      <c r="K5" s="210">
        <f>MIN(K13:K24)</f>
        <v>43831</v>
      </c>
      <c r="M5" s="56" t="s">
        <v>41</v>
      </c>
      <c r="O5" s="3" t="s">
        <v>99</v>
      </c>
      <c r="P5" s="5">
        <f>MATCH('Table 5'!K5,'Table 5'!$B$12:$B$264,FALSE)+ROW('Table 5'!$B$11)</f>
        <v>13</v>
      </c>
      <c r="Q5" s="5">
        <v>13</v>
      </c>
      <c r="R5" s="5">
        <v>25</v>
      </c>
    </row>
    <row r="6" spans="1:18">
      <c r="B6" s="83" t="s">
        <v>42</v>
      </c>
      <c r="C6" s="83"/>
      <c r="D6" s="83"/>
      <c r="E6" s="83"/>
      <c r="F6" s="83"/>
      <c r="G6" s="83"/>
      <c r="J6" s="56" t="s">
        <v>43</v>
      </c>
      <c r="K6" s="210">
        <f>EDATE(K5,1*12-1)</f>
        <v>44166</v>
      </c>
      <c r="M6" s="57">
        <v>6.2</v>
      </c>
      <c r="N6" s="56" t="s">
        <v>34</v>
      </c>
      <c r="O6" s="5" t="s">
        <v>100</v>
      </c>
      <c r="P6">
        <f>P5+12-1</f>
        <v>24</v>
      </c>
      <c r="Q6">
        <f>Q5+239</f>
        <v>252</v>
      </c>
      <c r="R6">
        <f>R5+179</f>
        <v>204</v>
      </c>
    </row>
    <row r="7" spans="1:18">
      <c r="A7" s="107"/>
      <c r="B7" s="190"/>
      <c r="C7" s="58"/>
      <c r="D7" s="58"/>
      <c r="E7" s="58"/>
      <c r="F7" s="58"/>
      <c r="G7" s="91"/>
      <c r="M7" s="111">
        <f ca="1">SUM(OFFSET(F12,MATCH(K5,B13:B24,0),0,12))/(EDATE(K5,12)-K5)/24/Study_MW</f>
        <v>0.85000000000000009</v>
      </c>
      <c r="N7" s="88" t="s">
        <v>36</v>
      </c>
    </row>
    <row r="8" spans="1:18">
      <c r="A8" s="107"/>
      <c r="B8" s="107" t="str">
        <f>"Nominal NPV at "&amp;TEXT(J9,"0.00%")&amp;" Discount Rate"</f>
        <v>Nominal NPV at 6.91% Discount Rate</v>
      </c>
      <c r="J8" s="56" t="str">
        <f>'Table 1'!I38</f>
        <v>Discount Rate - 2017 IRP Update</v>
      </c>
    </row>
    <row r="9" spans="1:18">
      <c r="A9" s="107" t="str">
        <f>P4</f>
        <v>1 Year Starting 2020</v>
      </c>
      <c r="C9" s="58">
        <f ca="1">NPV($K$9,INDIRECT("C"&amp;$P$5&amp;":C"&amp;$P$6))</f>
        <v>905392.58713599842</v>
      </c>
      <c r="D9" s="58">
        <f ca="1">NPV($K$9,INDIRECT("d"&amp;$P$5&amp;":d"&amp;$P$6))</f>
        <v>0</v>
      </c>
      <c r="E9" s="58">
        <f ca="1">NPV($K$9,INDIRECT("e"&amp;$P$5&amp;":e"&amp;$P$6))</f>
        <v>905392.58713599842</v>
      </c>
      <c r="F9" s="58">
        <f ca="1">NPV($K$9,INDIRECT("f"&amp;$P$5&amp;":f"&amp;$P$6))</f>
        <v>44651.066278640079</v>
      </c>
      <c r="G9" s="91">
        <f ca="1">($C9+D9)/$F9</f>
        <v>20.277065310960221</v>
      </c>
      <c r="J9" s="110">
        <f>'Table 1'!I39</f>
        <v>6.9099999999999995E-2</v>
      </c>
      <c r="K9" s="93">
        <f>((1+J9)^(1/12))-1</f>
        <v>5.5836284214501042E-3</v>
      </c>
    </row>
    <row r="10" spans="1:18">
      <c r="A10" s="107"/>
      <c r="C10" s="58"/>
      <c r="D10" s="58"/>
      <c r="E10" s="58"/>
      <c r="F10" s="58"/>
      <c r="G10" s="91"/>
      <c r="N10" s="59"/>
    </row>
    <row r="11" spans="1:18">
      <c r="B11" s="92"/>
      <c r="C11" s="61" t="s">
        <v>19</v>
      </c>
      <c r="D11" s="62" t="s">
        <v>44</v>
      </c>
      <c r="E11" s="62" t="s">
        <v>45</v>
      </c>
      <c r="F11" s="62" t="s">
        <v>45</v>
      </c>
      <c r="G11" s="63" t="s">
        <v>53</v>
      </c>
    </row>
    <row r="12" spans="1:18">
      <c r="B12" s="67" t="s">
        <v>46</v>
      </c>
      <c r="C12" s="61" t="s">
        <v>47</v>
      </c>
      <c r="D12" s="65" t="str">
        <f>TEXT((SUM(F25:F72)/(8760*3+8784))/Study_MW,"0.0%")&amp;" CF"</f>
        <v>0.0% CF</v>
      </c>
      <c r="E12" s="66" t="s">
        <v>52</v>
      </c>
      <c r="F12" s="67" t="s">
        <v>48</v>
      </c>
      <c r="G12" s="65" t="str">
        <f>D12</f>
        <v>0.0% CF</v>
      </c>
      <c r="I12" s="62" t="s">
        <v>49</v>
      </c>
      <c r="J12" s="68" t="s">
        <v>0</v>
      </c>
      <c r="K12" s="68" t="s">
        <v>50</v>
      </c>
      <c r="L12" s="68" t="s">
        <v>49</v>
      </c>
      <c r="M12" s="68"/>
      <c r="N12" s="63"/>
      <c r="P12" s="56" t="s">
        <v>45</v>
      </c>
      <c r="Q12" s="56" t="s">
        <v>84</v>
      </c>
      <c r="R12" s="56" t="s">
        <v>85</v>
      </c>
    </row>
    <row r="13" spans="1:18">
      <c r="B13" s="74">
        <f>[10]NPC!$F$3</f>
        <v>43831</v>
      </c>
      <c r="C13" s="69">
        <f>IF(F13="","",-INDEX([10]Delta!$F$1:$EE$997,$L$13,$I13))</f>
        <v>75793.645719319582</v>
      </c>
      <c r="D13" s="70">
        <f>IF(ISNUMBER($F13),VLOOKUP($J13,'Table 1'!$B$13:$C$33,2,FALSE)/12*1000*Study_MW,"")</f>
        <v>0</v>
      </c>
      <c r="E13" s="71">
        <f>IF(ISNUMBER(C13+D13),C13+D13,"")</f>
        <v>75793.645719319582</v>
      </c>
      <c r="F13" s="69">
        <f>IF(INDEX([10]Delta!$F$1:$EE$997,$L$14,$I13)=0,"",INDEX([10]Delta!$F$1:$EE$997,$L$14,$I13))</f>
        <v>3920.88</v>
      </c>
      <c r="G13" s="72">
        <f>IF(ISNUMBER($F13),E13/$F13,"")</f>
        <v>19.330774142365893</v>
      </c>
      <c r="I13" s="60">
        <v>1</v>
      </c>
      <c r="J13" s="73">
        <f>YEAR(B13)</f>
        <v>2020</v>
      </c>
      <c r="K13" s="74">
        <f t="shared" ref="K13:K24" si="0">IF(ISNUMBER(F13),B13,"")</f>
        <v>43831</v>
      </c>
      <c r="L13" s="56">
        <f>MATCH(M13,[10]Delta!$A$1:$A$997,FALSE)</f>
        <v>283</v>
      </c>
      <c r="M13" s="56" t="s">
        <v>51</v>
      </c>
    </row>
    <row r="14" spans="1:18">
      <c r="B14" s="78">
        <f t="shared" ref="B14:B77" si="1">EDATE(B13,1)</f>
        <v>43862</v>
      </c>
      <c r="C14" s="75">
        <f>IF(F14="","",-INDEX([10]Delta!$F$1:$EE$997,$L$13,$I14))</f>
        <v>75676.644351571798</v>
      </c>
      <c r="D14" s="71">
        <f>IF(ISNUMBER($F14),VLOOKUP($J14,'Table 1'!$B$13:$C$33,2,FALSE)/12*1000*Study_MW,"")</f>
        <v>0</v>
      </c>
      <c r="E14" s="71">
        <f t="shared" ref="E14:E22" si="2">IF(ISNUMBER(C14+D14),C14+D14,"")</f>
        <v>75676.644351571798</v>
      </c>
      <c r="F14" s="75">
        <f>IF(INDEX([10]Delta!$F$1:$EE$997,$L$14,$I14)=0,"",INDEX([10]Delta!$F$1:$EE$997,$L$14,$I14))</f>
        <v>3667.92</v>
      </c>
      <c r="G14" s="76">
        <f t="shared" ref="G14:G77" si="3">IF(ISNUMBER($F14),E14/$F14,"")</f>
        <v>20.632032419347148</v>
      </c>
      <c r="I14" s="77">
        <f>I13+1</f>
        <v>2</v>
      </c>
      <c r="J14" s="73">
        <f t="shared" ref="J14:J77" si="4">YEAR(B14)</f>
        <v>2020</v>
      </c>
      <c r="K14" s="78">
        <f t="shared" si="0"/>
        <v>43862</v>
      </c>
      <c r="L14" s="56">
        <f>MATCH(M14,[10]Delta!$C$304:$C$507,FALSE)+ROW([10]Delta!$C$303)+2</f>
        <v>379</v>
      </c>
      <c r="M14" s="90" t="str">
        <f>CHOOSE([10]NPC!$EQ$84,[10]NPC!$EI$84,[10]NPC!$EK$84,[10]NPC!$EM$84,[10]NPC!$EO$84)</f>
        <v>QF - 434 - UT - Gas</v>
      </c>
    </row>
    <row r="15" spans="1:18">
      <c r="B15" s="78">
        <f t="shared" si="1"/>
        <v>43891</v>
      </c>
      <c r="C15" s="75">
        <f>IF(F15="","",-INDEX([10]Delta!$F$1:$EE$997,$L$13,$I15))</f>
        <v>68001.017447680235</v>
      </c>
      <c r="D15" s="71">
        <f>IF(ISNUMBER($F15),VLOOKUP($J15,'Table 1'!$B$13:$C$33,2,FALSE)/12*1000*Study_MW,"")</f>
        <v>0</v>
      </c>
      <c r="E15" s="71">
        <f t="shared" si="2"/>
        <v>68001.017447680235</v>
      </c>
      <c r="F15" s="75">
        <f>IF(INDEX([10]Delta!$F$1:$EE$997,$L$14,$I15)=0,"",INDEX([10]Delta!$F$1:$EE$997,$L$14,$I15))</f>
        <v>3920.88</v>
      </c>
      <c r="G15" s="76">
        <f t="shared" si="3"/>
        <v>17.343304933504783</v>
      </c>
      <c r="I15" s="77">
        <f t="shared" ref="I15:I24" si="5">I14+1</f>
        <v>3</v>
      </c>
      <c r="J15" s="73">
        <f t="shared" si="4"/>
        <v>2020</v>
      </c>
      <c r="K15" s="78">
        <f t="shared" si="0"/>
        <v>43891</v>
      </c>
    </row>
    <row r="16" spans="1:18">
      <c r="B16" s="78">
        <f t="shared" si="1"/>
        <v>43922</v>
      </c>
      <c r="C16" s="75">
        <f>IF(F16="","",-INDEX([10]Delta!$F$1:$EE$997,$L$13,$I16))</f>
        <v>63612.879795446992</v>
      </c>
      <c r="D16" s="71">
        <f>IF(ISNUMBER($F16),VLOOKUP($J16,'Table 1'!$B$13:$C$33,2,FALSE)/12*1000*Study_MW,"")</f>
        <v>0</v>
      </c>
      <c r="E16" s="71">
        <f t="shared" si="2"/>
        <v>63612.879795446992</v>
      </c>
      <c r="F16" s="75">
        <f>IF(INDEX([10]Delta!$F$1:$EE$997,$L$14,$I16)=0,"",INDEX([10]Delta!$F$1:$EE$997,$L$14,$I16))</f>
        <v>3794.4</v>
      </c>
      <c r="G16" s="76">
        <f t="shared" si="3"/>
        <v>16.764937749169036</v>
      </c>
      <c r="I16" s="77">
        <f t="shared" si="5"/>
        <v>4</v>
      </c>
      <c r="J16" s="73">
        <f t="shared" si="4"/>
        <v>2020</v>
      </c>
      <c r="K16" s="78">
        <f t="shared" si="0"/>
        <v>43922</v>
      </c>
      <c r="L16" s="73">
        <f>YEAR(B13)</f>
        <v>2020</v>
      </c>
      <c r="M16" s="56">
        <f>SUMIF($J$13:$J$264,L16,$C$13:$C$264)</f>
        <v>939053.29199866951</v>
      </c>
      <c r="N16" s="56">
        <f>SUMIF($J$13:$J$264,L16,$D$13:$D$264)</f>
        <v>0</v>
      </c>
      <c r="O16" s="56">
        <f t="shared" ref="O16:O25" si="6">SUMIF($J$13:$J$264,L16,$F$13:$F$264)</f>
        <v>46291.68</v>
      </c>
      <c r="P16" s="117">
        <f t="shared" ref="P16:P25" si="7">(M16+N16)/O16</f>
        <v>20.28557382230823</v>
      </c>
      <c r="Q16" s="180">
        <f>M16/O16</f>
        <v>20.28557382230823</v>
      </c>
      <c r="R16" s="180">
        <f>IFERROR(N16/O16,0)</f>
        <v>0</v>
      </c>
    </row>
    <row r="17" spans="2:18">
      <c r="B17" s="78">
        <f t="shared" si="1"/>
        <v>43952</v>
      </c>
      <c r="C17" s="75">
        <f>IF(F17="","",-INDEX([10]Delta!$F$1:$EE$997,$L$13,$I17))</f>
        <v>61748.44690681994</v>
      </c>
      <c r="D17" s="71">
        <f>IF(ISNUMBER($F17),VLOOKUP($J17,'Table 1'!$B$13:$C$33,2,FALSE)/12*1000*Study_MW,"")</f>
        <v>0</v>
      </c>
      <c r="E17" s="71">
        <f t="shared" si="2"/>
        <v>61748.44690681994</v>
      </c>
      <c r="F17" s="75">
        <f>IF(INDEX([10]Delta!$F$1:$EE$997,$L$14,$I17)=0,"",INDEX([10]Delta!$F$1:$EE$997,$L$14,$I17))</f>
        <v>3920.88</v>
      </c>
      <c r="G17" s="76">
        <f t="shared" si="3"/>
        <v>15.748619418809026</v>
      </c>
      <c r="I17" s="77">
        <f t="shared" si="5"/>
        <v>5</v>
      </c>
      <c r="J17" s="73">
        <f t="shared" si="4"/>
        <v>2020</v>
      </c>
      <c r="K17" s="78">
        <f t="shared" si="0"/>
        <v>43952</v>
      </c>
      <c r="L17" s="73">
        <f>L16+1</f>
        <v>2021</v>
      </c>
      <c r="M17" s="56">
        <f>SUMIF($J$13:$J$264,L17,$C$13:$C$264)</f>
        <v>0</v>
      </c>
      <c r="N17" s="56">
        <f t="shared" ref="N17:N36" si="8">SUMIF($J$13:$J$264,L17,$D$13:$D$264)</f>
        <v>0</v>
      </c>
      <c r="O17" s="56">
        <f t="shared" si="6"/>
        <v>0</v>
      </c>
      <c r="P17" s="117" t="e">
        <f t="shared" si="7"/>
        <v>#DIV/0!</v>
      </c>
      <c r="Q17" s="180" t="e">
        <f t="shared" ref="Q17:Q33" si="9">M17/O17</f>
        <v>#DIV/0!</v>
      </c>
      <c r="R17" s="180">
        <f t="shared" ref="R17:R33" si="10">IFERROR(N17/O17,0)</f>
        <v>0</v>
      </c>
    </row>
    <row r="18" spans="2:18">
      <c r="B18" s="78">
        <f t="shared" si="1"/>
        <v>43983</v>
      </c>
      <c r="C18" s="75">
        <f>IF(F18="","",-INDEX([10]Delta!$F$1:$EE$997,$L$13,$I18))</f>
        <v>63317.073433145881</v>
      </c>
      <c r="D18" s="71">
        <f>IF(ISNUMBER($F18),VLOOKUP($J18,'Table 1'!$B$13:$C$33,2,FALSE)/12*1000*Study_MW,"")</f>
        <v>0</v>
      </c>
      <c r="E18" s="71">
        <f t="shared" si="2"/>
        <v>63317.073433145881</v>
      </c>
      <c r="F18" s="75">
        <f>IF(INDEX([10]Delta!$F$1:$EE$997,$L$14,$I18)=0,"",INDEX([10]Delta!$F$1:$EE$997,$L$14,$I18))</f>
        <v>3794.4</v>
      </c>
      <c r="G18" s="76">
        <f t="shared" si="3"/>
        <v>16.686979083160942</v>
      </c>
      <c r="I18" s="77">
        <f t="shared" si="5"/>
        <v>6</v>
      </c>
      <c r="J18" s="73">
        <f t="shared" si="4"/>
        <v>2020</v>
      </c>
      <c r="K18" s="78">
        <f t="shared" si="0"/>
        <v>43983</v>
      </c>
      <c r="L18" s="73">
        <f t="shared" ref="L18:L37" si="11">L17+1</f>
        <v>2022</v>
      </c>
      <c r="M18" s="56">
        <f t="shared" ref="M18:M36" si="12">SUMIF($J$13:$J$264,L18,$C$13:$C$264)</f>
        <v>0</v>
      </c>
      <c r="N18" s="56">
        <f t="shared" si="8"/>
        <v>0</v>
      </c>
      <c r="O18" s="56">
        <f t="shared" si="6"/>
        <v>0</v>
      </c>
      <c r="P18" s="117" t="e">
        <f t="shared" si="7"/>
        <v>#DIV/0!</v>
      </c>
      <c r="Q18" s="180" t="e">
        <f t="shared" si="9"/>
        <v>#DIV/0!</v>
      </c>
      <c r="R18" s="180">
        <f t="shared" si="10"/>
        <v>0</v>
      </c>
    </row>
    <row r="19" spans="2:18">
      <c r="B19" s="78">
        <f t="shared" si="1"/>
        <v>44013</v>
      </c>
      <c r="C19" s="75">
        <f>IF(F19="","",-INDEX([10]Delta!$F$1:$EE$997,$L$13,$I19))</f>
        <v>123819.40338626504</v>
      </c>
      <c r="D19" s="71">
        <f>IF(ISNUMBER($F19),VLOOKUP($J19,'Table 1'!$B$13:$C$33,2,FALSE)/12*1000*Study_MW,"")</f>
        <v>0</v>
      </c>
      <c r="E19" s="71">
        <f t="shared" si="2"/>
        <v>123819.40338626504</v>
      </c>
      <c r="F19" s="75">
        <f>IF(INDEX([10]Delta!$F$1:$EE$997,$L$14,$I19)=0,"",INDEX([10]Delta!$F$1:$EE$997,$L$14,$I19))</f>
        <v>3920.88</v>
      </c>
      <c r="G19" s="76">
        <f t="shared" si="3"/>
        <v>31.579493222507455</v>
      </c>
      <c r="I19" s="77">
        <f t="shared" si="5"/>
        <v>7</v>
      </c>
      <c r="J19" s="73">
        <f t="shared" si="4"/>
        <v>2020</v>
      </c>
      <c r="K19" s="78">
        <f t="shared" si="0"/>
        <v>44013</v>
      </c>
      <c r="L19" s="73">
        <f t="shared" si="11"/>
        <v>2023</v>
      </c>
      <c r="M19" s="56">
        <f t="shared" si="12"/>
        <v>0</v>
      </c>
      <c r="N19" s="56">
        <f t="shared" si="8"/>
        <v>0</v>
      </c>
      <c r="O19" s="56">
        <f t="shared" si="6"/>
        <v>0</v>
      </c>
      <c r="P19" s="117" t="e">
        <f t="shared" si="7"/>
        <v>#DIV/0!</v>
      </c>
      <c r="Q19" s="180" t="e">
        <f t="shared" si="9"/>
        <v>#DIV/0!</v>
      </c>
      <c r="R19" s="180">
        <f t="shared" si="10"/>
        <v>0</v>
      </c>
    </row>
    <row r="20" spans="2:18">
      <c r="B20" s="78">
        <f t="shared" si="1"/>
        <v>44044</v>
      </c>
      <c r="C20" s="75">
        <f>IF(F20="","",-INDEX([10]Delta!$F$1:$EE$997,$L$13,$I20))</f>
        <v>122991.51546859741</v>
      </c>
      <c r="D20" s="71">
        <f>IF(ISNUMBER($F20),VLOOKUP($J20,'Table 1'!$B$13:$C$33,2,FALSE)/12*1000*Study_MW,"")</f>
        <v>0</v>
      </c>
      <c r="E20" s="71">
        <f t="shared" si="2"/>
        <v>122991.51546859741</v>
      </c>
      <c r="F20" s="75">
        <f>IF(INDEX([10]Delta!$F$1:$EE$997,$L$14,$I20)=0,"",INDEX([10]Delta!$F$1:$EE$997,$L$14,$I20))</f>
        <v>3920.88</v>
      </c>
      <c r="G20" s="76">
        <f t="shared" si="3"/>
        <v>31.368344725826194</v>
      </c>
      <c r="I20" s="77">
        <f t="shared" si="5"/>
        <v>8</v>
      </c>
      <c r="J20" s="73">
        <f t="shared" si="4"/>
        <v>2020</v>
      </c>
      <c r="K20" s="78">
        <f t="shared" si="0"/>
        <v>44044</v>
      </c>
      <c r="L20" s="73">
        <f t="shared" si="11"/>
        <v>2024</v>
      </c>
      <c r="M20" s="56">
        <f t="shared" si="12"/>
        <v>0</v>
      </c>
      <c r="N20" s="56">
        <f t="shared" si="8"/>
        <v>0</v>
      </c>
      <c r="O20" s="56">
        <f t="shared" si="6"/>
        <v>0</v>
      </c>
      <c r="P20" s="117" t="e">
        <f t="shared" si="7"/>
        <v>#DIV/0!</v>
      </c>
      <c r="Q20" s="180" t="e">
        <f t="shared" si="9"/>
        <v>#DIV/0!</v>
      </c>
      <c r="R20" s="180">
        <f t="shared" si="10"/>
        <v>0</v>
      </c>
    </row>
    <row r="21" spans="2:18">
      <c r="B21" s="78">
        <f t="shared" si="1"/>
        <v>44075</v>
      </c>
      <c r="C21" s="75">
        <f>IF(F21="","",-INDEX([10]Delta!$F$1:$EE$997,$L$13,$I21))</f>
        <v>84635.196303963661</v>
      </c>
      <c r="D21" s="71">
        <f>IF(ISNUMBER($F21),VLOOKUP($J21,'Table 1'!$B$13:$C$33,2,FALSE)/12*1000*Study_MW,"")</f>
        <v>0</v>
      </c>
      <c r="E21" s="71">
        <f t="shared" si="2"/>
        <v>84635.196303963661</v>
      </c>
      <c r="F21" s="75">
        <f>IF(INDEX([10]Delta!$F$1:$EE$997,$L$14,$I21)=0,"",INDEX([10]Delta!$F$1:$EE$997,$L$14,$I21))</f>
        <v>3794.4</v>
      </c>
      <c r="G21" s="76">
        <f t="shared" si="3"/>
        <v>22.305291035200206</v>
      </c>
      <c r="I21" s="77">
        <f t="shared" si="5"/>
        <v>9</v>
      </c>
      <c r="J21" s="73">
        <f t="shared" si="4"/>
        <v>2020</v>
      </c>
      <c r="K21" s="78">
        <f t="shared" si="0"/>
        <v>44075</v>
      </c>
      <c r="L21" s="73">
        <f t="shared" si="11"/>
        <v>2025</v>
      </c>
      <c r="M21" s="56">
        <f t="shared" si="12"/>
        <v>0</v>
      </c>
      <c r="N21" s="56">
        <f t="shared" si="8"/>
        <v>0</v>
      </c>
      <c r="O21" s="56">
        <f t="shared" si="6"/>
        <v>0</v>
      </c>
      <c r="P21" s="117" t="e">
        <f t="shared" si="7"/>
        <v>#DIV/0!</v>
      </c>
      <c r="Q21" s="180" t="e">
        <f t="shared" si="9"/>
        <v>#DIV/0!</v>
      </c>
      <c r="R21" s="180">
        <f t="shared" si="10"/>
        <v>0</v>
      </c>
    </row>
    <row r="22" spans="2:18">
      <c r="B22" s="78">
        <f t="shared" si="1"/>
        <v>44105</v>
      </c>
      <c r="C22" s="75">
        <f>IF(F22="","",-INDEX([10]Delta!$F$1:$EE$997,$L$13,$I22))</f>
        <v>64263.824452698231</v>
      </c>
      <c r="D22" s="71">
        <f>IF(ISNUMBER($F22),VLOOKUP($J22,'Table 1'!$B$13:$C$33,2,FALSE)/12*1000*Study_MW,"")</f>
        <v>0</v>
      </c>
      <c r="E22" s="71">
        <f t="shared" si="2"/>
        <v>64263.824452698231</v>
      </c>
      <c r="F22" s="75">
        <f>IF(INDEX([10]Delta!$F$1:$EE$997,$L$14,$I22)=0,"",INDEX([10]Delta!$F$1:$EE$997,$L$14,$I22))</f>
        <v>3920.88</v>
      </c>
      <c r="G22" s="76">
        <f t="shared" si="3"/>
        <v>16.390153346365672</v>
      </c>
      <c r="I22" s="77">
        <f t="shared" si="5"/>
        <v>10</v>
      </c>
      <c r="J22" s="73">
        <f t="shared" si="4"/>
        <v>2020</v>
      </c>
      <c r="K22" s="78">
        <f t="shared" si="0"/>
        <v>44105</v>
      </c>
      <c r="L22" s="73">
        <f t="shared" si="11"/>
        <v>2026</v>
      </c>
      <c r="M22" s="56">
        <f t="shared" si="12"/>
        <v>0</v>
      </c>
      <c r="N22" s="56">
        <f t="shared" si="8"/>
        <v>0</v>
      </c>
      <c r="O22" s="56">
        <f t="shared" si="6"/>
        <v>0</v>
      </c>
      <c r="P22" s="117" t="e">
        <f t="shared" si="7"/>
        <v>#DIV/0!</v>
      </c>
      <c r="Q22" s="180" t="e">
        <f t="shared" si="9"/>
        <v>#DIV/0!</v>
      </c>
      <c r="R22" s="180">
        <f t="shared" si="10"/>
        <v>0</v>
      </c>
    </row>
    <row r="23" spans="2:18">
      <c r="B23" s="78">
        <f t="shared" si="1"/>
        <v>44136</v>
      </c>
      <c r="C23" s="75">
        <f>IF(F23="","",-INDEX([10]Delta!$F$1:$EE$997,$L$13,$I23))</f>
        <v>66748.589920654893</v>
      </c>
      <c r="D23" s="71">
        <f>IF(ISNUMBER($F23),VLOOKUP($J23,'Table 1'!$B$13:$C$33,2,FALSE)/12*1000*Study_MW,"")</f>
        <v>0</v>
      </c>
      <c r="E23" s="71">
        <f t="shared" ref="E23" si="13">IF(ISNUMBER(C23+D23),C23+D23,"")</f>
        <v>66748.589920654893</v>
      </c>
      <c r="F23" s="75">
        <f>IF(INDEX([10]Delta!$F$1:$EE$997,$L$14,$I23)=0,"",INDEX([10]Delta!$F$1:$EE$997,$L$14,$I23))</f>
        <v>3794.4</v>
      </c>
      <c r="G23" s="76">
        <f t="shared" ref="G23" si="14">IF(ISNUMBER($F23),E23/$F23,"")</f>
        <v>17.591342483832726</v>
      </c>
      <c r="I23" s="77">
        <f t="shared" si="5"/>
        <v>11</v>
      </c>
      <c r="J23" s="73">
        <f t="shared" si="4"/>
        <v>2020</v>
      </c>
      <c r="K23" s="78">
        <f t="shared" si="0"/>
        <v>44136</v>
      </c>
      <c r="L23" s="73">
        <f t="shared" si="11"/>
        <v>2027</v>
      </c>
      <c r="M23" s="56">
        <f t="shared" si="12"/>
        <v>0</v>
      </c>
      <c r="N23" s="56">
        <f t="shared" si="8"/>
        <v>0</v>
      </c>
      <c r="O23" s="56">
        <f t="shared" si="6"/>
        <v>0</v>
      </c>
      <c r="P23" s="117" t="e">
        <f t="shared" si="7"/>
        <v>#DIV/0!</v>
      </c>
      <c r="Q23" s="180" t="e">
        <f t="shared" si="9"/>
        <v>#DIV/0!</v>
      </c>
      <c r="R23" s="180">
        <f t="shared" si="10"/>
        <v>0</v>
      </c>
    </row>
    <row r="24" spans="2:18">
      <c r="B24" s="82">
        <f t="shared" si="1"/>
        <v>44166</v>
      </c>
      <c r="C24" s="79">
        <f>IF(F24="","",-INDEX([10]Delta!$F$1:$EE$997,$L$13,$I24))</f>
        <v>68445.054812505841</v>
      </c>
      <c r="D24" s="80">
        <f>IF(F24&lt;&gt;0,VLOOKUP($J24,'Table 1'!$B$13:$C$33,2,FALSE)/12*1000*Study_MW,0)</f>
        <v>0</v>
      </c>
      <c r="E24" s="80">
        <f t="shared" ref="E24" si="15">IF(ISNUMBER(C24+D24),C24+D24,"")</f>
        <v>68445.054812505841</v>
      </c>
      <c r="F24" s="79">
        <f>IF(INDEX([10]Delta!$F$1:$EE$997,$L$14,$I24)=0,"",INDEX([10]Delta!$F$1:$EE$997,$L$14,$I24))</f>
        <v>3920.88</v>
      </c>
      <c r="G24" s="81">
        <f t="shared" ref="G24" si="16">IF(ISNUMBER($F24),E24/$F24,"")</f>
        <v>17.456554348132521</v>
      </c>
      <c r="I24" s="64">
        <f t="shared" si="5"/>
        <v>12</v>
      </c>
      <c r="J24" s="73">
        <f t="shared" si="4"/>
        <v>2020</v>
      </c>
      <c r="K24" s="82">
        <f t="shared" si="0"/>
        <v>44166</v>
      </c>
      <c r="L24" s="73">
        <f t="shared" si="11"/>
        <v>2028</v>
      </c>
      <c r="M24" s="56">
        <f t="shared" si="12"/>
        <v>0</v>
      </c>
      <c r="N24" s="56">
        <f t="shared" si="8"/>
        <v>0</v>
      </c>
      <c r="O24" s="56">
        <f t="shared" si="6"/>
        <v>0</v>
      </c>
      <c r="P24" s="117" t="e">
        <f t="shared" si="7"/>
        <v>#DIV/0!</v>
      </c>
      <c r="Q24" s="180" t="e">
        <f t="shared" si="9"/>
        <v>#DIV/0!</v>
      </c>
      <c r="R24" s="180">
        <f t="shared" si="10"/>
        <v>0</v>
      </c>
    </row>
    <row r="25" spans="2:18" hidden="1">
      <c r="B25" s="74">
        <f t="shared" si="1"/>
        <v>44197</v>
      </c>
      <c r="C25" s="69">
        <f>IF(F25&lt;&gt;0,-INDEX([10]Delta!$F$1:$EE$997,$L$13,$I25),0)</f>
        <v>0</v>
      </c>
      <c r="D25" s="70">
        <f>IF(F25&lt;&gt;0,VLOOKUP($J25,'Table 1'!$B$13:$C$33,2,FALSE)/12*1000*Study_MW,0)</f>
        <v>0</v>
      </c>
      <c r="E25" s="70">
        <f t="shared" ref="E25:E77" si="17">C25+D25</f>
        <v>0</v>
      </c>
      <c r="F25" s="69">
        <f>INDEX([10]Delta!$F$1:$EE$997,$L$14,$I25)</f>
        <v>0</v>
      </c>
      <c r="G25" s="72" t="e">
        <f t="shared" si="3"/>
        <v>#DIV/0!</v>
      </c>
      <c r="I25" s="60">
        <f>I13+13</f>
        <v>14</v>
      </c>
      <c r="J25" s="73">
        <f t="shared" si="4"/>
        <v>2021</v>
      </c>
      <c r="K25" s="74" t="str">
        <f>IF(ISNUMBER(F25),IF(F25&lt;&gt;0,B25,""),"")</f>
        <v/>
      </c>
      <c r="L25" s="73">
        <f t="shared" si="11"/>
        <v>2029</v>
      </c>
      <c r="M25" s="56">
        <f t="shared" si="12"/>
        <v>0</v>
      </c>
      <c r="N25" s="56">
        <f t="shared" si="8"/>
        <v>0</v>
      </c>
      <c r="O25" s="56">
        <f t="shared" si="6"/>
        <v>0</v>
      </c>
      <c r="P25" s="117" t="e">
        <f t="shared" si="7"/>
        <v>#DIV/0!</v>
      </c>
      <c r="Q25" s="180" t="e">
        <f t="shared" si="9"/>
        <v>#DIV/0!</v>
      </c>
      <c r="R25" s="180">
        <f t="shared" si="10"/>
        <v>0</v>
      </c>
    </row>
    <row r="26" spans="2:18" hidden="1">
      <c r="B26" s="78">
        <f t="shared" si="1"/>
        <v>44228</v>
      </c>
      <c r="C26" s="75">
        <f>IF(F26&lt;&gt;0,-INDEX([10]Delta!$F$1:$EE$997,$L$13,$I26),0)</f>
        <v>0</v>
      </c>
      <c r="D26" s="71">
        <f>IF(F26&lt;&gt;0,VLOOKUP($J26,'Table 1'!$B$13:$C$33,2,FALSE)/12*1000*Study_MW,0)</f>
        <v>0</v>
      </c>
      <c r="E26" s="71">
        <f t="shared" si="17"/>
        <v>0</v>
      </c>
      <c r="F26" s="75">
        <f>INDEX([10]Delta!$F$1:$EE$997,$L$14,$I26)</f>
        <v>0</v>
      </c>
      <c r="G26" s="76" t="e">
        <f t="shared" si="3"/>
        <v>#DIV/0!</v>
      </c>
      <c r="I26" s="77">
        <f t="shared" ref="I26:I89" si="18">I14+13</f>
        <v>15</v>
      </c>
      <c r="J26" s="73">
        <f t="shared" si="4"/>
        <v>2021</v>
      </c>
      <c r="K26" s="78" t="str">
        <f t="shared" ref="K26:K89" si="19">IF(ISNUMBER(F26),IF(F26&lt;&gt;0,B26,""),"")</f>
        <v/>
      </c>
      <c r="L26" s="73">
        <f t="shared" si="11"/>
        <v>2030</v>
      </c>
      <c r="M26" s="56">
        <f t="shared" si="12"/>
        <v>0</v>
      </c>
      <c r="N26" s="56">
        <f t="shared" si="8"/>
        <v>0</v>
      </c>
      <c r="O26" s="56">
        <f>SUMIF($J$13:$J$264,L26,$F$13:$F$264)</f>
        <v>0</v>
      </c>
      <c r="P26" s="117" t="e">
        <f>(M26+N26)/O26</f>
        <v>#DIV/0!</v>
      </c>
      <c r="Q26" s="180" t="e">
        <f t="shared" si="9"/>
        <v>#DIV/0!</v>
      </c>
      <c r="R26" s="180">
        <f t="shared" si="10"/>
        <v>0</v>
      </c>
    </row>
    <row r="27" spans="2:18" hidden="1">
      <c r="B27" s="78">
        <f t="shared" si="1"/>
        <v>44256</v>
      </c>
      <c r="C27" s="75">
        <f>IF(F27&lt;&gt;0,-INDEX([10]Delta!$F$1:$EE$997,$L$13,$I27),0)</f>
        <v>0</v>
      </c>
      <c r="D27" s="71">
        <f>IF(F27&lt;&gt;0,VLOOKUP($J27,'Table 1'!$B$13:$C$33,2,FALSE)/12*1000*Study_MW,0)</f>
        <v>0</v>
      </c>
      <c r="E27" s="71">
        <f t="shared" si="17"/>
        <v>0</v>
      </c>
      <c r="F27" s="75">
        <f>INDEX([10]Delta!$F$1:$EE$997,$L$14,$I27)</f>
        <v>0</v>
      </c>
      <c r="G27" s="76" t="e">
        <f t="shared" si="3"/>
        <v>#DIV/0!</v>
      </c>
      <c r="I27" s="77">
        <f t="shared" si="18"/>
        <v>16</v>
      </c>
      <c r="J27" s="73">
        <f t="shared" si="4"/>
        <v>2021</v>
      </c>
      <c r="K27" s="78" t="str">
        <f t="shared" si="19"/>
        <v/>
      </c>
      <c r="L27" s="73">
        <f t="shared" si="11"/>
        <v>2031</v>
      </c>
      <c r="M27" s="56">
        <f t="shared" si="12"/>
        <v>0</v>
      </c>
      <c r="N27" s="56">
        <f t="shared" si="8"/>
        <v>0</v>
      </c>
      <c r="O27" s="56">
        <f t="shared" ref="O27:O31" si="20">SUMIF($J$13:$J$264,L27,$F$13:$F$264)</f>
        <v>0</v>
      </c>
      <c r="P27" s="117" t="e">
        <f t="shared" ref="P27:P31" si="21">(M27+N27)/O27</f>
        <v>#DIV/0!</v>
      </c>
      <c r="Q27" s="180" t="e">
        <f t="shared" si="9"/>
        <v>#DIV/0!</v>
      </c>
      <c r="R27" s="180">
        <f t="shared" si="10"/>
        <v>0</v>
      </c>
    </row>
    <row r="28" spans="2:18" hidden="1">
      <c r="B28" s="78">
        <f t="shared" si="1"/>
        <v>44287</v>
      </c>
      <c r="C28" s="75">
        <f>IF(F28&lt;&gt;0,-INDEX([10]Delta!$F$1:$EE$997,$L$13,$I28),0)</f>
        <v>0</v>
      </c>
      <c r="D28" s="71">
        <f>IF(F28&lt;&gt;0,VLOOKUP($J28,'Table 1'!$B$13:$C$33,2,FALSE)/12*1000*Study_MW,0)</f>
        <v>0</v>
      </c>
      <c r="E28" s="71">
        <f t="shared" si="17"/>
        <v>0</v>
      </c>
      <c r="F28" s="75">
        <f>INDEX([10]Delta!$F$1:$EE$997,$L$14,$I28)</f>
        <v>0</v>
      </c>
      <c r="G28" s="76" t="e">
        <f t="shared" si="3"/>
        <v>#DIV/0!</v>
      </c>
      <c r="I28" s="77">
        <f t="shared" si="18"/>
        <v>17</v>
      </c>
      <c r="J28" s="73">
        <f t="shared" si="4"/>
        <v>2021</v>
      </c>
      <c r="K28" s="78" t="str">
        <f t="shared" si="19"/>
        <v/>
      </c>
      <c r="L28" s="73">
        <f t="shared" si="11"/>
        <v>2032</v>
      </c>
      <c r="M28" s="56">
        <f t="shared" si="12"/>
        <v>0</v>
      </c>
      <c r="N28" s="56">
        <f t="shared" si="8"/>
        <v>0</v>
      </c>
      <c r="O28" s="56">
        <f t="shared" si="20"/>
        <v>0</v>
      </c>
      <c r="P28" s="117" t="e">
        <f t="shared" si="21"/>
        <v>#DIV/0!</v>
      </c>
      <c r="Q28" s="180" t="e">
        <f t="shared" si="9"/>
        <v>#DIV/0!</v>
      </c>
      <c r="R28" s="180">
        <f t="shared" si="10"/>
        <v>0</v>
      </c>
    </row>
    <row r="29" spans="2:18" hidden="1">
      <c r="B29" s="78">
        <f t="shared" si="1"/>
        <v>44317</v>
      </c>
      <c r="C29" s="75">
        <f>IF(F29&lt;&gt;0,-INDEX([10]Delta!$F$1:$EE$997,$L$13,$I29),0)</f>
        <v>0</v>
      </c>
      <c r="D29" s="71">
        <f>IF(F29&lt;&gt;0,VLOOKUP($J29,'Table 1'!$B$13:$C$33,2,FALSE)/12*1000*Study_MW,0)</f>
        <v>0</v>
      </c>
      <c r="E29" s="71">
        <f t="shared" si="17"/>
        <v>0</v>
      </c>
      <c r="F29" s="75">
        <f>INDEX([10]Delta!$F$1:$EE$997,$L$14,$I29)</f>
        <v>0</v>
      </c>
      <c r="G29" s="76" t="e">
        <f t="shared" si="3"/>
        <v>#DIV/0!</v>
      </c>
      <c r="I29" s="77">
        <f t="shared" si="18"/>
        <v>18</v>
      </c>
      <c r="J29" s="73">
        <f t="shared" si="4"/>
        <v>2021</v>
      </c>
      <c r="K29" s="78" t="str">
        <f t="shared" si="19"/>
        <v/>
      </c>
      <c r="L29" s="73">
        <f t="shared" si="11"/>
        <v>2033</v>
      </c>
      <c r="M29" s="56">
        <f t="shared" si="12"/>
        <v>0</v>
      </c>
      <c r="N29" s="56">
        <f t="shared" si="8"/>
        <v>0</v>
      </c>
      <c r="O29" s="56">
        <f t="shared" si="20"/>
        <v>0</v>
      </c>
      <c r="P29" s="117" t="e">
        <f t="shared" si="21"/>
        <v>#DIV/0!</v>
      </c>
      <c r="Q29" s="180" t="e">
        <f t="shared" si="9"/>
        <v>#DIV/0!</v>
      </c>
      <c r="R29" s="180">
        <f t="shared" si="10"/>
        <v>0</v>
      </c>
    </row>
    <row r="30" spans="2:18" hidden="1">
      <c r="B30" s="78">
        <f t="shared" si="1"/>
        <v>44348</v>
      </c>
      <c r="C30" s="75">
        <f>IF(F30&lt;&gt;0,-INDEX([10]Delta!$F$1:$EE$997,$L$13,$I30),0)</f>
        <v>0</v>
      </c>
      <c r="D30" s="71">
        <f>IF(F30&lt;&gt;0,VLOOKUP($J30,'Table 1'!$B$13:$C$33,2,FALSE)/12*1000*Study_MW,0)</f>
        <v>0</v>
      </c>
      <c r="E30" s="71">
        <f t="shared" si="17"/>
        <v>0</v>
      </c>
      <c r="F30" s="75">
        <f>INDEX([10]Delta!$F$1:$EE$997,$L$14,$I30)</f>
        <v>0</v>
      </c>
      <c r="G30" s="76" t="e">
        <f t="shared" si="3"/>
        <v>#DIV/0!</v>
      </c>
      <c r="I30" s="77">
        <f t="shared" si="18"/>
        <v>19</v>
      </c>
      <c r="J30" s="73">
        <f t="shared" si="4"/>
        <v>2021</v>
      </c>
      <c r="K30" s="78" t="str">
        <f t="shared" si="19"/>
        <v/>
      </c>
      <c r="L30" s="73">
        <f t="shared" si="11"/>
        <v>2034</v>
      </c>
      <c r="M30" s="56">
        <f t="shared" si="12"/>
        <v>0</v>
      </c>
      <c r="N30" s="56">
        <f t="shared" si="8"/>
        <v>0</v>
      </c>
      <c r="O30" s="56">
        <f t="shared" si="20"/>
        <v>0</v>
      </c>
      <c r="P30" s="117" t="e">
        <f t="shared" si="21"/>
        <v>#DIV/0!</v>
      </c>
      <c r="Q30" s="180" t="e">
        <f t="shared" si="9"/>
        <v>#DIV/0!</v>
      </c>
      <c r="R30" s="180">
        <f t="shared" si="10"/>
        <v>0</v>
      </c>
    </row>
    <row r="31" spans="2:18" hidden="1">
      <c r="B31" s="78">
        <f t="shared" si="1"/>
        <v>44378</v>
      </c>
      <c r="C31" s="75">
        <f>IF(F31&lt;&gt;0,-INDEX([10]Delta!$F$1:$EE$997,$L$13,$I31),0)</f>
        <v>0</v>
      </c>
      <c r="D31" s="71">
        <f>IF(F31&lt;&gt;0,VLOOKUP($J31,'Table 1'!$B$13:$C$33,2,FALSE)/12*1000*Study_MW,0)</f>
        <v>0</v>
      </c>
      <c r="E31" s="71">
        <f t="shared" si="17"/>
        <v>0</v>
      </c>
      <c r="F31" s="75">
        <f>INDEX([10]Delta!$F$1:$EE$997,$L$14,$I31)</f>
        <v>0</v>
      </c>
      <c r="G31" s="76" t="e">
        <f t="shared" si="3"/>
        <v>#DIV/0!</v>
      </c>
      <c r="I31" s="77">
        <f t="shared" si="18"/>
        <v>20</v>
      </c>
      <c r="J31" s="73">
        <f t="shared" si="4"/>
        <v>2021</v>
      </c>
      <c r="K31" s="78" t="str">
        <f t="shared" si="19"/>
        <v/>
      </c>
      <c r="L31" s="73">
        <f t="shared" si="11"/>
        <v>2035</v>
      </c>
      <c r="M31" s="56">
        <f t="shared" si="12"/>
        <v>0</v>
      </c>
      <c r="N31" s="56">
        <f t="shared" si="8"/>
        <v>0</v>
      </c>
      <c r="O31" s="56">
        <f t="shared" si="20"/>
        <v>0</v>
      </c>
      <c r="P31" s="117" t="e">
        <f t="shared" si="21"/>
        <v>#DIV/0!</v>
      </c>
      <c r="Q31" s="180" t="e">
        <f t="shared" si="9"/>
        <v>#DIV/0!</v>
      </c>
      <c r="R31" s="180">
        <f t="shared" si="10"/>
        <v>0</v>
      </c>
    </row>
    <row r="32" spans="2:18" hidden="1">
      <c r="B32" s="78">
        <f t="shared" si="1"/>
        <v>44409</v>
      </c>
      <c r="C32" s="75">
        <f>IF(F32&lt;&gt;0,-INDEX([10]Delta!$F$1:$EE$997,$L$13,$I32),0)</f>
        <v>0</v>
      </c>
      <c r="D32" s="71">
        <f>IF(F32&lt;&gt;0,VLOOKUP($J32,'Table 1'!$B$13:$C$33,2,FALSE)/12*1000*Study_MW,0)</f>
        <v>0</v>
      </c>
      <c r="E32" s="71">
        <f t="shared" si="17"/>
        <v>0</v>
      </c>
      <c r="F32" s="75">
        <f>INDEX([10]Delta!$F$1:$EE$997,$L$14,$I32)</f>
        <v>0</v>
      </c>
      <c r="G32" s="76" t="e">
        <f t="shared" si="3"/>
        <v>#DIV/0!</v>
      </c>
      <c r="I32" s="77">
        <f t="shared" si="18"/>
        <v>21</v>
      </c>
      <c r="J32" s="73">
        <f t="shared" si="4"/>
        <v>2021</v>
      </c>
      <c r="K32" s="78" t="str">
        <f t="shared" si="19"/>
        <v/>
      </c>
      <c r="L32" s="73">
        <f t="shared" si="11"/>
        <v>2036</v>
      </c>
      <c r="M32" s="56">
        <f t="shared" si="12"/>
        <v>0</v>
      </c>
      <c r="N32" s="56">
        <f t="shared" si="8"/>
        <v>0</v>
      </c>
      <c r="O32" s="56">
        <f t="shared" ref="O32:O35" si="22">SUMIF($J$13:$J$264,L32,$F$13:$F$264)</f>
        <v>0</v>
      </c>
      <c r="P32" s="117" t="e">
        <f t="shared" ref="P32:P34" si="23">(M32+N32)/O32</f>
        <v>#DIV/0!</v>
      </c>
      <c r="Q32" s="180" t="e">
        <f t="shared" si="9"/>
        <v>#DIV/0!</v>
      </c>
      <c r="R32" s="180">
        <f t="shared" si="10"/>
        <v>0</v>
      </c>
    </row>
    <row r="33" spans="2:20" hidden="1">
      <c r="B33" s="78">
        <f t="shared" si="1"/>
        <v>44440</v>
      </c>
      <c r="C33" s="75">
        <f>IF(F33&lt;&gt;0,-INDEX([10]Delta!$F$1:$EE$997,$L$13,$I33),0)</f>
        <v>0</v>
      </c>
      <c r="D33" s="71">
        <f>IF(F33&lt;&gt;0,VLOOKUP($J33,'Table 1'!$B$13:$C$33,2,FALSE)/12*1000*Study_MW,0)</f>
        <v>0</v>
      </c>
      <c r="E33" s="71">
        <f t="shared" si="17"/>
        <v>0</v>
      </c>
      <c r="F33" s="75">
        <f>INDEX([10]Delta!$F$1:$EE$997,$L$14,$I33)</f>
        <v>0</v>
      </c>
      <c r="G33" s="76" t="e">
        <f t="shared" si="3"/>
        <v>#DIV/0!</v>
      </c>
      <c r="I33" s="77">
        <f t="shared" si="18"/>
        <v>22</v>
      </c>
      <c r="J33" s="73">
        <f t="shared" si="4"/>
        <v>2021</v>
      </c>
      <c r="K33" s="78" t="str">
        <f t="shared" si="19"/>
        <v/>
      </c>
      <c r="L33" s="73">
        <f t="shared" si="11"/>
        <v>2037</v>
      </c>
      <c r="M33" s="56">
        <f t="shared" si="12"/>
        <v>0</v>
      </c>
      <c r="N33" s="56">
        <f t="shared" si="8"/>
        <v>0</v>
      </c>
      <c r="O33" s="56">
        <f t="shared" si="22"/>
        <v>0</v>
      </c>
      <c r="P33" s="117" t="e">
        <f t="shared" si="23"/>
        <v>#DIV/0!</v>
      </c>
      <c r="Q33" s="180" t="e">
        <f t="shared" si="9"/>
        <v>#DIV/0!</v>
      </c>
      <c r="R33" s="180">
        <f t="shared" si="10"/>
        <v>0</v>
      </c>
    </row>
    <row r="34" spans="2:20" hidden="1">
      <c r="B34" s="78">
        <f t="shared" si="1"/>
        <v>44470</v>
      </c>
      <c r="C34" s="75">
        <f>IF(F34&lt;&gt;0,-INDEX([10]Delta!$F$1:$EE$997,$L$13,$I34),0)</f>
        <v>0</v>
      </c>
      <c r="D34" s="71">
        <f>IF(F34&lt;&gt;0,VLOOKUP($J34,'Table 1'!$B$13:$C$33,2,FALSE)/12*1000*Study_MW,0)</f>
        <v>0</v>
      </c>
      <c r="E34" s="71">
        <f t="shared" si="17"/>
        <v>0</v>
      </c>
      <c r="F34" s="75">
        <f>INDEX([10]Delta!$F$1:$EE$997,$L$14,$I34)</f>
        <v>0</v>
      </c>
      <c r="G34" s="76" t="e">
        <f t="shared" si="3"/>
        <v>#DIV/0!</v>
      </c>
      <c r="I34" s="77">
        <f t="shared" si="18"/>
        <v>23</v>
      </c>
      <c r="J34" s="73">
        <f t="shared" si="4"/>
        <v>2021</v>
      </c>
      <c r="K34" s="78" t="str">
        <f t="shared" si="19"/>
        <v/>
      </c>
      <c r="L34" s="73">
        <f t="shared" si="11"/>
        <v>2038</v>
      </c>
      <c r="M34" s="56">
        <f t="shared" si="12"/>
        <v>0</v>
      </c>
      <c r="N34" s="56">
        <f t="shared" si="8"/>
        <v>0</v>
      </c>
      <c r="O34" s="56">
        <f t="shared" si="22"/>
        <v>0</v>
      </c>
      <c r="P34" s="117" t="e">
        <f t="shared" si="23"/>
        <v>#DIV/0!</v>
      </c>
      <c r="Q34" s="180" t="e">
        <f t="shared" ref="Q34" si="24">M34/O34</f>
        <v>#DIV/0!</v>
      </c>
      <c r="R34" s="180">
        <f t="shared" ref="R34" si="25">IFERROR(N34/O34,0)</f>
        <v>0</v>
      </c>
    </row>
    <row r="35" spans="2:20" hidden="1">
      <c r="B35" s="78">
        <f t="shared" si="1"/>
        <v>44501</v>
      </c>
      <c r="C35" s="75">
        <f>IF(F35&lt;&gt;0,-INDEX([10]Delta!$F$1:$EE$997,$L$13,$I35),0)</f>
        <v>0</v>
      </c>
      <c r="D35" s="71">
        <f>IF(F35&lt;&gt;0,VLOOKUP($J35,'Table 1'!$B$13:$C$33,2,FALSE)/12*1000*Study_MW,0)</f>
        <v>0</v>
      </c>
      <c r="E35" s="71">
        <f t="shared" si="17"/>
        <v>0</v>
      </c>
      <c r="F35" s="75">
        <f>INDEX([10]Delta!$F$1:$EE$997,$L$14,$I35)</f>
        <v>0</v>
      </c>
      <c r="G35" s="76" t="e">
        <f t="shared" si="3"/>
        <v>#DIV/0!</v>
      </c>
      <c r="I35" s="77">
        <f t="shared" si="18"/>
        <v>24</v>
      </c>
      <c r="J35" s="73">
        <f t="shared" si="4"/>
        <v>2021</v>
      </c>
      <c r="K35" s="78" t="str">
        <f t="shared" si="19"/>
        <v/>
      </c>
      <c r="L35" s="73">
        <f t="shared" si="11"/>
        <v>2039</v>
      </c>
      <c r="M35" s="56">
        <f t="shared" si="12"/>
        <v>0</v>
      </c>
      <c r="N35" s="56">
        <f t="shared" si="8"/>
        <v>0</v>
      </c>
      <c r="O35" s="56">
        <f t="shared" si="22"/>
        <v>0</v>
      </c>
      <c r="P35" s="117" t="e">
        <f t="shared" ref="P35" si="26">(M35+N35)/O35</f>
        <v>#DIV/0!</v>
      </c>
      <c r="Q35" s="180" t="e">
        <f t="shared" ref="Q35" si="27">M35/O35</f>
        <v>#DIV/0!</v>
      </c>
      <c r="R35" s="180">
        <f t="shared" ref="R35" si="28">IFERROR(N35/O35,0)</f>
        <v>0</v>
      </c>
    </row>
    <row r="36" spans="2:20" hidden="1">
      <c r="B36" s="82">
        <f t="shared" si="1"/>
        <v>44531</v>
      </c>
      <c r="C36" s="79">
        <f>IF(F36&lt;&gt;0,-INDEX([10]Delta!$F$1:$EE$997,$L$13,$I36),0)</f>
        <v>0</v>
      </c>
      <c r="D36" s="80">
        <f>IF(F36&lt;&gt;0,VLOOKUP($J36,'Table 1'!$B$13:$C$33,2,FALSE)/12*1000*Study_MW,0)</f>
        <v>0</v>
      </c>
      <c r="E36" s="80">
        <f t="shared" si="17"/>
        <v>0</v>
      </c>
      <c r="F36" s="79">
        <f>INDEX([10]Delta!$F$1:$EE$997,$L$14,$I36)</f>
        <v>0</v>
      </c>
      <c r="G36" s="81" t="e">
        <f t="shared" si="3"/>
        <v>#DIV/0!</v>
      </c>
      <c r="I36" s="64">
        <f t="shared" si="18"/>
        <v>25</v>
      </c>
      <c r="J36" s="73">
        <f t="shared" si="4"/>
        <v>2021</v>
      </c>
      <c r="K36" s="82" t="str">
        <f t="shared" si="19"/>
        <v/>
      </c>
      <c r="L36" s="73">
        <f t="shared" si="11"/>
        <v>2040</v>
      </c>
      <c r="M36" s="56">
        <f t="shared" si="12"/>
        <v>0</v>
      </c>
      <c r="N36" s="56">
        <f t="shared" si="8"/>
        <v>0</v>
      </c>
      <c r="O36" s="56">
        <f t="shared" ref="O36" si="29">SUMIF($J$13:$J$264,L36,$F$13:$F$264)</f>
        <v>0</v>
      </c>
      <c r="P36" s="117" t="e">
        <f t="shared" ref="P36" si="30">(M36+N36)/O36</f>
        <v>#DIV/0!</v>
      </c>
      <c r="Q36" s="180" t="e">
        <f t="shared" ref="Q36" si="31">M36/O36</f>
        <v>#DIV/0!</v>
      </c>
      <c r="R36" s="180">
        <f t="shared" ref="R36" si="32">IFERROR(N36/O36,0)</f>
        <v>0</v>
      </c>
    </row>
    <row r="37" spans="2:20" hidden="1" outlineLevel="1">
      <c r="B37" s="74">
        <f t="shared" si="1"/>
        <v>44562</v>
      </c>
      <c r="C37" s="69">
        <f>IF(F37&lt;&gt;0,-INDEX([10]Delta!$F$1:$EE$997,$L$13,$I37),0)</f>
        <v>0</v>
      </c>
      <c r="D37" s="70">
        <f>IF(F37&lt;&gt;0,VLOOKUP($J37,'Table 1'!$B$13:$C$33,2,FALSE)/12*1000*Study_MW,0)</f>
        <v>0</v>
      </c>
      <c r="E37" s="70">
        <f t="shared" si="17"/>
        <v>0</v>
      </c>
      <c r="F37" s="69">
        <f>INDEX([10]Delta!$F$1:$EE$997,$L$14,$I37)</f>
        <v>0</v>
      </c>
      <c r="G37" s="72" t="e">
        <f t="shared" si="3"/>
        <v>#DIV/0!</v>
      </c>
      <c r="I37" s="60">
        <f>I25+13</f>
        <v>27</v>
      </c>
      <c r="J37" s="73">
        <f t="shared" si="4"/>
        <v>2022</v>
      </c>
      <c r="K37" s="74" t="str">
        <f t="shared" si="19"/>
        <v/>
      </c>
      <c r="L37" s="73">
        <f t="shared" si="11"/>
        <v>2041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7" t="e">
        <f t="shared" ref="P37" si="33">(M37+N37)/O37</f>
        <v>#DIV/0!</v>
      </c>
      <c r="Q37" s="180" t="e">
        <f t="shared" ref="Q37" si="34">M37/O37</f>
        <v>#DIV/0!</v>
      </c>
      <c r="R37" s="180">
        <f t="shared" ref="R37" si="35">IFERROR(N37/O37,0)</f>
        <v>0</v>
      </c>
    </row>
    <row r="38" spans="2:20" hidden="1" outlineLevel="1">
      <c r="B38" s="78">
        <f t="shared" si="1"/>
        <v>44593</v>
      </c>
      <c r="C38" s="75">
        <f>IF(F38&lt;&gt;0,-INDEX([10]Delta!$F$1:$EE$997,$L$13,$I38),0)</f>
        <v>0</v>
      </c>
      <c r="D38" s="71">
        <f>IF(F38&lt;&gt;0,VLOOKUP($J38,'Table 1'!$B$13:$C$33,2,FALSE)/12*1000*Study_MW,0)</f>
        <v>0</v>
      </c>
      <c r="E38" s="71">
        <f t="shared" si="17"/>
        <v>0</v>
      </c>
      <c r="F38" s="75">
        <f>INDEX([10]Delta!$F$1:$EE$997,$L$14,$I38)</f>
        <v>0</v>
      </c>
      <c r="G38" s="76" t="e">
        <f t="shared" si="3"/>
        <v>#DIV/0!</v>
      </c>
      <c r="I38" s="77">
        <f t="shared" si="18"/>
        <v>28</v>
      </c>
      <c r="J38" s="73">
        <f t="shared" si="4"/>
        <v>2022</v>
      </c>
      <c r="K38" s="78" t="str">
        <f t="shared" si="19"/>
        <v/>
      </c>
      <c r="M38" s="191"/>
    </row>
    <row r="39" spans="2:20" hidden="1" outlineLevel="1">
      <c r="B39" s="78">
        <f t="shared" si="1"/>
        <v>44621</v>
      </c>
      <c r="C39" s="75">
        <f>IF(F39&lt;&gt;0,-INDEX([10]Delta!$F$1:$EE$997,$L$13,$I39),0)</f>
        <v>0</v>
      </c>
      <c r="D39" s="71">
        <f>IF(F39&lt;&gt;0,VLOOKUP($J39,'Table 1'!$B$13:$C$33,2,FALSE)/12*1000*Study_MW,0)</f>
        <v>0</v>
      </c>
      <c r="E39" s="71">
        <f t="shared" si="17"/>
        <v>0</v>
      </c>
      <c r="F39" s="75">
        <f>INDEX([10]Delta!$F$1:$EE$997,$L$14,$I39)</f>
        <v>0</v>
      </c>
      <c r="G39" s="76" t="e">
        <f t="shared" si="3"/>
        <v>#DIV/0!</v>
      </c>
      <c r="I39" s="77">
        <f t="shared" si="18"/>
        <v>29</v>
      </c>
      <c r="J39" s="73">
        <f t="shared" si="4"/>
        <v>2022</v>
      </c>
      <c r="K39" s="78" t="str">
        <f t="shared" si="19"/>
        <v/>
      </c>
    </row>
    <row r="40" spans="2:20" hidden="1" outlineLevel="1">
      <c r="B40" s="78">
        <f t="shared" si="1"/>
        <v>44652</v>
      </c>
      <c r="C40" s="75">
        <f>IF(F40&lt;&gt;0,-INDEX([10]Delta!$F$1:$EE$997,$L$13,$I40),0)</f>
        <v>0</v>
      </c>
      <c r="D40" s="71">
        <f>IF(F40&lt;&gt;0,VLOOKUP($J40,'Table 1'!$B$13:$C$33,2,FALSE)/12*1000*Study_MW,0)</f>
        <v>0</v>
      </c>
      <c r="E40" s="71">
        <f t="shared" si="17"/>
        <v>0</v>
      </c>
      <c r="F40" s="75">
        <f>INDEX([10]Delta!$F$1:$EE$997,$L$14,$I40)</f>
        <v>0</v>
      </c>
      <c r="G40" s="76" t="e">
        <f t="shared" si="3"/>
        <v>#DIV/0!</v>
      </c>
      <c r="I40" s="77">
        <f t="shared" si="18"/>
        <v>30</v>
      </c>
      <c r="J40" s="73">
        <f t="shared" si="4"/>
        <v>2022</v>
      </c>
      <c r="K40" s="78" t="str">
        <f t="shared" si="19"/>
        <v/>
      </c>
      <c r="O40" s="218"/>
      <c r="P40" s="58"/>
      <c r="Q40" s="58"/>
      <c r="R40" s="58"/>
      <c r="S40" s="58"/>
      <c r="T40" s="91"/>
    </row>
    <row r="41" spans="2:20" hidden="1" outlineLevel="1">
      <c r="B41" s="78">
        <f t="shared" si="1"/>
        <v>44682</v>
      </c>
      <c r="C41" s="75">
        <f>IF(F41&lt;&gt;0,-INDEX([10]Delta!$F$1:$EE$997,$L$13,$I41),0)</f>
        <v>0</v>
      </c>
      <c r="D41" s="71">
        <f>IF(F41&lt;&gt;0,VLOOKUP($J41,'Table 1'!$B$13:$C$33,2,FALSE)/12*1000*Study_MW,0)</f>
        <v>0</v>
      </c>
      <c r="E41" s="71">
        <f t="shared" si="17"/>
        <v>0</v>
      </c>
      <c r="F41" s="75">
        <f>INDEX([10]Delta!$F$1:$EE$997,$L$14,$I41)</f>
        <v>0</v>
      </c>
      <c r="G41" s="76" t="e">
        <f t="shared" si="3"/>
        <v>#DIV/0!</v>
      </c>
      <c r="I41" s="77">
        <f t="shared" si="18"/>
        <v>31</v>
      </c>
      <c r="J41" s="73">
        <f t="shared" si="4"/>
        <v>2022</v>
      </c>
      <c r="K41" s="78" t="str">
        <f t="shared" si="19"/>
        <v/>
      </c>
      <c r="O41" s="218"/>
      <c r="P41" s="58"/>
      <c r="Q41" s="58"/>
      <c r="R41" s="58"/>
      <c r="S41" s="58"/>
      <c r="T41" s="91"/>
    </row>
    <row r="42" spans="2:20" hidden="1" outlineLevel="1">
      <c r="B42" s="78">
        <f t="shared" si="1"/>
        <v>44713</v>
      </c>
      <c r="C42" s="75">
        <f>IF(F42&lt;&gt;0,-INDEX([10]Delta!$F$1:$EE$997,$L$13,$I42),0)</f>
        <v>0</v>
      </c>
      <c r="D42" s="71">
        <f>IF(F42&lt;&gt;0,VLOOKUP($J42,'Table 1'!$B$13:$C$33,2,FALSE)/12*1000*Study_MW,0)</f>
        <v>0</v>
      </c>
      <c r="E42" s="71">
        <f t="shared" si="17"/>
        <v>0</v>
      </c>
      <c r="F42" s="75">
        <f>INDEX([10]Delta!$F$1:$EE$997,$L$14,$I42)</f>
        <v>0</v>
      </c>
      <c r="G42" s="76" t="e">
        <f t="shared" si="3"/>
        <v>#DIV/0!</v>
      </c>
      <c r="I42" s="77">
        <f t="shared" si="18"/>
        <v>32</v>
      </c>
      <c r="J42" s="73">
        <f t="shared" si="4"/>
        <v>2022</v>
      </c>
      <c r="K42" s="78" t="str">
        <f t="shared" si="19"/>
        <v/>
      </c>
    </row>
    <row r="43" spans="2:20" hidden="1" outlineLevel="1">
      <c r="B43" s="78">
        <f t="shared" si="1"/>
        <v>44743</v>
      </c>
      <c r="C43" s="75">
        <f>IF(F43&lt;&gt;0,-INDEX([10]Delta!$F$1:$EE$997,$L$13,$I43),0)</f>
        <v>0</v>
      </c>
      <c r="D43" s="71">
        <f>IF(F43&lt;&gt;0,VLOOKUP($J43,'Table 1'!$B$13:$C$33,2,FALSE)/12*1000*Study_MW,0)</f>
        <v>0</v>
      </c>
      <c r="E43" s="71">
        <f t="shared" si="17"/>
        <v>0</v>
      </c>
      <c r="F43" s="75">
        <f>INDEX([10]Delta!$F$1:$EE$997,$L$14,$I43)</f>
        <v>0</v>
      </c>
      <c r="G43" s="76" t="e">
        <f t="shared" si="3"/>
        <v>#DIV/0!</v>
      </c>
      <c r="I43" s="77">
        <f t="shared" si="18"/>
        <v>33</v>
      </c>
      <c r="J43" s="73">
        <f t="shared" si="4"/>
        <v>2022</v>
      </c>
      <c r="K43" s="78" t="str">
        <f t="shared" si="19"/>
        <v/>
      </c>
    </row>
    <row r="44" spans="2:20" hidden="1" outlineLevel="1">
      <c r="B44" s="78">
        <f t="shared" si="1"/>
        <v>44774</v>
      </c>
      <c r="C44" s="75">
        <f>IF(F44&lt;&gt;0,-INDEX([10]Delta!$F$1:$EE$997,$L$13,$I44),0)</f>
        <v>0</v>
      </c>
      <c r="D44" s="71">
        <f>IF(F44&lt;&gt;0,VLOOKUP($J44,'Table 1'!$B$13:$C$33,2,FALSE)/12*1000*Study_MW,0)</f>
        <v>0</v>
      </c>
      <c r="E44" s="71">
        <f t="shared" si="17"/>
        <v>0</v>
      </c>
      <c r="F44" s="75">
        <f>INDEX([10]Delta!$F$1:$EE$997,$L$14,$I44)</f>
        <v>0</v>
      </c>
      <c r="G44" s="76" t="e">
        <f t="shared" si="3"/>
        <v>#DIV/0!</v>
      </c>
      <c r="I44" s="77">
        <f t="shared" si="18"/>
        <v>34</v>
      </c>
      <c r="J44" s="73">
        <f t="shared" si="4"/>
        <v>2022</v>
      </c>
      <c r="K44" s="78" t="str">
        <f t="shared" si="19"/>
        <v/>
      </c>
    </row>
    <row r="45" spans="2:20" hidden="1" outlineLevel="1">
      <c r="B45" s="78">
        <f t="shared" si="1"/>
        <v>44805</v>
      </c>
      <c r="C45" s="75">
        <f>IF(F45&lt;&gt;0,-INDEX([10]Delta!$F$1:$EE$997,$L$13,$I45),0)</f>
        <v>0</v>
      </c>
      <c r="D45" s="71">
        <f>IF(F45&lt;&gt;0,VLOOKUP($J45,'Table 1'!$B$13:$C$33,2,FALSE)/12*1000*Study_MW,0)</f>
        <v>0</v>
      </c>
      <c r="E45" s="71">
        <f t="shared" si="17"/>
        <v>0</v>
      </c>
      <c r="F45" s="75">
        <f>INDEX([10]Delta!$F$1:$EE$997,$L$14,$I45)</f>
        <v>0</v>
      </c>
      <c r="G45" s="76" t="e">
        <f t="shared" si="3"/>
        <v>#DIV/0!</v>
      </c>
      <c r="I45" s="77">
        <f t="shared" si="18"/>
        <v>35</v>
      </c>
      <c r="J45" s="73">
        <f t="shared" si="4"/>
        <v>2022</v>
      </c>
      <c r="K45" s="78" t="str">
        <f t="shared" si="19"/>
        <v/>
      </c>
    </row>
    <row r="46" spans="2:20" hidden="1" outlineLevel="1">
      <c r="B46" s="78">
        <f t="shared" si="1"/>
        <v>44835</v>
      </c>
      <c r="C46" s="75">
        <f>IF(F46&lt;&gt;0,-INDEX([10]Delta!$F$1:$EE$997,$L$13,$I46),0)</f>
        <v>0</v>
      </c>
      <c r="D46" s="71">
        <f>IF(F46&lt;&gt;0,VLOOKUP($J46,'Table 1'!$B$13:$C$33,2,FALSE)/12*1000*Study_MW,0)</f>
        <v>0</v>
      </c>
      <c r="E46" s="71">
        <f t="shared" si="17"/>
        <v>0</v>
      </c>
      <c r="F46" s="75">
        <f>INDEX([10]Delta!$F$1:$EE$997,$L$14,$I46)</f>
        <v>0</v>
      </c>
      <c r="G46" s="76" t="e">
        <f t="shared" si="3"/>
        <v>#DIV/0!</v>
      </c>
      <c r="I46" s="77">
        <f t="shared" si="18"/>
        <v>36</v>
      </c>
      <c r="J46" s="73">
        <f t="shared" si="4"/>
        <v>2022</v>
      </c>
      <c r="K46" s="78" t="str">
        <f t="shared" si="19"/>
        <v/>
      </c>
    </row>
    <row r="47" spans="2:20" hidden="1" outlineLevel="1">
      <c r="B47" s="78">
        <f t="shared" si="1"/>
        <v>44866</v>
      </c>
      <c r="C47" s="75">
        <f>IF(F47&lt;&gt;0,-INDEX([10]Delta!$F$1:$EE$997,$L$13,$I47),0)</f>
        <v>0</v>
      </c>
      <c r="D47" s="71">
        <f>IF(F47&lt;&gt;0,VLOOKUP($J47,'Table 1'!$B$13:$C$33,2,FALSE)/12*1000*Study_MW,0)</f>
        <v>0</v>
      </c>
      <c r="E47" s="71">
        <f t="shared" si="17"/>
        <v>0</v>
      </c>
      <c r="F47" s="75">
        <f>INDEX([10]Delta!$F$1:$EE$997,$L$14,$I47)</f>
        <v>0</v>
      </c>
      <c r="G47" s="76" t="e">
        <f t="shared" si="3"/>
        <v>#DIV/0!</v>
      </c>
      <c r="I47" s="77">
        <f t="shared" si="18"/>
        <v>37</v>
      </c>
      <c r="J47" s="73">
        <f t="shared" si="4"/>
        <v>2022</v>
      </c>
      <c r="K47" s="78" t="str">
        <f t="shared" si="19"/>
        <v/>
      </c>
    </row>
    <row r="48" spans="2:20" hidden="1" outlineLevel="1">
      <c r="B48" s="82">
        <f t="shared" si="1"/>
        <v>44896</v>
      </c>
      <c r="C48" s="79">
        <f>IF(F48&lt;&gt;0,-INDEX([10]Delta!$F$1:$EE$997,$L$13,$I48),0)</f>
        <v>0</v>
      </c>
      <c r="D48" s="80">
        <f>IF(F48&lt;&gt;0,VLOOKUP($J48,'Table 1'!$B$13:$C$33,2,FALSE)/12*1000*Study_MW,0)</f>
        <v>0</v>
      </c>
      <c r="E48" s="80">
        <f t="shared" si="17"/>
        <v>0</v>
      </c>
      <c r="F48" s="79">
        <f>INDEX([10]Delta!$F$1:$EE$997,$L$14,$I48)</f>
        <v>0</v>
      </c>
      <c r="G48" s="81" t="e">
        <f t="shared" si="3"/>
        <v>#DIV/0!</v>
      </c>
      <c r="I48" s="64">
        <f t="shared" si="18"/>
        <v>38</v>
      </c>
      <c r="J48" s="73">
        <f t="shared" si="4"/>
        <v>2022</v>
      </c>
      <c r="K48" s="82" t="str">
        <f t="shared" si="19"/>
        <v/>
      </c>
    </row>
    <row r="49" spans="2:11" hidden="1" outlineLevel="1">
      <c r="B49" s="74">
        <f t="shared" si="1"/>
        <v>44927</v>
      </c>
      <c r="C49" s="69">
        <f>IF(F49&lt;&gt;0,-INDEX([10]Delta!$F$1:$EE$997,$L$13,$I49),0)</f>
        <v>0</v>
      </c>
      <c r="D49" s="70">
        <f>IF(F49&lt;&gt;0,VLOOKUP($J49,'Table 1'!$B$13:$C$33,2,FALSE)/12*1000*Study_MW,0)</f>
        <v>0</v>
      </c>
      <c r="E49" s="70">
        <f t="shared" si="17"/>
        <v>0</v>
      </c>
      <c r="F49" s="69">
        <f>INDEX([10]Delta!$F$1:$EE$997,$L$14,$I49)</f>
        <v>0</v>
      </c>
      <c r="G49" s="72" t="e">
        <f t="shared" si="3"/>
        <v>#DIV/0!</v>
      </c>
      <c r="I49" s="60">
        <f>I37+13</f>
        <v>40</v>
      </c>
      <c r="J49" s="73">
        <f t="shared" si="4"/>
        <v>2023</v>
      </c>
      <c r="K49" s="74" t="str">
        <f t="shared" si="19"/>
        <v/>
      </c>
    </row>
    <row r="50" spans="2:11" hidden="1" outlineLevel="1">
      <c r="B50" s="78">
        <f t="shared" si="1"/>
        <v>44958</v>
      </c>
      <c r="C50" s="75">
        <f>IF(F50&lt;&gt;0,-INDEX([10]Delta!$F$1:$EE$997,$L$13,$I50),0)</f>
        <v>0</v>
      </c>
      <c r="D50" s="71">
        <f>IF(F50&lt;&gt;0,VLOOKUP($J50,'Table 1'!$B$13:$C$33,2,FALSE)/12*1000*Study_MW,0)</f>
        <v>0</v>
      </c>
      <c r="E50" s="71">
        <f t="shared" si="17"/>
        <v>0</v>
      </c>
      <c r="F50" s="75">
        <f>INDEX([10]Delta!$F$1:$EE$997,$L$14,$I50)</f>
        <v>0</v>
      </c>
      <c r="G50" s="76" t="e">
        <f t="shared" si="3"/>
        <v>#DIV/0!</v>
      </c>
      <c r="I50" s="77">
        <f t="shared" si="18"/>
        <v>41</v>
      </c>
      <c r="J50" s="73">
        <f t="shared" si="4"/>
        <v>2023</v>
      </c>
      <c r="K50" s="78" t="str">
        <f t="shared" si="19"/>
        <v/>
      </c>
    </row>
    <row r="51" spans="2:11" hidden="1" outlineLevel="1">
      <c r="B51" s="78">
        <f t="shared" si="1"/>
        <v>44986</v>
      </c>
      <c r="C51" s="75">
        <f>IF(F51&lt;&gt;0,-INDEX([10]Delta!$F$1:$EE$997,$L$13,$I51),0)</f>
        <v>0</v>
      </c>
      <c r="D51" s="71">
        <f>IF(F51&lt;&gt;0,VLOOKUP($J51,'Table 1'!$B$13:$C$33,2,FALSE)/12*1000*Study_MW,0)</f>
        <v>0</v>
      </c>
      <c r="E51" s="71">
        <f t="shared" si="17"/>
        <v>0</v>
      </c>
      <c r="F51" s="75">
        <f>INDEX([10]Delta!$F$1:$EE$997,$L$14,$I51)</f>
        <v>0</v>
      </c>
      <c r="G51" s="76" t="e">
        <f t="shared" si="3"/>
        <v>#DIV/0!</v>
      </c>
      <c r="I51" s="77">
        <f t="shared" si="18"/>
        <v>42</v>
      </c>
      <c r="J51" s="73">
        <f t="shared" si="4"/>
        <v>2023</v>
      </c>
      <c r="K51" s="78" t="str">
        <f t="shared" si="19"/>
        <v/>
      </c>
    </row>
    <row r="52" spans="2:11" hidden="1" outlineLevel="1">
      <c r="B52" s="78">
        <f t="shared" si="1"/>
        <v>45017</v>
      </c>
      <c r="C52" s="75">
        <f>IF(F52&lt;&gt;0,-INDEX([10]Delta!$F$1:$EE$997,$L$13,$I52),0)</f>
        <v>0</v>
      </c>
      <c r="D52" s="71">
        <f>IF(F52&lt;&gt;0,VLOOKUP($J52,'Table 1'!$B$13:$C$33,2,FALSE)/12*1000*Study_MW,0)</f>
        <v>0</v>
      </c>
      <c r="E52" s="71">
        <f t="shared" si="17"/>
        <v>0</v>
      </c>
      <c r="F52" s="75">
        <f>INDEX([10]Delta!$F$1:$EE$997,$L$14,$I52)</f>
        <v>0</v>
      </c>
      <c r="G52" s="76" t="e">
        <f t="shared" si="3"/>
        <v>#DIV/0!</v>
      </c>
      <c r="I52" s="77">
        <f t="shared" si="18"/>
        <v>43</v>
      </c>
      <c r="J52" s="73">
        <f t="shared" si="4"/>
        <v>2023</v>
      </c>
      <c r="K52" s="78" t="str">
        <f t="shared" si="19"/>
        <v/>
      </c>
    </row>
    <row r="53" spans="2:11" hidden="1" outlineLevel="1">
      <c r="B53" s="78">
        <f t="shared" si="1"/>
        <v>45047</v>
      </c>
      <c r="C53" s="75">
        <f>IF(F53&lt;&gt;0,-INDEX([10]Delta!$F$1:$EE$997,$L$13,$I53),0)</f>
        <v>0</v>
      </c>
      <c r="D53" s="71">
        <f>IF(F53&lt;&gt;0,VLOOKUP($J53,'Table 1'!$B$13:$C$33,2,FALSE)/12*1000*Study_MW,0)</f>
        <v>0</v>
      </c>
      <c r="E53" s="71">
        <f t="shared" si="17"/>
        <v>0</v>
      </c>
      <c r="F53" s="75">
        <f>INDEX([10]Delta!$F$1:$EE$997,$L$14,$I53)</f>
        <v>0</v>
      </c>
      <c r="G53" s="76" t="e">
        <f t="shared" si="3"/>
        <v>#DIV/0!</v>
      </c>
      <c r="I53" s="77">
        <f t="shared" si="18"/>
        <v>44</v>
      </c>
      <c r="J53" s="73">
        <f t="shared" si="4"/>
        <v>2023</v>
      </c>
      <c r="K53" s="78" t="str">
        <f t="shared" si="19"/>
        <v/>
      </c>
    </row>
    <row r="54" spans="2:11" hidden="1" outlineLevel="1">
      <c r="B54" s="78">
        <f t="shared" si="1"/>
        <v>45078</v>
      </c>
      <c r="C54" s="75">
        <f>IF(F54&lt;&gt;0,-INDEX([10]Delta!$F$1:$EE$997,$L$13,$I54),0)</f>
        <v>0</v>
      </c>
      <c r="D54" s="71">
        <f>IF(F54&lt;&gt;0,VLOOKUP($J54,'Table 1'!$B$13:$C$33,2,FALSE)/12*1000*Study_MW,0)</f>
        <v>0</v>
      </c>
      <c r="E54" s="71">
        <f t="shared" si="17"/>
        <v>0</v>
      </c>
      <c r="F54" s="75">
        <f>INDEX([10]Delta!$F$1:$EE$997,$L$14,$I54)</f>
        <v>0</v>
      </c>
      <c r="G54" s="76" t="e">
        <f t="shared" si="3"/>
        <v>#DIV/0!</v>
      </c>
      <c r="I54" s="77">
        <f t="shared" si="18"/>
        <v>45</v>
      </c>
      <c r="J54" s="73">
        <f t="shared" si="4"/>
        <v>2023</v>
      </c>
      <c r="K54" s="78" t="str">
        <f t="shared" si="19"/>
        <v/>
      </c>
    </row>
    <row r="55" spans="2:11" hidden="1" outlineLevel="1">
      <c r="B55" s="78">
        <f t="shared" si="1"/>
        <v>45108</v>
      </c>
      <c r="C55" s="75">
        <f>IF(F55&lt;&gt;0,-INDEX([10]Delta!$F$1:$EE$997,$L$13,$I55),0)</f>
        <v>0</v>
      </c>
      <c r="D55" s="71">
        <f>IF(F55&lt;&gt;0,VLOOKUP($J55,'Table 1'!$B$13:$C$33,2,FALSE)/12*1000*Study_MW,0)</f>
        <v>0</v>
      </c>
      <c r="E55" s="71">
        <f t="shared" si="17"/>
        <v>0</v>
      </c>
      <c r="F55" s="75">
        <f>INDEX([10]Delta!$F$1:$EE$997,$L$14,$I55)</f>
        <v>0</v>
      </c>
      <c r="G55" s="76" t="e">
        <f t="shared" si="3"/>
        <v>#DIV/0!</v>
      </c>
      <c r="I55" s="77">
        <f t="shared" si="18"/>
        <v>46</v>
      </c>
      <c r="J55" s="73">
        <f t="shared" si="4"/>
        <v>2023</v>
      </c>
      <c r="K55" s="78" t="str">
        <f t="shared" si="19"/>
        <v/>
      </c>
    </row>
    <row r="56" spans="2:11" hidden="1" outlineLevel="1">
      <c r="B56" s="78">
        <f t="shared" si="1"/>
        <v>45139</v>
      </c>
      <c r="C56" s="75">
        <f>IF(F56&lt;&gt;0,-INDEX([10]Delta!$F$1:$EE$997,$L$13,$I56),0)</f>
        <v>0</v>
      </c>
      <c r="D56" s="71">
        <f>IF(F56&lt;&gt;0,VLOOKUP($J56,'Table 1'!$B$13:$C$33,2,FALSE)/12*1000*Study_MW,0)</f>
        <v>0</v>
      </c>
      <c r="E56" s="71">
        <f t="shared" si="17"/>
        <v>0</v>
      </c>
      <c r="F56" s="75">
        <f>INDEX([10]Delta!$F$1:$EE$997,$L$14,$I56)</f>
        <v>0</v>
      </c>
      <c r="G56" s="76" t="e">
        <f t="shared" si="3"/>
        <v>#DIV/0!</v>
      </c>
      <c r="I56" s="77">
        <f t="shared" si="18"/>
        <v>47</v>
      </c>
      <c r="J56" s="73">
        <f t="shared" si="4"/>
        <v>2023</v>
      </c>
      <c r="K56" s="78" t="str">
        <f t="shared" si="19"/>
        <v/>
      </c>
    </row>
    <row r="57" spans="2:11" hidden="1" outlineLevel="1">
      <c r="B57" s="78">
        <f t="shared" si="1"/>
        <v>45170</v>
      </c>
      <c r="C57" s="75">
        <f>IF(F57&lt;&gt;0,-INDEX([10]Delta!$F$1:$EE$997,$L$13,$I57),0)</f>
        <v>0</v>
      </c>
      <c r="D57" s="71">
        <f>IF(F57&lt;&gt;0,VLOOKUP($J57,'Table 1'!$B$13:$C$33,2,FALSE)/12*1000*Study_MW,0)</f>
        <v>0</v>
      </c>
      <c r="E57" s="71">
        <f t="shared" si="17"/>
        <v>0</v>
      </c>
      <c r="F57" s="75">
        <f>INDEX([10]Delta!$F$1:$EE$997,$L$14,$I57)</f>
        <v>0</v>
      </c>
      <c r="G57" s="76" t="e">
        <f t="shared" si="3"/>
        <v>#DIV/0!</v>
      </c>
      <c r="I57" s="77">
        <f t="shared" si="18"/>
        <v>48</v>
      </c>
      <c r="J57" s="73">
        <f t="shared" si="4"/>
        <v>2023</v>
      </c>
      <c r="K57" s="78" t="str">
        <f t="shared" si="19"/>
        <v/>
      </c>
    </row>
    <row r="58" spans="2:11" hidden="1" outlineLevel="1">
      <c r="B58" s="78">
        <f t="shared" si="1"/>
        <v>45200</v>
      </c>
      <c r="C58" s="75">
        <f>IF(F58&lt;&gt;0,-INDEX([10]Delta!$F$1:$EE$997,$L$13,$I58),0)</f>
        <v>0</v>
      </c>
      <c r="D58" s="71">
        <f>IF(F58&lt;&gt;0,VLOOKUP($J58,'Table 1'!$B$13:$C$33,2,FALSE)/12*1000*Study_MW,0)</f>
        <v>0</v>
      </c>
      <c r="E58" s="71">
        <f t="shared" si="17"/>
        <v>0</v>
      </c>
      <c r="F58" s="75">
        <f>INDEX([10]Delta!$F$1:$EE$997,$L$14,$I58)</f>
        <v>0</v>
      </c>
      <c r="G58" s="76" t="e">
        <f t="shared" si="3"/>
        <v>#DIV/0!</v>
      </c>
      <c r="I58" s="77">
        <f t="shared" si="18"/>
        <v>49</v>
      </c>
      <c r="J58" s="73">
        <f t="shared" si="4"/>
        <v>2023</v>
      </c>
      <c r="K58" s="78" t="str">
        <f t="shared" si="19"/>
        <v/>
      </c>
    </row>
    <row r="59" spans="2:11" hidden="1" outlineLevel="1">
      <c r="B59" s="78">
        <f t="shared" si="1"/>
        <v>45231</v>
      </c>
      <c r="C59" s="75">
        <f>IF(F59&lt;&gt;0,-INDEX([10]Delta!$F$1:$EE$997,$L$13,$I59),0)</f>
        <v>0</v>
      </c>
      <c r="D59" s="71">
        <f>IF(F59&lt;&gt;0,VLOOKUP($J59,'Table 1'!$B$13:$C$33,2,FALSE)/12*1000*Study_MW,0)</f>
        <v>0</v>
      </c>
      <c r="E59" s="71">
        <f t="shared" si="17"/>
        <v>0</v>
      </c>
      <c r="F59" s="75">
        <f>INDEX([10]Delta!$F$1:$EE$997,$L$14,$I59)</f>
        <v>0</v>
      </c>
      <c r="G59" s="76" t="e">
        <f t="shared" si="3"/>
        <v>#DIV/0!</v>
      </c>
      <c r="I59" s="77">
        <f t="shared" si="18"/>
        <v>50</v>
      </c>
      <c r="J59" s="73">
        <f t="shared" si="4"/>
        <v>2023</v>
      </c>
      <c r="K59" s="78" t="str">
        <f t="shared" si="19"/>
        <v/>
      </c>
    </row>
    <row r="60" spans="2:11" hidden="1" outlineLevel="1">
      <c r="B60" s="82">
        <f t="shared" si="1"/>
        <v>45261</v>
      </c>
      <c r="C60" s="79">
        <f>IF(F60&lt;&gt;0,-INDEX([10]Delta!$F$1:$EE$997,$L$13,$I60),0)</f>
        <v>0</v>
      </c>
      <c r="D60" s="80">
        <f>IF(F60&lt;&gt;0,VLOOKUP($J60,'Table 1'!$B$13:$C$33,2,FALSE)/12*1000*Study_MW,0)</f>
        <v>0</v>
      </c>
      <c r="E60" s="80">
        <f t="shared" si="17"/>
        <v>0</v>
      </c>
      <c r="F60" s="79">
        <f>INDEX([10]Delta!$F$1:$EE$997,$L$14,$I60)</f>
        <v>0</v>
      </c>
      <c r="G60" s="81" t="e">
        <f t="shared" si="3"/>
        <v>#DIV/0!</v>
      </c>
      <c r="I60" s="64">
        <f t="shared" si="18"/>
        <v>51</v>
      </c>
      <c r="J60" s="73">
        <f t="shared" si="4"/>
        <v>2023</v>
      </c>
      <c r="K60" s="82" t="str">
        <f t="shared" si="19"/>
        <v/>
      </c>
    </row>
    <row r="61" spans="2:11" hidden="1" outlineLevel="1">
      <c r="B61" s="74">
        <f t="shared" si="1"/>
        <v>45292</v>
      </c>
      <c r="C61" s="69">
        <f>IF(F61&lt;&gt;0,-INDEX([10]Delta!$F$1:$EE$997,$L$13,$I61),0)</f>
        <v>0</v>
      </c>
      <c r="D61" s="70">
        <f>IF(F61&lt;&gt;0,VLOOKUP($J61,'Table 1'!$B$13:$C$33,2,FALSE)/12*1000*Study_MW,0)</f>
        <v>0</v>
      </c>
      <c r="E61" s="70">
        <f t="shared" si="17"/>
        <v>0</v>
      </c>
      <c r="F61" s="69">
        <f>INDEX([10]Delta!$F$1:$EE$997,$L$14,$I61)</f>
        <v>0</v>
      </c>
      <c r="G61" s="72" t="e">
        <f t="shared" si="3"/>
        <v>#DIV/0!</v>
      </c>
      <c r="I61" s="60">
        <f>I49+13</f>
        <v>53</v>
      </c>
      <c r="J61" s="73">
        <f t="shared" si="4"/>
        <v>2024</v>
      </c>
      <c r="K61" s="74" t="str">
        <f t="shared" si="19"/>
        <v/>
      </c>
    </row>
    <row r="62" spans="2:11" hidden="1" outlineLevel="1">
      <c r="B62" s="78">
        <f t="shared" si="1"/>
        <v>45323</v>
      </c>
      <c r="C62" s="75">
        <f>IF(F62&lt;&gt;0,-INDEX([10]Delta!$F$1:$EE$997,$L$13,$I62),0)</f>
        <v>0</v>
      </c>
      <c r="D62" s="71">
        <f>IF(F62&lt;&gt;0,VLOOKUP($J62,'Table 1'!$B$13:$C$33,2,FALSE)/12*1000*Study_MW,0)</f>
        <v>0</v>
      </c>
      <c r="E62" s="71">
        <f t="shared" si="17"/>
        <v>0</v>
      </c>
      <c r="F62" s="75">
        <f>INDEX([10]Delta!$F$1:$EE$997,$L$14,$I62)</f>
        <v>0</v>
      </c>
      <c r="G62" s="76" t="e">
        <f t="shared" si="3"/>
        <v>#DIV/0!</v>
      </c>
      <c r="I62" s="77">
        <f t="shared" si="18"/>
        <v>54</v>
      </c>
      <c r="J62" s="73">
        <f t="shared" si="4"/>
        <v>2024</v>
      </c>
      <c r="K62" s="78" t="str">
        <f t="shared" si="19"/>
        <v/>
      </c>
    </row>
    <row r="63" spans="2:11" hidden="1" outlineLevel="1">
      <c r="B63" s="78">
        <f t="shared" si="1"/>
        <v>45352</v>
      </c>
      <c r="C63" s="75">
        <f>IF(F63&lt;&gt;0,-INDEX([10]Delta!$F$1:$EE$997,$L$13,$I63),0)</f>
        <v>0</v>
      </c>
      <c r="D63" s="71">
        <f>IF(F63&lt;&gt;0,VLOOKUP($J63,'Table 1'!$B$13:$C$33,2,FALSE)/12*1000*Study_MW,0)</f>
        <v>0</v>
      </c>
      <c r="E63" s="71">
        <f t="shared" si="17"/>
        <v>0</v>
      </c>
      <c r="F63" s="75">
        <f>INDEX([10]Delta!$F$1:$EE$997,$L$14,$I63)</f>
        <v>0</v>
      </c>
      <c r="G63" s="76" t="e">
        <f t="shared" si="3"/>
        <v>#DIV/0!</v>
      </c>
      <c r="I63" s="77">
        <f t="shared" si="18"/>
        <v>55</v>
      </c>
      <c r="J63" s="73">
        <f t="shared" si="4"/>
        <v>2024</v>
      </c>
      <c r="K63" s="78" t="str">
        <f t="shared" si="19"/>
        <v/>
      </c>
    </row>
    <row r="64" spans="2:11" hidden="1" outlineLevel="1">
      <c r="B64" s="78">
        <f t="shared" si="1"/>
        <v>45383</v>
      </c>
      <c r="C64" s="75">
        <f>IF(F64&lt;&gt;0,-INDEX([10]Delta!$F$1:$EE$997,$L$13,$I64),0)</f>
        <v>0</v>
      </c>
      <c r="D64" s="71">
        <f>IF(F64&lt;&gt;0,VLOOKUP($J64,'Table 1'!$B$13:$C$33,2,FALSE)/12*1000*Study_MW,0)</f>
        <v>0</v>
      </c>
      <c r="E64" s="71">
        <f t="shared" si="17"/>
        <v>0</v>
      </c>
      <c r="F64" s="75">
        <f>INDEX([10]Delta!$F$1:$EE$997,$L$14,$I64)</f>
        <v>0</v>
      </c>
      <c r="G64" s="76" t="e">
        <f t="shared" si="3"/>
        <v>#DIV/0!</v>
      </c>
      <c r="I64" s="77">
        <f t="shared" si="18"/>
        <v>56</v>
      </c>
      <c r="J64" s="73">
        <f t="shared" si="4"/>
        <v>2024</v>
      </c>
      <c r="K64" s="78" t="str">
        <f t="shared" si="19"/>
        <v/>
      </c>
    </row>
    <row r="65" spans="2:11" hidden="1" outlineLevel="1">
      <c r="B65" s="78">
        <f t="shared" si="1"/>
        <v>45413</v>
      </c>
      <c r="C65" s="75">
        <f>IF(F65&lt;&gt;0,-INDEX([10]Delta!$F$1:$EE$997,$L$13,$I65),0)</f>
        <v>0</v>
      </c>
      <c r="D65" s="71">
        <f>IF(F65&lt;&gt;0,VLOOKUP($J65,'Table 1'!$B$13:$C$33,2,FALSE)/12*1000*Study_MW,0)</f>
        <v>0</v>
      </c>
      <c r="E65" s="71">
        <f t="shared" si="17"/>
        <v>0</v>
      </c>
      <c r="F65" s="75">
        <f>INDEX([10]Delta!$F$1:$EE$997,$L$14,$I65)</f>
        <v>0</v>
      </c>
      <c r="G65" s="76" t="e">
        <f t="shared" si="3"/>
        <v>#DIV/0!</v>
      </c>
      <c r="I65" s="77">
        <f t="shared" si="18"/>
        <v>57</v>
      </c>
      <c r="J65" s="73">
        <f t="shared" si="4"/>
        <v>2024</v>
      </c>
      <c r="K65" s="78" t="str">
        <f t="shared" si="19"/>
        <v/>
      </c>
    </row>
    <row r="66" spans="2:11" hidden="1" outlineLevel="1">
      <c r="B66" s="78">
        <f t="shared" si="1"/>
        <v>45444</v>
      </c>
      <c r="C66" s="75">
        <f>IF(F66&lt;&gt;0,-INDEX([10]Delta!$F$1:$EE$997,$L$13,$I66),0)</f>
        <v>0</v>
      </c>
      <c r="D66" s="71">
        <f>IF(F66&lt;&gt;0,VLOOKUP($J66,'Table 1'!$B$13:$C$33,2,FALSE)/12*1000*Study_MW,0)</f>
        <v>0</v>
      </c>
      <c r="E66" s="71">
        <f t="shared" si="17"/>
        <v>0</v>
      </c>
      <c r="F66" s="75">
        <f>INDEX([10]Delta!$F$1:$EE$997,$L$14,$I66)</f>
        <v>0</v>
      </c>
      <c r="G66" s="76" t="e">
        <f t="shared" si="3"/>
        <v>#DIV/0!</v>
      </c>
      <c r="I66" s="77">
        <f t="shared" si="18"/>
        <v>58</v>
      </c>
      <c r="J66" s="73">
        <f t="shared" si="4"/>
        <v>2024</v>
      </c>
      <c r="K66" s="78" t="str">
        <f t="shared" si="19"/>
        <v/>
      </c>
    </row>
    <row r="67" spans="2:11" hidden="1" outlineLevel="1">
      <c r="B67" s="78">
        <f t="shared" si="1"/>
        <v>45474</v>
      </c>
      <c r="C67" s="75">
        <f>IF(F67&lt;&gt;0,-INDEX([10]Delta!$F$1:$EE$997,$L$13,$I67),0)</f>
        <v>0</v>
      </c>
      <c r="D67" s="71">
        <f>IF(F67&lt;&gt;0,VLOOKUP($J67,'Table 1'!$B$13:$C$33,2,FALSE)/12*1000*Study_MW,0)</f>
        <v>0</v>
      </c>
      <c r="E67" s="71">
        <f t="shared" si="17"/>
        <v>0</v>
      </c>
      <c r="F67" s="75">
        <f>INDEX([10]Delta!$F$1:$EE$997,$L$14,$I67)</f>
        <v>0</v>
      </c>
      <c r="G67" s="76" t="e">
        <f t="shared" si="3"/>
        <v>#DIV/0!</v>
      </c>
      <c r="I67" s="77">
        <f t="shared" si="18"/>
        <v>59</v>
      </c>
      <c r="J67" s="73">
        <f t="shared" si="4"/>
        <v>2024</v>
      </c>
      <c r="K67" s="78" t="str">
        <f t="shared" si="19"/>
        <v/>
      </c>
    </row>
    <row r="68" spans="2:11" hidden="1" outlineLevel="1">
      <c r="B68" s="78">
        <f t="shared" si="1"/>
        <v>45505</v>
      </c>
      <c r="C68" s="75">
        <f>IF(F68&lt;&gt;0,-INDEX([10]Delta!$F$1:$EE$997,$L$13,$I68),0)</f>
        <v>0</v>
      </c>
      <c r="D68" s="71">
        <f>IF(F68&lt;&gt;0,VLOOKUP($J68,'Table 1'!$B$13:$C$33,2,FALSE)/12*1000*Study_MW,0)</f>
        <v>0</v>
      </c>
      <c r="E68" s="71">
        <f t="shared" si="17"/>
        <v>0</v>
      </c>
      <c r="F68" s="75">
        <f>INDEX([10]Delta!$F$1:$EE$997,$L$14,$I68)</f>
        <v>0</v>
      </c>
      <c r="G68" s="76" t="e">
        <f t="shared" si="3"/>
        <v>#DIV/0!</v>
      </c>
      <c r="I68" s="77">
        <f t="shared" si="18"/>
        <v>60</v>
      </c>
      <c r="J68" s="73">
        <f t="shared" si="4"/>
        <v>2024</v>
      </c>
      <c r="K68" s="78" t="str">
        <f t="shared" si="19"/>
        <v/>
      </c>
    </row>
    <row r="69" spans="2:11" hidden="1" outlineLevel="1">
      <c r="B69" s="78">
        <f t="shared" si="1"/>
        <v>45536</v>
      </c>
      <c r="C69" s="75">
        <f>IF(F69&lt;&gt;0,-INDEX([10]Delta!$F$1:$EE$997,$L$13,$I69),0)</f>
        <v>0</v>
      </c>
      <c r="D69" s="71">
        <f>IF(F69&lt;&gt;0,VLOOKUP($J69,'Table 1'!$B$13:$C$33,2,FALSE)/12*1000*Study_MW,0)</f>
        <v>0</v>
      </c>
      <c r="E69" s="71">
        <f t="shared" si="17"/>
        <v>0</v>
      </c>
      <c r="F69" s="75">
        <f>INDEX([10]Delta!$F$1:$EE$997,$L$14,$I69)</f>
        <v>0</v>
      </c>
      <c r="G69" s="76" t="e">
        <f t="shared" si="3"/>
        <v>#DIV/0!</v>
      </c>
      <c r="I69" s="77">
        <f t="shared" si="18"/>
        <v>61</v>
      </c>
      <c r="J69" s="73">
        <f t="shared" si="4"/>
        <v>2024</v>
      </c>
      <c r="K69" s="78" t="str">
        <f t="shared" si="19"/>
        <v/>
      </c>
    </row>
    <row r="70" spans="2:11" hidden="1" outlineLevel="1">
      <c r="B70" s="78">
        <f t="shared" si="1"/>
        <v>45566</v>
      </c>
      <c r="C70" s="75">
        <f>IF(F70&lt;&gt;0,-INDEX([10]Delta!$F$1:$EE$997,$L$13,$I70),0)</f>
        <v>0</v>
      </c>
      <c r="D70" s="71">
        <f>IF(F70&lt;&gt;0,VLOOKUP($J70,'Table 1'!$B$13:$C$33,2,FALSE)/12*1000*Study_MW,0)</f>
        <v>0</v>
      </c>
      <c r="E70" s="71">
        <f t="shared" si="17"/>
        <v>0</v>
      </c>
      <c r="F70" s="75">
        <f>INDEX([10]Delta!$F$1:$EE$997,$L$14,$I70)</f>
        <v>0</v>
      </c>
      <c r="G70" s="76" t="e">
        <f t="shared" si="3"/>
        <v>#DIV/0!</v>
      </c>
      <c r="I70" s="77">
        <f t="shared" si="18"/>
        <v>62</v>
      </c>
      <c r="J70" s="73">
        <f t="shared" si="4"/>
        <v>2024</v>
      </c>
      <c r="K70" s="78" t="str">
        <f t="shared" si="19"/>
        <v/>
      </c>
    </row>
    <row r="71" spans="2:11" hidden="1" outlineLevel="1">
      <c r="B71" s="78">
        <f t="shared" si="1"/>
        <v>45597</v>
      </c>
      <c r="C71" s="75">
        <f>IF(F71&lt;&gt;0,-INDEX([10]Delta!$F$1:$EE$997,$L$13,$I71),0)</f>
        <v>0</v>
      </c>
      <c r="D71" s="71">
        <f>IF(F71&lt;&gt;0,VLOOKUP($J71,'Table 1'!$B$13:$C$33,2,FALSE)/12*1000*Study_MW,0)</f>
        <v>0</v>
      </c>
      <c r="E71" s="71">
        <f t="shared" si="17"/>
        <v>0</v>
      </c>
      <c r="F71" s="75">
        <f>INDEX([10]Delta!$F$1:$EE$997,$L$14,$I71)</f>
        <v>0</v>
      </c>
      <c r="G71" s="76" t="e">
        <f t="shared" si="3"/>
        <v>#DIV/0!</v>
      </c>
      <c r="I71" s="77">
        <f t="shared" si="18"/>
        <v>63</v>
      </c>
      <c r="J71" s="73">
        <f t="shared" si="4"/>
        <v>2024</v>
      </c>
      <c r="K71" s="78" t="str">
        <f t="shared" si="19"/>
        <v/>
      </c>
    </row>
    <row r="72" spans="2:11" hidden="1" outlineLevel="1">
      <c r="B72" s="82">
        <f t="shared" si="1"/>
        <v>45627</v>
      </c>
      <c r="C72" s="79">
        <f>IF(F72&lt;&gt;0,-INDEX([10]Delta!$F$1:$EE$997,$L$13,$I72),0)</f>
        <v>0</v>
      </c>
      <c r="D72" s="80">
        <f>IF(F72&lt;&gt;0,VLOOKUP($J72,'Table 1'!$B$13:$C$33,2,FALSE)/12*1000*Study_MW,0)</f>
        <v>0</v>
      </c>
      <c r="E72" s="80">
        <f t="shared" si="17"/>
        <v>0</v>
      </c>
      <c r="F72" s="79">
        <f>INDEX([10]Delta!$F$1:$EE$997,$L$14,$I72)</f>
        <v>0</v>
      </c>
      <c r="G72" s="81" t="e">
        <f t="shared" si="3"/>
        <v>#DIV/0!</v>
      </c>
      <c r="I72" s="64">
        <f t="shared" si="18"/>
        <v>64</v>
      </c>
      <c r="J72" s="73">
        <f t="shared" si="4"/>
        <v>2024</v>
      </c>
      <c r="K72" s="82" t="str">
        <f t="shared" si="19"/>
        <v/>
      </c>
    </row>
    <row r="73" spans="2:11" hidden="1" outlineLevel="1">
      <c r="B73" s="74">
        <f t="shared" si="1"/>
        <v>45658</v>
      </c>
      <c r="C73" s="69">
        <f>IF(F73&lt;&gt;0,-INDEX([10]Delta!$F$1:$EE$997,$L$13,$I73),0)</f>
        <v>0</v>
      </c>
      <c r="D73" s="70">
        <f>IF(F73&lt;&gt;0,VLOOKUP($J73,'Table 1'!$B$13:$C$33,2,FALSE)/12*1000*Study_MW,0)</f>
        <v>0</v>
      </c>
      <c r="E73" s="70">
        <f t="shared" si="17"/>
        <v>0</v>
      </c>
      <c r="F73" s="69">
        <f>INDEX([10]Delta!$F$1:$EE$997,$L$14,$I73)</f>
        <v>0</v>
      </c>
      <c r="G73" s="72" t="e">
        <f t="shared" si="3"/>
        <v>#DIV/0!</v>
      </c>
      <c r="I73" s="60">
        <f>I61+13</f>
        <v>66</v>
      </c>
      <c r="J73" s="73">
        <f t="shared" si="4"/>
        <v>2025</v>
      </c>
      <c r="K73" s="74" t="str">
        <f t="shared" si="19"/>
        <v/>
      </c>
    </row>
    <row r="74" spans="2:11" hidden="1" outlineLevel="1">
      <c r="B74" s="78">
        <f t="shared" si="1"/>
        <v>45689</v>
      </c>
      <c r="C74" s="75">
        <f>IF(F74&lt;&gt;0,-INDEX([10]Delta!$F$1:$EE$997,$L$13,$I74),0)</f>
        <v>0</v>
      </c>
      <c r="D74" s="71">
        <f>IF(F74&lt;&gt;0,VLOOKUP($J74,'Table 1'!$B$13:$C$33,2,FALSE)/12*1000*Study_MW,0)</f>
        <v>0</v>
      </c>
      <c r="E74" s="71">
        <f t="shared" si="17"/>
        <v>0</v>
      </c>
      <c r="F74" s="75">
        <f>INDEX([10]Delta!$F$1:$EE$997,$L$14,$I74)</f>
        <v>0</v>
      </c>
      <c r="G74" s="76" t="e">
        <f t="shared" si="3"/>
        <v>#DIV/0!</v>
      </c>
      <c r="I74" s="77">
        <f t="shared" si="18"/>
        <v>67</v>
      </c>
      <c r="J74" s="73">
        <f t="shared" si="4"/>
        <v>2025</v>
      </c>
      <c r="K74" s="78" t="str">
        <f t="shared" si="19"/>
        <v/>
      </c>
    </row>
    <row r="75" spans="2:11" hidden="1" outlineLevel="1">
      <c r="B75" s="78">
        <f t="shared" si="1"/>
        <v>45717</v>
      </c>
      <c r="C75" s="75">
        <f>IF(F75&lt;&gt;0,-INDEX([10]Delta!$F$1:$EE$997,$L$13,$I75),0)</f>
        <v>0</v>
      </c>
      <c r="D75" s="71">
        <f>IF(F75&lt;&gt;0,VLOOKUP($J75,'Table 1'!$B$13:$C$33,2,FALSE)/12*1000*Study_MW,0)</f>
        <v>0</v>
      </c>
      <c r="E75" s="71">
        <f t="shared" si="17"/>
        <v>0</v>
      </c>
      <c r="F75" s="75">
        <f>INDEX([10]Delta!$F$1:$EE$997,$L$14,$I75)</f>
        <v>0</v>
      </c>
      <c r="G75" s="76" t="e">
        <f t="shared" si="3"/>
        <v>#DIV/0!</v>
      </c>
      <c r="I75" s="77">
        <f t="shared" si="18"/>
        <v>68</v>
      </c>
      <c r="J75" s="73">
        <f t="shared" si="4"/>
        <v>2025</v>
      </c>
      <c r="K75" s="78" t="str">
        <f t="shared" si="19"/>
        <v/>
      </c>
    </row>
    <row r="76" spans="2:11" hidden="1" outlineLevel="1">
      <c r="B76" s="78">
        <f t="shared" si="1"/>
        <v>45748</v>
      </c>
      <c r="C76" s="75">
        <f>IF(F76&lt;&gt;0,-INDEX([10]Delta!$F$1:$EE$997,$L$13,$I76),0)</f>
        <v>0</v>
      </c>
      <c r="D76" s="71">
        <f>IF(F76&lt;&gt;0,VLOOKUP($J76,'Table 1'!$B$13:$C$33,2,FALSE)/12*1000*Study_MW,0)</f>
        <v>0</v>
      </c>
      <c r="E76" s="71">
        <f t="shared" si="17"/>
        <v>0</v>
      </c>
      <c r="F76" s="75">
        <f>INDEX([10]Delta!$F$1:$EE$997,$L$14,$I76)</f>
        <v>0</v>
      </c>
      <c r="G76" s="76" t="e">
        <f t="shared" si="3"/>
        <v>#DIV/0!</v>
      </c>
      <c r="I76" s="77">
        <f t="shared" si="18"/>
        <v>69</v>
      </c>
      <c r="J76" s="73">
        <f t="shared" si="4"/>
        <v>2025</v>
      </c>
      <c r="K76" s="78" t="str">
        <f t="shared" si="19"/>
        <v/>
      </c>
    </row>
    <row r="77" spans="2:11" hidden="1" outlineLevel="1">
      <c r="B77" s="78">
        <f t="shared" si="1"/>
        <v>45778</v>
      </c>
      <c r="C77" s="75">
        <f>IF(F77&lt;&gt;0,-INDEX([10]Delta!$F$1:$EE$997,$L$13,$I77),0)</f>
        <v>0</v>
      </c>
      <c r="D77" s="71">
        <f>IF(F77&lt;&gt;0,VLOOKUP($J77,'Table 1'!$B$13:$C$33,2,FALSE)/12*1000*Study_MW,0)</f>
        <v>0</v>
      </c>
      <c r="E77" s="71">
        <f t="shared" si="17"/>
        <v>0</v>
      </c>
      <c r="F77" s="75">
        <f>INDEX([10]Delta!$F$1:$EE$997,$L$14,$I77)</f>
        <v>0</v>
      </c>
      <c r="G77" s="76" t="e">
        <f t="shared" si="3"/>
        <v>#DIV/0!</v>
      </c>
      <c r="I77" s="77">
        <f t="shared" si="18"/>
        <v>70</v>
      </c>
      <c r="J77" s="73">
        <f t="shared" si="4"/>
        <v>2025</v>
      </c>
      <c r="K77" s="78" t="str">
        <f t="shared" si="19"/>
        <v/>
      </c>
    </row>
    <row r="78" spans="2:11" hidden="1" outlineLevel="1">
      <c r="B78" s="78">
        <f t="shared" ref="B78:B132" si="36">EDATE(B77,1)</f>
        <v>45809</v>
      </c>
      <c r="C78" s="75">
        <f>IF(F78&lt;&gt;0,-INDEX([10]Delta!$F$1:$EE$997,$L$13,$I78),0)</f>
        <v>0</v>
      </c>
      <c r="D78" s="71">
        <f>IF(F78&lt;&gt;0,VLOOKUP($J78,'Table 1'!$B$13:$C$33,2,FALSE)/12*1000*Study_MW,0)</f>
        <v>0</v>
      </c>
      <c r="E78" s="71">
        <f t="shared" ref="E78:E132" si="37">C78+D78</f>
        <v>0</v>
      </c>
      <c r="F78" s="75">
        <f>INDEX([10]Delta!$F$1:$EE$997,$L$14,$I78)</f>
        <v>0</v>
      </c>
      <c r="G78" s="76" t="e">
        <f t="shared" ref="G78:G132" si="38">IF(ISNUMBER($F78),E78/$F78,"")</f>
        <v>#DIV/0!</v>
      </c>
      <c r="I78" s="77">
        <f t="shared" si="18"/>
        <v>71</v>
      </c>
      <c r="J78" s="73">
        <f t="shared" ref="J78:J141" si="39">YEAR(B78)</f>
        <v>2025</v>
      </c>
      <c r="K78" s="78" t="str">
        <f t="shared" si="19"/>
        <v/>
      </c>
    </row>
    <row r="79" spans="2:11" hidden="1" outlineLevel="1">
      <c r="B79" s="78">
        <f t="shared" si="36"/>
        <v>45839</v>
      </c>
      <c r="C79" s="75">
        <f>IF(F79&lt;&gt;0,-INDEX([10]Delta!$F$1:$EE$997,$L$13,$I79),0)</f>
        <v>0</v>
      </c>
      <c r="D79" s="71">
        <f>IF(F79&lt;&gt;0,VLOOKUP($J79,'Table 1'!$B$13:$C$33,2,FALSE)/12*1000*Study_MW,0)</f>
        <v>0</v>
      </c>
      <c r="E79" s="71">
        <f t="shared" si="37"/>
        <v>0</v>
      </c>
      <c r="F79" s="75">
        <f>INDEX([10]Delta!$F$1:$EE$997,$L$14,$I79)</f>
        <v>0</v>
      </c>
      <c r="G79" s="76" t="e">
        <f t="shared" si="38"/>
        <v>#DIV/0!</v>
      </c>
      <c r="I79" s="77">
        <f t="shared" si="18"/>
        <v>72</v>
      </c>
      <c r="J79" s="73">
        <f t="shared" si="39"/>
        <v>2025</v>
      </c>
      <c r="K79" s="78" t="str">
        <f t="shared" si="19"/>
        <v/>
      </c>
    </row>
    <row r="80" spans="2:11" hidden="1" outlineLevel="1">
      <c r="B80" s="78">
        <f t="shared" si="36"/>
        <v>45870</v>
      </c>
      <c r="C80" s="75">
        <f>IF(F80&lt;&gt;0,-INDEX([10]Delta!$F$1:$EE$997,$L$13,$I80),0)</f>
        <v>0</v>
      </c>
      <c r="D80" s="71">
        <f>IF(F80&lt;&gt;0,VLOOKUP($J80,'Table 1'!$B$13:$C$33,2,FALSE)/12*1000*Study_MW,0)</f>
        <v>0</v>
      </c>
      <c r="E80" s="71">
        <f t="shared" si="37"/>
        <v>0</v>
      </c>
      <c r="F80" s="75">
        <f>INDEX([10]Delta!$F$1:$EE$997,$L$14,$I80)</f>
        <v>0</v>
      </c>
      <c r="G80" s="76" t="e">
        <f t="shared" si="38"/>
        <v>#DIV/0!</v>
      </c>
      <c r="I80" s="77">
        <f t="shared" si="18"/>
        <v>73</v>
      </c>
      <c r="J80" s="73">
        <f t="shared" si="39"/>
        <v>2025</v>
      </c>
      <c r="K80" s="78" t="str">
        <f t="shared" si="19"/>
        <v/>
      </c>
    </row>
    <row r="81" spans="2:11" hidden="1" outlineLevel="1">
      <c r="B81" s="78">
        <f t="shared" si="36"/>
        <v>45901</v>
      </c>
      <c r="C81" s="75">
        <f>IF(F81&lt;&gt;0,-INDEX([10]Delta!$F$1:$EE$997,$L$13,$I81),0)</f>
        <v>0</v>
      </c>
      <c r="D81" s="71">
        <f>IF(F81&lt;&gt;0,VLOOKUP($J81,'Table 1'!$B$13:$C$33,2,FALSE)/12*1000*Study_MW,0)</f>
        <v>0</v>
      </c>
      <c r="E81" s="71">
        <f t="shared" si="37"/>
        <v>0</v>
      </c>
      <c r="F81" s="75">
        <f>INDEX([10]Delta!$F$1:$EE$997,$L$14,$I81)</f>
        <v>0</v>
      </c>
      <c r="G81" s="76" t="e">
        <f t="shared" si="38"/>
        <v>#DIV/0!</v>
      </c>
      <c r="I81" s="77">
        <f t="shared" si="18"/>
        <v>74</v>
      </c>
      <c r="J81" s="73">
        <f t="shared" si="39"/>
        <v>2025</v>
      </c>
      <c r="K81" s="78" t="str">
        <f t="shared" si="19"/>
        <v/>
      </c>
    </row>
    <row r="82" spans="2:11" hidden="1" outlineLevel="1">
      <c r="B82" s="78">
        <f t="shared" si="36"/>
        <v>45931</v>
      </c>
      <c r="C82" s="75">
        <f>IF(F82&lt;&gt;0,-INDEX([10]Delta!$F$1:$EE$997,$L$13,$I82),0)</f>
        <v>0</v>
      </c>
      <c r="D82" s="71">
        <f>IF(F82&lt;&gt;0,VLOOKUP($J82,'Table 1'!$B$13:$C$33,2,FALSE)/12*1000*Study_MW,0)</f>
        <v>0</v>
      </c>
      <c r="E82" s="71">
        <f t="shared" si="37"/>
        <v>0</v>
      </c>
      <c r="F82" s="75">
        <f>INDEX([10]Delta!$F$1:$EE$997,$L$14,$I82)</f>
        <v>0</v>
      </c>
      <c r="G82" s="76" t="e">
        <f t="shared" si="38"/>
        <v>#DIV/0!</v>
      </c>
      <c r="I82" s="77">
        <f t="shared" si="18"/>
        <v>75</v>
      </c>
      <c r="J82" s="73">
        <f t="shared" si="39"/>
        <v>2025</v>
      </c>
      <c r="K82" s="78" t="str">
        <f t="shared" si="19"/>
        <v/>
      </c>
    </row>
    <row r="83" spans="2:11" hidden="1" outlineLevel="1">
      <c r="B83" s="78">
        <f t="shared" si="36"/>
        <v>45962</v>
      </c>
      <c r="C83" s="75">
        <f>IF(F83&lt;&gt;0,-INDEX([10]Delta!$F$1:$EE$997,$L$13,$I83),0)</f>
        <v>0</v>
      </c>
      <c r="D83" s="71">
        <f>IF(F83&lt;&gt;0,VLOOKUP($J83,'Table 1'!$B$13:$C$33,2,FALSE)/12*1000*Study_MW,0)</f>
        <v>0</v>
      </c>
      <c r="E83" s="71">
        <f t="shared" si="37"/>
        <v>0</v>
      </c>
      <c r="F83" s="75">
        <f>INDEX([10]Delta!$F$1:$EE$997,$L$14,$I83)</f>
        <v>0</v>
      </c>
      <c r="G83" s="76" t="e">
        <f t="shared" si="38"/>
        <v>#DIV/0!</v>
      </c>
      <c r="I83" s="77">
        <f t="shared" si="18"/>
        <v>76</v>
      </c>
      <c r="J83" s="73">
        <f t="shared" si="39"/>
        <v>2025</v>
      </c>
      <c r="K83" s="78" t="str">
        <f t="shared" si="19"/>
        <v/>
      </c>
    </row>
    <row r="84" spans="2:11" hidden="1" outlineLevel="1">
      <c r="B84" s="82">
        <f t="shared" si="36"/>
        <v>45992</v>
      </c>
      <c r="C84" s="79">
        <f>IF(F84&lt;&gt;0,-INDEX([10]Delta!$F$1:$EE$997,$L$13,$I84),0)</f>
        <v>0</v>
      </c>
      <c r="D84" s="80">
        <f>IF(F84&lt;&gt;0,VLOOKUP($J84,'Table 1'!$B$13:$C$33,2,FALSE)/12*1000*Study_MW,0)</f>
        <v>0</v>
      </c>
      <c r="E84" s="80">
        <f t="shared" si="37"/>
        <v>0</v>
      </c>
      <c r="F84" s="79">
        <f>INDEX([10]Delta!$F$1:$EE$997,$L$14,$I84)</f>
        <v>0</v>
      </c>
      <c r="G84" s="81" t="e">
        <f t="shared" si="38"/>
        <v>#DIV/0!</v>
      </c>
      <c r="I84" s="64">
        <f t="shared" si="18"/>
        <v>77</v>
      </c>
      <c r="J84" s="73">
        <f t="shared" si="39"/>
        <v>2025</v>
      </c>
      <c r="K84" s="82" t="str">
        <f t="shared" si="19"/>
        <v/>
      </c>
    </row>
    <row r="85" spans="2:11" hidden="1" outlineLevel="1">
      <c r="B85" s="74">
        <f t="shared" si="36"/>
        <v>46023</v>
      </c>
      <c r="C85" s="69">
        <f>IF(F85&lt;&gt;0,-INDEX([10]Delta!$F$1:$EE$997,$L$13,$I85),0)</f>
        <v>0</v>
      </c>
      <c r="D85" s="70">
        <f>IF(F85&lt;&gt;0,VLOOKUP($J85,'Table 1'!$B$13:$C$33,2,FALSE)/12*1000*Study_MW,0)</f>
        <v>0</v>
      </c>
      <c r="E85" s="70">
        <f t="shared" si="37"/>
        <v>0</v>
      </c>
      <c r="F85" s="69">
        <f>INDEX([10]Delta!$F$1:$EE$997,$L$14,$I85)</f>
        <v>0</v>
      </c>
      <c r="G85" s="72" t="e">
        <f t="shared" si="38"/>
        <v>#DIV/0!</v>
      </c>
      <c r="I85" s="60">
        <f>I73+13</f>
        <v>79</v>
      </c>
      <c r="J85" s="73">
        <f t="shared" si="39"/>
        <v>2026</v>
      </c>
      <c r="K85" s="74" t="str">
        <f t="shared" si="19"/>
        <v/>
      </c>
    </row>
    <row r="86" spans="2:11" hidden="1" outlineLevel="1">
      <c r="B86" s="78">
        <f t="shared" si="36"/>
        <v>46054</v>
      </c>
      <c r="C86" s="75">
        <f>IF(F86&lt;&gt;0,-INDEX([10]Delta!$F$1:$EE$997,$L$13,$I86),0)</f>
        <v>0</v>
      </c>
      <c r="D86" s="71">
        <f>IF(F86&lt;&gt;0,VLOOKUP($J86,'Table 1'!$B$13:$C$33,2,FALSE)/12*1000*Study_MW,0)</f>
        <v>0</v>
      </c>
      <c r="E86" s="71">
        <f t="shared" si="37"/>
        <v>0</v>
      </c>
      <c r="F86" s="75">
        <f>INDEX([10]Delta!$F$1:$EE$997,$L$14,$I86)</f>
        <v>0</v>
      </c>
      <c r="G86" s="76" t="e">
        <f t="shared" si="38"/>
        <v>#DIV/0!</v>
      </c>
      <c r="I86" s="77">
        <f t="shared" si="18"/>
        <v>80</v>
      </c>
      <c r="J86" s="73">
        <f t="shared" si="39"/>
        <v>2026</v>
      </c>
      <c r="K86" s="78" t="str">
        <f t="shared" si="19"/>
        <v/>
      </c>
    </row>
    <row r="87" spans="2:11" hidden="1" outlineLevel="1">
      <c r="B87" s="78">
        <f t="shared" si="36"/>
        <v>46082</v>
      </c>
      <c r="C87" s="75">
        <f>IF(F87&lt;&gt;0,-INDEX([10]Delta!$F$1:$EE$997,$L$13,$I87),0)</f>
        <v>0</v>
      </c>
      <c r="D87" s="71">
        <f>IF(F87&lt;&gt;0,VLOOKUP($J87,'Table 1'!$B$13:$C$33,2,FALSE)/12*1000*Study_MW,0)</f>
        <v>0</v>
      </c>
      <c r="E87" s="71">
        <f t="shared" si="37"/>
        <v>0</v>
      </c>
      <c r="F87" s="75">
        <f>INDEX([10]Delta!$F$1:$EE$997,$L$14,$I87)</f>
        <v>0</v>
      </c>
      <c r="G87" s="76" t="e">
        <f t="shared" si="38"/>
        <v>#DIV/0!</v>
      </c>
      <c r="I87" s="77">
        <f t="shared" si="18"/>
        <v>81</v>
      </c>
      <c r="J87" s="73">
        <f t="shared" si="39"/>
        <v>2026</v>
      </c>
      <c r="K87" s="78" t="str">
        <f t="shared" si="19"/>
        <v/>
      </c>
    </row>
    <row r="88" spans="2:11" hidden="1" outlineLevel="1">
      <c r="B88" s="78">
        <f t="shared" si="36"/>
        <v>46113</v>
      </c>
      <c r="C88" s="75">
        <f>IF(F88&lt;&gt;0,-INDEX([10]Delta!$F$1:$EE$997,$L$13,$I88),0)</f>
        <v>0</v>
      </c>
      <c r="D88" s="71">
        <f>IF(F88&lt;&gt;0,VLOOKUP($J88,'Table 1'!$B$13:$C$33,2,FALSE)/12*1000*Study_MW,0)</f>
        <v>0</v>
      </c>
      <c r="E88" s="71">
        <f t="shared" si="37"/>
        <v>0</v>
      </c>
      <c r="F88" s="75">
        <f>INDEX([10]Delta!$F$1:$EE$997,$L$14,$I88)</f>
        <v>0</v>
      </c>
      <c r="G88" s="76" t="e">
        <f t="shared" si="38"/>
        <v>#DIV/0!</v>
      </c>
      <c r="I88" s="77">
        <f t="shared" si="18"/>
        <v>82</v>
      </c>
      <c r="J88" s="73">
        <f t="shared" si="39"/>
        <v>2026</v>
      </c>
      <c r="K88" s="78" t="str">
        <f t="shared" si="19"/>
        <v/>
      </c>
    </row>
    <row r="89" spans="2:11" hidden="1" outlineLevel="1">
      <c r="B89" s="78">
        <f t="shared" si="36"/>
        <v>46143</v>
      </c>
      <c r="C89" s="75">
        <f>IF(F89&lt;&gt;0,-INDEX([10]Delta!$F$1:$EE$997,$L$13,$I89),0)</f>
        <v>0</v>
      </c>
      <c r="D89" s="71">
        <f>IF(F89&lt;&gt;0,VLOOKUP($J89,'Table 1'!$B$13:$C$33,2,FALSE)/12*1000*Study_MW,0)</f>
        <v>0</v>
      </c>
      <c r="E89" s="71">
        <f t="shared" si="37"/>
        <v>0</v>
      </c>
      <c r="F89" s="75">
        <f>INDEX([10]Delta!$F$1:$EE$997,$L$14,$I89)</f>
        <v>0</v>
      </c>
      <c r="G89" s="76" t="e">
        <f t="shared" si="38"/>
        <v>#DIV/0!</v>
      </c>
      <c r="I89" s="77">
        <f t="shared" si="18"/>
        <v>83</v>
      </c>
      <c r="J89" s="73">
        <f t="shared" si="39"/>
        <v>2026</v>
      </c>
      <c r="K89" s="78" t="str">
        <f t="shared" si="19"/>
        <v/>
      </c>
    </row>
    <row r="90" spans="2:11" hidden="1" outlineLevel="1">
      <c r="B90" s="78">
        <f t="shared" si="36"/>
        <v>46174</v>
      </c>
      <c r="C90" s="75">
        <f>IF(F90&lt;&gt;0,-INDEX([10]Delta!$F$1:$EE$997,$L$13,$I90),0)</f>
        <v>0</v>
      </c>
      <c r="D90" s="71">
        <f>IF(F90&lt;&gt;0,VLOOKUP($J90,'Table 1'!$B$13:$C$33,2,FALSE)/12*1000*Study_MW,0)</f>
        <v>0</v>
      </c>
      <c r="E90" s="71">
        <f t="shared" si="37"/>
        <v>0</v>
      </c>
      <c r="F90" s="75">
        <f>INDEX([10]Delta!$F$1:$EE$997,$L$14,$I90)</f>
        <v>0</v>
      </c>
      <c r="G90" s="76" t="e">
        <f t="shared" si="38"/>
        <v>#DIV/0!</v>
      </c>
      <c r="I90" s="77">
        <f t="shared" ref="I90:I96" si="40">I78+13</f>
        <v>84</v>
      </c>
      <c r="J90" s="73">
        <f t="shared" si="39"/>
        <v>2026</v>
      </c>
      <c r="K90" s="78" t="str">
        <f t="shared" ref="K90:K153" si="41">IF(ISNUMBER(F90),IF(F90&lt;&gt;0,B90,""),"")</f>
        <v/>
      </c>
    </row>
    <row r="91" spans="2:11" hidden="1" outlineLevel="1">
      <c r="B91" s="78">
        <f t="shared" si="36"/>
        <v>46204</v>
      </c>
      <c r="C91" s="75">
        <f>IF(F91&lt;&gt;0,-INDEX([10]Delta!$F$1:$EE$997,$L$13,$I91),0)</f>
        <v>0</v>
      </c>
      <c r="D91" s="71">
        <f>IF(F91&lt;&gt;0,VLOOKUP($J91,'Table 1'!$B$13:$C$33,2,FALSE)/12*1000*Study_MW,0)</f>
        <v>0</v>
      </c>
      <c r="E91" s="71">
        <f t="shared" si="37"/>
        <v>0</v>
      </c>
      <c r="F91" s="75">
        <f>INDEX([10]Delta!$F$1:$EE$997,$L$14,$I91)</f>
        <v>0</v>
      </c>
      <c r="G91" s="76" t="e">
        <f t="shared" si="38"/>
        <v>#DIV/0!</v>
      </c>
      <c r="I91" s="77">
        <f t="shared" si="40"/>
        <v>85</v>
      </c>
      <c r="J91" s="73">
        <f t="shared" si="39"/>
        <v>2026</v>
      </c>
      <c r="K91" s="78" t="str">
        <f t="shared" si="41"/>
        <v/>
      </c>
    </row>
    <row r="92" spans="2:11" hidden="1" outlineLevel="1">
      <c r="B92" s="78">
        <f t="shared" si="36"/>
        <v>46235</v>
      </c>
      <c r="C92" s="75">
        <f>IF(F92&lt;&gt;0,-INDEX([10]Delta!$F$1:$EE$997,$L$13,$I92),0)</f>
        <v>0</v>
      </c>
      <c r="D92" s="71">
        <f>IF(F92&lt;&gt;0,VLOOKUP($J92,'Table 1'!$B$13:$C$33,2,FALSE)/12*1000*Study_MW,0)</f>
        <v>0</v>
      </c>
      <c r="E92" s="71">
        <f t="shared" si="37"/>
        <v>0</v>
      </c>
      <c r="F92" s="75">
        <f>INDEX([10]Delta!$F$1:$EE$997,$L$14,$I92)</f>
        <v>0</v>
      </c>
      <c r="G92" s="76" t="e">
        <f t="shared" si="38"/>
        <v>#DIV/0!</v>
      </c>
      <c r="I92" s="77">
        <f t="shared" si="40"/>
        <v>86</v>
      </c>
      <c r="J92" s="73">
        <f t="shared" si="39"/>
        <v>2026</v>
      </c>
      <c r="K92" s="78" t="str">
        <f t="shared" si="41"/>
        <v/>
      </c>
    </row>
    <row r="93" spans="2:11" hidden="1" outlineLevel="1">
      <c r="B93" s="78">
        <f t="shared" si="36"/>
        <v>46266</v>
      </c>
      <c r="C93" s="75">
        <f>IF(F93&lt;&gt;0,-INDEX([10]Delta!$F$1:$EE$997,$L$13,$I93),0)</f>
        <v>0</v>
      </c>
      <c r="D93" s="71">
        <f>IF(F93&lt;&gt;0,VLOOKUP($J93,'Table 1'!$B$13:$C$33,2,FALSE)/12*1000*Study_MW,0)</f>
        <v>0</v>
      </c>
      <c r="E93" s="71">
        <f t="shared" si="37"/>
        <v>0</v>
      </c>
      <c r="F93" s="75">
        <f>INDEX([10]Delta!$F$1:$EE$997,$L$14,$I93)</f>
        <v>0</v>
      </c>
      <c r="G93" s="76" t="e">
        <f t="shared" si="38"/>
        <v>#DIV/0!</v>
      </c>
      <c r="I93" s="77">
        <f t="shared" si="40"/>
        <v>87</v>
      </c>
      <c r="J93" s="73">
        <f t="shared" si="39"/>
        <v>2026</v>
      </c>
      <c r="K93" s="78" t="str">
        <f t="shared" si="41"/>
        <v/>
      </c>
    </row>
    <row r="94" spans="2:11" hidden="1" outlineLevel="1">
      <c r="B94" s="78">
        <f t="shared" si="36"/>
        <v>46296</v>
      </c>
      <c r="C94" s="75">
        <f>IF(F94&lt;&gt;0,-INDEX([10]Delta!$F$1:$EE$997,$L$13,$I94),0)</f>
        <v>0</v>
      </c>
      <c r="D94" s="71">
        <f>IF(F94&lt;&gt;0,VLOOKUP($J94,'Table 1'!$B$13:$C$33,2,FALSE)/12*1000*Study_MW,0)</f>
        <v>0</v>
      </c>
      <c r="E94" s="71">
        <f t="shared" si="37"/>
        <v>0</v>
      </c>
      <c r="F94" s="75">
        <f>INDEX([10]Delta!$F$1:$EE$997,$L$14,$I94)</f>
        <v>0</v>
      </c>
      <c r="G94" s="76" t="e">
        <f t="shared" si="38"/>
        <v>#DIV/0!</v>
      </c>
      <c r="I94" s="77">
        <f t="shared" si="40"/>
        <v>88</v>
      </c>
      <c r="J94" s="73">
        <f t="shared" si="39"/>
        <v>2026</v>
      </c>
      <c r="K94" s="78" t="str">
        <f t="shared" si="41"/>
        <v/>
      </c>
    </row>
    <row r="95" spans="2:11" hidden="1" outlineLevel="1">
      <c r="B95" s="78">
        <f t="shared" si="36"/>
        <v>46327</v>
      </c>
      <c r="C95" s="75">
        <f>IF(F95&lt;&gt;0,-INDEX([10]Delta!$F$1:$EE$997,$L$13,$I95),0)</f>
        <v>0</v>
      </c>
      <c r="D95" s="71">
        <f>IF(F95&lt;&gt;0,VLOOKUP($J95,'Table 1'!$B$13:$C$33,2,FALSE)/12*1000*Study_MW,0)</f>
        <v>0</v>
      </c>
      <c r="E95" s="71">
        <f t="shared" si="37"/>
        <v>0</v>
      </c>
      <c r="F95" s="75">
        <f>INDEX([10]Delta!$F$1:$EE$997,$L$14,$I95)</f>
        <v>0</v>
      </c>
      <c r="G95" s="76" t="e">
        <f t="shared" si="38"/>
        <v>#DIV/0!</v>
      </c>
      <c r="I95" s="77">
        <f t="shared" si="40"/>
        <v>89</v>
      </c>
      <c r="J95" s="73">
        <f t="shared" si="39"/>
        <v>2026</v>
      </c>
      <c r="K95" s="78" t="str">
        <f t="shared" si="41"/>
        <v/>
      </c>
    </row>
    <row r="96" spans="2:11" hidden="1" outlineLevel="1">
      <c r="B96" s="82">
        <f t="shared" si="36"/>
        <v>46357</v>
      </c>
      <c r="C96" s="79">
        <f>IF(F96&lt;&gt;0,-INDEX([10]Delta!$F$1:$EE$997,$L$13,$I96),0)</f>
        <v>0</v>
      </c>
      <c r="D96" s="80">
        <f>IF(F96&lt;&gt;0,VLOOKUP($J96,'Table 1'!$B$13:$C$33,2,FALSE)/12*1000*Study_MW,0)</f>
        <v>0</v>
      </c>
      <c r="E96" s="80">
        <f t="shared" si="37"/>
        <v>0</v>
      </c>
      <c r="F96" s="79">
        <f>INDEX([10]Delta!$F$1:$EE$997,$L$14,$I96)</f>
        <v>0</v>
      </c>
      <c r="G96" s="81" t="e">
        <f t="shared" si="38"/>
        <v>#DIV/0!</v>
      </c>
      <c r="I96" s="64">
        <f t="shared" si="40"/>
        <v>90</v>
      </c>
      <c r="J96" s="73">
        <f t="shared" si="39"/>
        <v>2026</v>
      </c>
      <c r="K96" s="82" t="str">
        <f t="shared" si="41"/>
        <v/>
      </c>
    </row>
    <row r="97" spans="2:11" hidden="1" outlineLevel="1">
      <c r="B97" s="74">
        <f t="shared" si="36"/>
        <v>46388</v>
      </c>
      <c r="C97" s="69">
        <f>IF(F97&lt;&gt;0,-INDEX([10]Delta!$F$1:$EE$997,$L$13,$I97),0)</f>
        <v>0</v>
      </c>
      <c r="D97" s="70">
        <f>IF(F97&lt;&gt;0,VLOOKUP($J97,'Table 1'!$B$13:$C$33,2,FALSE)/12*1000*Study_MW,0)</f>
        <v>0</v>
      </c>
      <c r="E97" s="70">
        <f t="shared" si="37"/>
        <v>0</v>
      </c>
      <c r="F97" s="69">
        <f>INDEX([10]Delta!$F$1:$EE$997,$L$14,$I97)</f>
        <v>0</v>
      </c>
      <c r="G97" s="72" t="e">
        <f t="shared" si="38"/>
        <v>#DIV/0!</v>
      </c>
      <c r="I97" s="60">
        <f>I85+13</f>
        <v>92</v>
      </c>
      <c r="J97" s="73">
        <f t="shared" si="39"/>
        <v>2027</v>
      </c>
      <c r="K97" s="74" t="str">
        <f t="shared" si="41"/>
        <v/>
      </c>
    </row>
    <row r="98" spans="2:11" hidden="1" outlineLevel="1">
      <c r="B98" s="78">
        <f t="shared" si="36"/>
        <v>46419</v>
      </c>
      <c r="C98" s="75">
        <f>IF(F98&lt;&gt;0,-INDEX([10]Delta!$F$1:$EE$997,$L$13,$I98),0)</f>
        <v>0</v>
      </c>
      <c r="D98" s="71">
        <f>IF(F98&lt;&gt;0,VLOOKUP($J98,'Table 1'!$B$13:$C$33,2,FALSE)/12*1000*Study_MW,0)</f>
        <v>0</v>
      </c>
      <c r="E98" s="71">
        <f t="shared" si="37"/>
        <v>0</v>
      </c>
      <c r="F98" s="75">
        <f>INDEX([10]Delta!$F$1:$EE$997,$L$14,$I98)</f>
        <v>0</v>
      </c>
      <c r="G98" s="76" t="e">
        <f t="shared" si="38"/>
        <v>#DIV/0!</v>
      </c>
      <c r="I98" s="77">
        <f t="shared" ref="I98:I120" si="42">I86+13</f>
        <v>93</v>
      </c>
      <c r="J98" s="73">
        <f t="shared" si="39"/>
        <v>2027</v>
      </c>
      <c r="K98" s="78" t="str">
        <f t="shared" si="41"/>
        <v/>
      </c>
    </row>
    <row r="99" spans="2:11" hidden="1" outlineLevel="1">
      <c r="B99" s="78">
        <f t="shared" si="36"/>
        <v>46447</v>
      </c>
      <c r="C99" s="75">
        <f>IF(F99&lt;&gt;0,-INDEX([10]Delta!$F$1:$EE$997,$L$13,$I99),0)</f>
        <v>0</v>
      </c>
      <c r="D99" s="71">
        <f>IF(F99&lt;&gt;0,VLOOKUP($J99,'Table 1'!$B$13:$C$33,2,FALSE)/12*1000*Study_MW,0)</f>
        <v>0</v>
      </c>
      <c r="E99" s="71">
        <f t="shared" si="37"/>
        <v>0</v>
      </c>
      <c r="F99" s="75">
        <f>INDEX([10]Delta!$F$1:$EE$997,$L$14,$I99)</f>
        <v>0</v>
      </c>
      <c r="G99" s="76" t="e">
        <f t="shared" si="38"/>
        <v>#DIV/0!</v>
      </c>
      <c r="I99" s="77">
        <f t="shared" si="42"/>
        <v>94</v>
      </c>
      <c r="J99" s="73">
        <f t="shared" si="39"/>
        <v>2027</v>
      </c>
      <c r="K99" s="78" t="str">
        <f t="shared" si="41"/>
        <v/>
      </c>
    </row>
    <row r="100" spans="2:11" hidden="1" outlineLevel="1">
      <c r="B100" s="78">
        <f t="shared" si="36"/>
        <v>46478</v>
      </c>
      <c r="C100" s="75">
        <f>IF(F100&lt;&gt;0,-INDEX([10]Delta!$F$1:$EE$997,$L$13,$I100),0)</f>
        <v>0</v>
      </c>
      <c r="D100" s="71">
        <f>IF(F100&lt;&gt;0,VLOOKUP($J100,'Table 1'!$B$13:$C$33,2,FALSE)/12*1000*Study_MW,0)</f>
        <v>0</v>
      </c>
      <c r="E100" s="71">
        <f t="shared" si="37"/>
        <v>0</v>
      </c>
      <c r="F100" s="75">
        <f>INDEX([10]Delta!$F$1:$EE$997,$L$14,$I100)</f>
        <v>0</v>
      </c>
      <c r="G100" s="76" t="e">
        <f t="shared" si="38"/>
        <v>#DIV/0!</v>
      </c>
      <c r="I100" s="77">
        <f t="shared" si="42"/>
        <v>95</v>
      </c>
      <c r="J100" s="73">
        <f t="shared" si="39"/>
        <v>2027</v>
      </c>
      <c r="K100" s="78" t="str">
        <f t="shared" si="41"/>
        <v/>
      </c>
    </row>
    <row r="101" spans="2:11" hidden="1" outlineLevel="1">
      <c r="B101" s="78">
        <f t="shared" si="36"/>
        <v>46508</v>
      </c>
      <c r="C101" s="75">
        <f>IF(F101&lt;&gt;0,-INDEX([10]Delta!$F$1:$EE$997,$L$13,$I101),0)</f>
        <v>0</v>
      </c>
      <c r="D101" s="71">
        <f>IF(F101&lt;&gt;0,VLOOKUP($J101,'Table 1'!$B$13:$C$33,2,FALSE)/12*1000*Study_MW,0)</f>
        <v>0</v>
      </c>
      <c r="E101" s="71">
        <f t="shared" si="37"/>
        <v>0</v>
      </c>
      <c r="F101" s="75">
        <f>INDEX([10]Delta!$F$1:$EE$997,$L$14,$I101)</f>
        <v>0</v>
      </c>
      <c r="G101" s="76" t="e">
        <f t="shared" si="38"/>
        <v>#DIV/0!</v>
      </c>
      <c r="I101" s="77">
        <f t="shared" si="42"/>
        <v>96</v>
      </c>
      <c r="J101" s="73">
        <f t="shared" si="39"/>
        <v>2027</v>
      </c>
      <c r="K101" s="78" t="str">
        <f t="shared" si="41"/>
        <v/>
      </c>
    </row>
    <row r="102" spans="2:11" hidden="1" outlineLevel="1">
      <c r="B102" s="78">
        <f t="shared" si="36"/>
        <v>46539</v>
      </c>
      <c r="C102" s="75">
        <f>IF(F102&lt;&gt;0,-INDEX([10]Delta!$F$1:$EE$997,$L$13,$I102),0)</f>
        <v>0</v>
      </c>
      <c r="D102" s="71">
        <f>IF(F102&lt;&gt;0,VLOOKUP($J102,'Table 1'!$B$13:$C$33,2,FALSE)/12*1000*Study_MW,0)</f>
        <v>0</v>
      </c>
      <c r="E102" s="71">
        <f t="shared" si="37"/>
        <v>0</v>
      </c>
      <c r="F102" s="75">
        <f>INDEX([10]Delta!$F$1:$EE$997,$L$14,$I102)</f>
        <v>0</v>
      </c>
      <c r="G102" s="76" t="e">
        <f t="shared" si="38"/>
        <v>#DIV/0!</v>
      </c>
      <c r="I102" s="77">
        <f t="shared" si="42"/>
        <v>97</v>
      </c>
      <c r="J102" s="73">
        <f t="shared" si="39"/>
        <v>2027</v>
      </c>
      <c r="K102" s="78" t="str">
        <f t="shared" si="41"/>
        <v/>
      </c>
    </row>
    <row r="103" spans="2:11" hidden="1" outlineLevel="1">
      <c r="B103" s="78">
        <f t="shared" si="36"/>
        <v>46569</v>
      </c>
      <c r="C103" s="75">
        <f>IF(F103&lt;&gt;0,-INDEX([10]Delta!$F$1:$EE$997,$L$13,$I103),0)</f>
        <v>0</v>
      </c>
      <c r="D103" s="71">
        <f>IF(F103&lt;&gt;0,VLOOKUP($J103,'Table 1'!$B$13:$C$33,2,FALSE)/12*1000*Study_MW,0)</f>
        <v>0</v>
      </c>
      <c r="E103" s="71">
        <f t="shared" si="37"/>
        <v>0</v>
      </c>
      <c r="F103" s="75">
        <f>INDEX([10]Delta!$F$1:$EE$997,$L$14,$I103)</f>
        <v>0</v>
      </c>
      <c r="G103" s="76" t="e">
        <f t="shared" si="38"/>
        <v>#DIV/0!</v>
      </c>
      <c r="I103" s="77">
        <f t="shared" si="42"/>
        <v>98</v>
      </c>
      <c r="J103" s="73">
        <f t="shared" si="39"/>
        <v>2027</v>
      </c>
      <c r="K103" s="78" t="str">
        <f t="shared" si="41"/>
        <v/>
      </c>
    </row>
    <row r="104" spans="2:11" hidden="1" outlineLevel="1">
      <c r="B104" s="78">
        <f t="shared" si="36"/>
        <v>46600</v>
      </c>
      <c r="C104" s="75">
        <f>IF(F104&lt;&gt;0,-INDEX([10]Delta!$F$1:$EE$997,$L$13,$I104),0)</f>
        <v>0</v>
      </c>
      <c r="D104" s="71">
        <f>IF(F104&lt;&gt;0,VLOOKUP($J104,'Table 1'!$B$13:$C$33,2,FALSE)/12*1000*Study_MW,0)</f>
        <v>0</v>
      </c>
      <c r="E104" s="71">
        <f t="shared" si="37"/>
        <v>0</v>
      </c>
      <c r="F104" s="75">
        <f>INDEX([10]Delta!$F$1:$EE$997,$L$14,$I104)</f>
        <v>0</v>
      </c>
      <c r="G104" s="76" t="e">
        <f t="shared" si="38"/>
        <v>#DIV/0!</v>
      </c>
      <c r="I104" s="77">
        <f t="shared" si="42"/>
        <v>99</v>
      </c>
      <c r="J104" s="73">
        <f t="shared" si="39"/>
        <v>2027</v>
      </c>
      <c r="K104" s="78" t="str">
        <f t="shared" si="41"/>
        <v/>
      </c>
    </row>
    <row r="105" spans="2:11" hidden="1" outlineLevel="1">
      <c r="B105" s="78">
        <f t="shared" si="36"/>
        <v>46631</v>
      </c>
      <c r="C105" s="75">
        <f>IF(F105&lt;&gt;0,-INDEX([10]Delta!$F$1:$EE$997,$L$13,$I105),0)</f>
        <v>0</v>
      </c>
      <c r="D105" s="71">
        <f>IF(F105&lt;&gt;0,VLOOKUP($J105,'Table 1'!$B$13:$C$33,2,FALSE)/12*1000*Study_MW,0)</f>
        <v>0</v>
      </c>
      <c r="E105" s="71">
        <f t="shared" si="37"/>
        <v>0</v>
      </c>
      <c r="F105" s="75">
        <f>INDEX([10]Delta!$F$1:$EE$997,$L$14,$I105)</f>
        <v>0</v>
      </c>
      <c r="G105" s="76" t="e">
        <f t="shared" si="38"/>
        <v>#DIV/0!</v>
      </c>
      <c r="I105" s="77">
        <f t="shared" si="42"/>
        <v>100</v>
      </c>
      <c r="J105" s="73">
        <f t="shared" si="39"/>
        <v>2027</v>
      </c>
      <c r="K105" s="78" t="str">
        <f t="shared" si="41"/>
        <v/>
      </c>
    </row>
    <row r="106" spans="2:11" hidden="1" outlineLevel="1">
      <c r="B106" s="78">
        <f t="shared" si="36"/>
        <v>46661</v>
      </c>
      <c r="C106" s="75">
        <f>IF(F106&lt;&gt;0,-INDEX([10]Delta!$F$1:$EE$997,$L$13,$I106),0)</f>
        <v>0</v>
      </c>
      <c r="D106" s="71">
        <f>IF(F106&lt;&gt;0,VLOOKUP($J106,'Table 1'!$B$13:$C$33,2,FALSE)/12*1000*Study_MW,0)</f>
        <v>0</v>
      </c>
      <c r="E106" s="71">
        <f t="shared" si="37"/>
        <v>0</v>
      </c>
      <c r="F106" s="75">
        <f>INDEX([10]Delta!$F$1:$EE$997,$L$14,$I106)</f>
        <v>0</v>
      </c>
      <c r="G106" s="76" t="e">
        <f t="shared" si="38"/>
        <v>#DIV/0!</v>
      </c>
      <c r="I106" s="77">
        <f t="shared" si="42"/>
        <v>101</v>
      </c>
      <c r="J106" s="73">
        <f t="shared" si="39"/>
        <v>2027</v>
      </c>
      <c r="K106" s="78" t="str">
        <f t="shared" si="41"/>
        <v/>
      </c>
    </row>
    <row r="107" spans="2:11" hidden="1" outlineLevel="1">
      <c r="B107" s="78">
        <f t="shared" si="36"/>
        <v>46692</v>
      </c>
      <c r="C107" s="75">
        <f>IF(F107&lt;&gt;0,-INDEX([10]Delta!$F$1:$EE$997,$L$13,$I107),0)</f>
        <v>0</v>
      </c>
      <c r="D107" s="71">
        <f>IF(F107&lt;&gt;0,VLOOKUP($J107,'Table 1'!$B$13:$C$33,2,FALSE)/12*1000*Study_MW,0)</f>
        <v>0</v>
      </c>
      <c r="E107" s="71">
        <f t="shared" si="37"/>
        <v>0</v>
      </c>
      <c r="F107" s="75">
        <f>INDEX([10]Delta!$F$1:$EE$997,$L$14,$I107)</f>
        <v>0</v>
      </c>
      <c r="G107" s="76" t="e">
        <f t="shared" si="38"/>
        <v>#DIV/0!</v>
      </c>
      <c r="I107" s="77">
        <f t="shared" si="42"/>
        <v>102</v>
      </c>
      <c r="J107" s="73">
        <f t="shared" si="39"/>
        <v>2027</v>
      </c>
      <c r="K107" s="78" t="str">
        <f t="shared" si="41"/>
        <v/>
      </c>
    </row>
    <row r="108" spans="2:11" hidden="1" outlineLevel="1">
      <c r="B108" s="82">
        <f t="shared" si="36"/>
        <v>46722</v>
      </c>
      <c r="C108" s="79">
        <f>IF(F108&lt;&gt;0,-INDEX([10]Delta!$F$1:$EE$997,$L$13,$I108),0)</f>
        <v>0</v>
      </c>
      <c r="D108" s="80">
        <f>IF(F108&lt;&gt;0,VLOOKUP($J108,'Table 1'!$B$13:$C$33,2,FALSE)/12*1000*Study_MW,0)</f>
        <v>0</v>
      </c>
      <c r="E108" s="80">
        <f t="shared" si="37"/>
        <v>0</v>
      </c>
      <c r="F108" s="79">
        <f>INDEX([10]Delta!$F$1:$EE$997,$L$14,$I108)</f>
        <v>0</v>
      </c>
      <c r="G108" s="81" t="e">
        <f t="shared" si="38"/>
        <v>#DIV/0!</v>
      </c>
      <c r="I108" s="64">
        <f t="shared" si="42"/>
        <v>103</v>
      </c>
      <c r="J108" s="73">
        <f t="shared" si="39"/>
        <v>2027</v>
      </c>
      <c r="K108" s="82" t="str">
        <f t="shared" si="41"/>
        <v/>
      </c>
    </row>
    <row r="109" spans="2:11" hidden="1" outlineLevel="1">
      <c r="B109" s="74">
        <f t="shared" si="36"/>
        <v>46753</v>
      </c>
      <c r="C109" s="69">
        <f>IF(F109&lt;&gt;0,-INDEX([10]Delta!$F$1:$EE$997,$L$13,$I109),0)</f>
        <v>0</v>
      </c>
      <c r="D109" s="70">
        <f>IF(F109&lt;&gt;0,VLOOKUP($J109,'Table 1'!$B$13:$C$33,2,FALSE)/12*1000*Study_MW,0)</f>
        <v>0</v>
      </c>
      <c r="E109" s="70">
        <f t="shared" si="37"/>
        <v>0</v>
      </c>
      <c r="F109" s="69">
        <f>INDEX([10]Delta!$F$1:$EE$997,$L$14,$I109)</f>
        <v>0</v>
      </c>
      <c r="G109" s="72" t="e">
        <f t="shared" si="38"/>
        <v>#DIV/0!</v>
      </c>
      <c r="I109" s="60">
        <f>I97+13</f>
        <v>105</v>
      </c>
      <c r="J109" s="73">
        <f t="shared" si="39"/>
        <v>2028</v>
      </c>
      <c r="K109" s="74" t="str">
        <f t="shared" si="41"/>
        <v/>
      </c>
    </row>
    <row r="110" spans="2:11" hidden="1" outlineLevel="1">
      <c r="B110" s="78">
        <f t="shared" si="36"/>
        <v>46784</v>
      </c>
      <c r="C110" s="75">
        <f>IF(F110&lt;&gt;0,-INDEX([10]Delta!$F$1:$EE$997,$L$13,$I110),0)</f>
        <v>0</v>
      </c>
      <c r="D110" s="71">
        <f>IF(F110&lt;&gt;0,VLOOKUP($J110,'Table 1'!$B$13:$C$33,2,FALSE)/12*1000*Study_MW,0)</f>
        <v>0</v>
      </c>
      <c r="E110" s="71">
        <f t="shared" si="37"/>
        <v>0</v>
      </c>
      <c r="F110" s="75">
        <f>INDEX([10]Delta!$F$1:$EE$997,$L$14,$I110)</f>
        <v>0</v>
      </c>
      <c r="G110" s="76" t="e">
        <f t="shared" si="38"/>
        <v>#DIV/0!</v>
      </c>
      <c r="I110" s="77">
        <f t="shared" si="42"/>
        <v>106</v>
      </c>
      <c r="J110" s="73">
        <f t="shared" si="39"/>
        <v>2028</v>
      </c>
      <c r="K110" s="78" t="str">
        <f t="shared" si="41"/>
        <v/>
      </c>
    </row>
    <row r="111" spans="2:11" hidden="1" outlineLevel="1">
      <c r="B111" s="78">
        <f t="shared" si="36"/>
        <v>46813</v>
      </c>
      <c r="C111" s="75">
        <f>IF(F111&lt;&gt;0,-INDEX([10]Delta!$F$1:$EE$997,$L$13,$I111),0)</f>
        <v>0</v>
      </c>
      <c r="D111" s="71">
        <f>IF(F111&lt;&gt;0,VLOOKUP($J111,'Table 1'!$B$13:$C$33,2,FALSE)/12*1000*Study_MW,0)</f>
        <v>0</v>
      </c>
      <c r="E111" s="71">
        <f t="shared" si="37"/>
        <v>0</v>
      </c>
      <c r="F111" s="75">
        <f>INDEX([10]Delta!$F$1:$EE$997,$L$14,$I111)</f>
        <v>0</v>
      </c>
      <c r="G111" s="76" t="e">
        <f t="shared" si="38"/>
        <v>#DIV/0!</v>
      </c>
      <c r="I111" s="77">
        <f t="shared" si="42"/>
        <v>107</v>
      </c>
      <c r="J111" s="73">
        <f t="shared" si="39"/>
        <v>2028</v>
      </c>
      <c r="K111" s="78" t="str">
        <f t="shared" si="41"/>
        <v/>
      </c>
    </row>
    <row r="112" spans="2:11" hidden="1" outlineLevel="1">
      <c r="B112" s="78">
        <f t="shared" si="36"/>
        <v>46844</v>
      </c>
      <c r="C112" s="75">
        <f>IF(F112&lt;&gt;0,-INDEX([10]Delta!$F$1:$EE$997,$L$13,$I112),0)</f>
        <v>0</v>
      </c>
      <c r="D112" s="71">
        <f>IF(F112&lt;&gt;0,VLOOKUP($J112,'Table 1'!$B$13:$C$33,2,FALSE)/12*1000*Study_MW,0)</f>
        <v>0</v>
      </c>
      <c r="E112" s="71">
        <f t="shared" si="37"/>
        <v>0</v>
      </c>
      <c r="F112" s="75">
        <f>INDEX([10]Delta!$F$1:$EE$997,$L$14,$I112)</f>
        <v>0</v>
      </c>
      <c r="G112" s="76" t="e">
        <f t="shared" si="38"/>
        <v>#DIV/0!</v>
      </c>
      <c r="I112" s="77">
        <f t="shared" si="42"/>
        <v>108</v>
      </c>
      <c r="J112" s="73">
        <f t="shared" si="39"/>
        <v>2028</v>
      </c>
      <c r="K112" s="78" t="str">
        <f t="shared" si="41"/>
        <v/>
      </c>
    </row>
    <row r="113" spans="2:11" hidden="1" outlineLevel="1">
      <c r="B113" s="78">
        <f t="shared" si="36"/>
        <v>46874</v>
      </c>
      <c r="C113" s="75">
        <f>IF(F113&lt;&gt;0,-INDEX([10]Delta!$F$1:$EE$997,$L$13,$I113),0)</f>
        <v>0</v>
      </c>
      <c r="D113" s="71">
        <f>IF(F113&lt;&gt;0,VLOOKUP($J113,'Table 1'!$B$13:$C$33,2,FALSE)/12*1000*Study_MW,0)</f>
        <v>0</v>
      </c>
      <c r="E113" s="71">
        <f t="shared" si="37"/>
        <v>0</v>
      </c>
      <c r="F113" s="75">
        <f>INDEX([10]Delta!$F$1:$EE$997,$L$14,$I113)</f>
        <v>0</v>
      </c>
      <c r="G113" s="76" t="e">
        <f t="shared" si="38"/>
        <v>#DIV/0!</v>
      </c>
      <c r="I113" s="77">
        <f t="shared" si="42"/>
        <v>109</v>
      </c>
      <c r="J113" s="73">
        <f t="shared" si="39"/>
        <v>2028</v>
      </c>
      <c r="K113" s="78" t="str">
        <f t="shared" si="41"/>
        <v/>
      </c>
    </row>
    <row r="114" spans="2:11" hidden="1" outlineLevel="1">
      <c r="B114" s="78">
        <f t="shared" si="36"/>
        <v>46905</v>
      </c>
      <c r="C114" s="75">
        <f>IF(F114&lt;&gt;0,-INDEX([10]Delta!$F$1:$EE$997,$L$13,$I114),0)</f>
        <v>0</v>
      </c>
      <c r="D114" s="71">
        <f>IF(F114&lt;&gt;0,VLOOKUP($J114,'Table 1'!$B$13:$C$33,2,FALSE)/12*1000*Study_MW,0)</f>
        <v>0</v>
      </c>
      <c r="E114" s="71">
        <f t="shared" si="37"/>
        <v>0</v>
      </c>
      <c r="F114" s="75">
        <f>INDEX([10]Delta!$F$1:$EE$997,$L$14,$I114)</f>
        <v>0</v>
      </c>
      <c r="G114" s="76" t="e">
        <f t="shared" si="38"/>
        <v>#DIV/0!</v>
      </c>
      <c r="I114" s="77">
        <f t="shared" si="42"/>
        <v>110</v>
      </c>
      <c r="J114" s="73">
        <f t="shared" si="39"/>
        <v>2028</v>
      </c>
      <c r="K114" s="78" t="str">
        <f t="shared" si="41"/>
        <v/>
      </c>
    </row>
    <row r="115" spans="2:11" hidden="1" outlineLevel="1">
      <c r="B115" s="78">
        <f t="shared" si="36"/>
        <v>46935</v>
      </c>
      <c r="C115" s="75">
        <f>IF(F115&lt;&gt;0,-INDEX([10]Delta!$F$1:$EE$997,$L$13,$I115),0)</f>
        <v>0</v>
      </c>
      <c r="D115" s="71">
        <f>IF(F115&lt;&gt;0,VLOOKUP($J115,'Table 1'!$B$13:$C$33,2,FALSE)/12*1000*Study_MW,0)</f>
        <v>0</v>
      </c>
      <c r="E115" s="71">
        <f t="shared" si="37"/>
        <v>0</v>
      </c>
      <c r="F115" s="75">
        <f>INDEX([10]Delta!$F$1:$EE$997,$L$14,$I115)</f>
        <v>0</v>
      </c>
      <c r="G115" s="76" t="e">
        <f t="shared" si="38"/>
        <v>#DIV/0!</v>
      </c>
      <c r="I115" s="77">
        <f t="shared" si="42"/>
        <v>111</v>
      </c>
      <c r="J115" s="73">
        <f t="shared" si="39"/>
        <v>2028</v>
      </c>
      <c r="K115" s="78" t="str">
        <f t="shared" si="41"/>
        <v/>
      </c>
    </row>
    <row r="116" spans="2:11" hidden="1" outlineLevel="1">
      <c r="B116" s="78">
        <f t="shared" si="36"/>
        <v>46966</v>
      </c>
      <c r="C116" s="75">
        <f>IF(F116&lt;&gt;0,-INDEX([10]Delta!$F$1:$EE$997,$L$13,$I116),0)</f>
        <v>0</v>
      </c>
      <c r="D116" s="71">
        <f>IF(F116&lt;&gt;0,VLOOKUP($J116,'Table 1'!$B$13:$C$33,2,FALSE)/12*1000*Study_MW,0)</f>
        <v>0</v>
      </c>
      <c r="E116" s="71">
        <f t="shared" si="37"/>
        <v>0</v>
      </c>
      <c r="F116" s="75">
        <f>INDEX([10]Delta!$F$1:$EE$997,$L$14,$I116)</f>
        <v>0</v>
      </c>
      <c r="G116" s="76" t="e">
        <f t="shared" si="38"/>
        <v>#DIV/0!</v>
      </c>
      <c r="I116" s="77">
        <f t="shared" si="42"/>
        <v>112</v>
      </c>
      <c r="J116" s="73">
        <f t="shared" si="39"/>
        <v>2028</v>
      </c>
      <c r="K116" s="78" t="str">
        <f t="shared" si="41"/>
        <v/>
      </c>
    </row>
    <row r="117" spans="2:11" hidden="1" outlineLevel="1">
      <c r="B117" s="78">
        <f t="shared" si="36"/>
        <v>46997</v>
      </c>
      <c r="C117" s="75">
        <f>IF(F117&lt;&gt;0,-INDEX([10]Delta!$F$1:$EE$997,$L$13,$I117),0)</f>
        <v>0</v>
      </c>
      <c r="D117" s="71">
        <f>IF(F117&lt;&gt;0,VLOOKUP($J117,'Table 1'!$B$13:$C$33,2,FALSE)/12*1000*Study_MW,0)</f>
        <v>0</v>
      </c>
      <c r="E117" s="71">
        <f t="shared" si="37"/>
        <v>0</v>
      </c>
      <c r="F117" s="75">
        <f>INDEX([10]Delta!$F$1:$EE$997,$L$14,$I117)</f>
        <v>0</v>
      </c>
      <c r="G117" s="76" t="e">
        <f t="shared" si="38"/>
        <v>#DIV/0!</v>
      </c>
      <c r="I117" s="77">
        <f t="shared" si="42"/>
        <v>113</v>
      </c>
      <c r="J117" s="73">
        <f t="shared" si="39"/>
        <v>2028</v>
      </c>
      <c r="K117" s="78" t="str">
        <f t="shared" si="41"/>
        <v/>
      </c>
    </row>
    <row r="118" spans="2:11" hidden="1" outlineLevel="1">
      <c r="B118" s="78">
        <f t="shared" si="36"/>
        <v>47027</v>
      </c>
      <c r="C118" s="75">
        <f>IF(F118&lt;&gt;0,-INDEX([10]Delta!$F$1:$EE$997,$L$13,$I118),0)</f>
        <v>0</v>
      </c>
      <c r="D118" s="71">
        <f>IF(F118&lt;&gt;0,VLOOKUP($J118,'Table 1'!$B$13:$C$33,2,FALSE)/12*1000*Study_MW,0)</f>
        <v>0</v>
      </c>
      <c r="E118" s="71">
        <f t="shared" si="37"/>
        <v>0</v>
      </c>
      <c r="F118" s="75">
        <f>INDEX([10]Delta!$F$1:$EE$997,$L$14,$I118)</f>
        <v>0</v>
      </c>
      <c r="G118" s="76" t="e">
        <f t="shared" si="38"/>
        <v>#DIV/0!</v>
      </c>
      <c r="I118" s="77">
        <f t="shared" si="42"/>
        <v>114</v>
      </c>
      <c r="J118" s="73">
        <f t="shared" si="39"/>
        <v>2028</v>
      </c>
      <c r="K118" s="78" t="str">
        <f t="shared" si="41"/>
        <v/>
      </c>
    </row>
    <row r="119" spans="2:11" hidden="1" outlineLevel="1">
      <c r="B119" s="78">
        <f t="shared" si="36"/>
        <v>47058</v>
      </c>
      <c r="C119" s="75">
        <f>IF(F119&lt;&gt;0,-INDEX([10]Delta!$F$1:$EE$997,$L$13,$I119),0)</f>
        <v>0</v>
      </c>
      <c r="D119" s="71">
        <f>IF(F119&lt;&gt;0,VLOOKUP($J119,'Table 1'!$B$13:$C$33,2,FALSE)/12*1000*Study_MW,0)</f>
        <v>0</v>
      </c>
      <c r="E119" s="71">
        <f t="shared" si="37"/>
        <v>0</v>
      </c>
      <c r="F119" s="75">
        <f>INDEX([10]Delta!$F$1:$EE$997,$L$14,$I119)</f>
        <v>0</v>
      </c>
      <c r="G119" s="76" t="e">
        <f t="shared" si="38"/>
        <v>#DIV/0!</v>
      </c>
      <c r="I119" s="77">
        <f t="shared" si="42"/>
        <v>115</v>
      </c>
      <c r="J119" s="73">
        <f t="shared" si="39"/>
        <v>2028</v>
      </c>
      <c r="K119" s="78" t="str">
        <f t="shared" si="41"/>
        <v/>
      </c>
    </row>
    <row r="120" spans="2:11" hidden="1" outlineLevel="1">
      <c r="B120" s="82">
        <f t="shared" si="36"/>
        <v>47088</v>
      </c>
      <c r="C120" s="79">
        <f>IF(F120&lt;&gt;0,-INDEX([10]Delta!$F$1:$EE$997,$L$13,$I120),0)</f>
        <v>0</v>
      </c>
      <c r="D120" s="80">
        <f>IF(F120&lt;&gt;0,VLOOKUP($J120,'Table 1'!$B$13:$C$33,2,FALSE)/12*1000*Study_MW,0)</f>
        <v>0</v>
      </c>
      <c r="E120" s="80">
        <f t="shared" si="37"/>
        <v>0</v>
      </c>
      <c r="F120" s="79">
        <f>INDEX([10]Delta!$F$1:$EE$997,$L$14,$I120)</f>
        <v>0</v>
      </c>
      <c r="G120" s="81" t="e">
        <f t="shared" si="38"/>
        <v>#DIV/0!</v>
      </c>
      <c r="I120" s="64">
        <f t="shared" si="42"/>
        <v>116</v>
      </c>
      <c r="J120" s="73">
        <f t="shared" si="39"/>
        <v>2028</v>
      </c>
      <c r="K120" s="82" t="str">
        <f t="shared" si="41"/>
        <v/>
      </c>
    </row>
    <row r="121" spans="2:11" hidden="1" outlineLevel="1">
      <c r="B121" s="74">
        <f t="shared" si="36"/>
        <v>47119</v>
      </c>
      <c r="C121" s="69">
        <f>IF(F121&lt;&gt;0,-INDEX([10]Delta!$F$1:$EE$997,$L$13,$I121),0)</f>
        <v>0</v>
      </c>
      <c r="D121" s="70">
        <f>IF(F121&lt;&gt;0,VLOOKUP($J121,'Table 1'!$B$13:$C$33,2,FALSE)/12*1000*Study_MW,0)</f>
        <v>0</v>
      </c>
      <c r="E121" s="70">
        <f t="shared" si="37"/>
        <v>0</v>
      </c>
      <c r="F121" s="69">
        <f>INDEX([10]Delta!$F$1:$EE$997,$L$14,$I121)</f>
        <v>0</v>
      </c>
      <c r="G121" s="72" t="e">
        <f t="shared" si="38"/>
        <v>#DIV/0!</v>
      </c>
      <c r="I121" s="60">
        <f>I109+13</f>
        <v>118</v>
      </c>
      <c r="J121" s="73">
        <f t="shared" si="39"/>
        <v>2029</v>
      </c>
      <c r="K121" s="74" t="str">
        <f t="shared" si="41"/>
        <v/>
      </c>
    </row>
    <row r="122" spans="2:11" hidden="1" outlineLevel="1">
      <c r="B122" s="78">
        <f t="shared" si="36"/>
        <v>47150</v>
      </c>
      <c r="C122" s="75">
        <f>IF(F122&lt;&gt;0,-INDEX([10]Delta!$F$1:$EE$997,$L$13,$I122),0)</f>
        <v>0</v>
      </c>
      <c r="D122" s="71">
        <f>IF(F122&lt;&gt;0,VLOOKUP($J122,'Table 1'!$B$13:$C$33,2,FALSE)/12*1000*Study_MW,0)</f>
        <v>0</v>
      </c>
      <c r="E122" s="71">
        <f t="shared" si="37"/>
        <v>0</v>
      </c>
      <c r="F122" s="75">
        <f>INDEX([10]Delta!$F$1:$EE$997,$L$14,$I122)</f>
        <v>0</v>
      </c>
      <c r="G122" s="76" t="e">
        <f t="shared" si="38"/>
        <v>#DIV/0!</v>
      </c>
      <c r="I122" s="77">
        <f t="shared" ref="I122:I132" si="43">I110+13</f>
        <v>119</v>
      </c>
      <c r="J122" s="73">
        <f t="shared" si="39"/>
        <v>2029</v>
      </c>
      <c r="K122" s="78" t="str">
        <f t="shared" si="41"/>
        <v/>
      </c>
    </row>
    <row r="123" spans="2:11" hidden="1" outlineLevel="1">
      <c r="B123" s="78">
        <f t="shared" si="36"/>
        <v>47178</v>
      </c>
      <c r="C123" s="75">
        <f>IF(F123&lt;&gt;0,-INDEX([10]Delta!$F$1:$EE$997,$L$13,$I123),0)</f>
        <v>0</v>
      </c>
      <c r="D123" s="71">
        <f>IF(F123&lt;&gt;0,VLOOKUP($J123,'Table 1'!$B$13:$C$33,2,FALSE)/12*1000*Study_MW,0)</f>
        <v>0</v>
      </c>
      <c r="E123" s="71">
        <f t="shared" si="37"/>
        <v>0</v>
      </c>
      <c r="F123" s="75">
        <f>INDEX([10]Delta!$F$1:$EE$997,$L$14,$I123)</f>
        <v>0</v>
      </c>
      <c r="G123" s="76" t="e">
        <f t="shared" si="38"/>
        <v>#DIV/0!</v>
      </c>
      <c r="I123" s="77">
        <f t="shared" si="43"/>
        <v>120</v>
      </c>
      <c r="J123" s="73">
        <f t="shared" si="39"/>
        <v>2029</v>
      </c>
      <c r="K123" s="78" t="str">
        <f t="shared" si="41"/>
        <v/>
      </c>
    </row>
    <row r="124" spans="2:11" hidden="1" outlineLevel="1">
      <c r="B124" s="78">
        <f t="shared" si="36"/>
        <v>47209</v>
      </c>
      <c r="C124" s="75">
        <f>IF(F124&lt;&gt;0,-INDEX([10]Delta!$F$1:$EE$997,$L$13,$I124),0)</f>
        <v>0</v>
      </c>
      <c r="D124" s="71">
        <f>IF(F124&lt;&gt;0,VLOOKUP($J124,'Table 1'!$B$13:$C$33,2,FALSE)/12*1000*Study_MW,0)</f>
        <v>0</v>
      </c>
      <c r="E124" s="71">
        <f t="shared" si="37"/>
        <v>0</v>
      </c>
      <c r="F124" s="75">
        <f>INDEX([10]Delta!$F$1:$EE$997,$L$14,$I124)</f>
        <v>0</v>
      </c>
      <c r="G124" s="76" t="e">
        <f t="shared" si="38"/>
        <v>#DIV/0!</v>
      </c>
      <c r="I124" s="77">
        <f t="shared" si="43"/>
        <v>121</v>
      </c>
      <c r="J124" s="73">
        <f t="shared" si="39"/>
        <v>2029</v>
      </c>
      <c r="K124" s="78" t="str">
        <f t="shared" si="41"/>
        <v/>
      </c>
    </row>
    <row r="125" spans="2:11" hidden="1" outlineLevel="1">
      <c r="B125" s="78">
        <f t="shared" si="36"/>
        <v>47239</v>
      </c>
      <c r="C125" s="75">
        <f>IF(F125&lt;&gt;0,-INDEX([10]Delta!$F$1:$EE$997,$L$13,$I125),0)</f>
        <v>0</v>
      </c>
      <c r="D125" s="71">
        <f>IF(F125&lt;&gt;0,VLOOKUP($J125,'Table 1'!$B$13:$C$33,2,FALSE)/12*1000*Study_MW,0)</f>
        <v>0</v>
      </c>
      <c r="E125" s="71">
        <f t="shared" si="37"/>
        <v>0</v>
      </c>
      <c r="F125" s="75">
        <f>INDEX([10]Delta!$F$1:$EE$997,$L$14,$I125)</f>
        <v>0</v>
      </c>
      <c r="G125" s="76" t="e">
        <f t="shared" si="38"/>
        <v>#DIV/0!</v>
      </c>
      <c r="I125" s="77">
        <f t="shared" si="43"/>
        <v>122</v>
      </c>
      <c r="J125" s="73">
        <f t="shared" si="39"/>
        <v>2029</v>
      </c>
      <c r="K125" s="78" t="str">
        <f t="shared" si="41"/>
        <v/>
      </c>
    </row>
    <row r="126" spans="2:11" hidden="1" outlineLevel="1">
      <c r="B126" s="78">
        <f t="shared" si="36"/>
        <v>47270</v>
      </c>
      <c r="C126" s="75">
        <f>IF(F126&lt;&gt;0,-INDEX([10]Delta!$F$1:$EE$997,$L$13,$I126),0)</f>
        <v>0</v>
      </c>
      <c r="D126" s="71">
        <f>IF(F126&lt;&gt;0,VLOOKUP($J126,'Table 1'!$B$13:$C$33,2,FALSE)/12*1000*Study_MW,0)</f>
        <v>0</v>
      </c>
      <c r="E126" s="71">
        <f t="shared" si="37"/>
        <v>0</v>
      </c>
      <c r="F126" s="75">
        <f>INDEX([10]Delta!$F$1:$EE$997,$L$14,$I126)</f>
        <v>0</v>
      </c>
      <c r="G126" s="76" t="e">
        <f t="shared" si="38"/>
        <v>#DIV/0!</v>
      </c>
      <c r="I126" s="77">
        <f t="shared" si="43"/>
        <v>123</v>
      </c>
      <c r="J126" s="73">
        <f t="shared" si="39"/>
        <v>2029</v>
      </c>
      <c r="K126" s="78" t="str">
        <f t="shared" si="41"/>
        <v/>
      </c>
    </row>
    <row r="127" spans="2:11" hidden="1" outlineLevel="1">
      <c r="B127" s="78">
        <f t="shared" si="36"/>
        <v>47300</v>
      </c>
      <c r="C127" s="75">
        <f>IF(F127&lt;&gt;0,-INDEX([10]Delta!$F$1:$EE$997,$L$13,$I127),0)</f>
        <v>0</v>
      </c>
      <c r="D127" s="71">
        <f>IF(F127&lt;&gt;0,VLOOKUP($J127,'Table 1'!$B$13:$C$33,2,FALSE)/12*1000*Study_MW,0)</f>
        <v>0</v>
      </c>
      <c r="E127" s="71">
        <f t="shared" si="37"/>
        <v>0</v>
      </c>
      <c r="F127" s="75">
        <f>INDEX([10]Delta!$F$1:$EE$997,$L$14,$I127)</f>
        <v>0</v>
      </c>
      <c r="G127" s="76" t="e">
        <f t="shared" si="38"/>
        <v>#DIV/0!</v>
      </c>
      <c r="I127" s="77">
        <f t="shared" si="43"/>
        <v>124</v>
      </c>
      <c r="J127" s="73">
        <f t="shared" si="39"/>
        <v>2029</v>
      </c>
      <c r="K127" s="78" t="str">
        <f t="shared" si="41"/>
        <v/>
      </c>
    </row>
    <row r="128" spans="2:11" hidden="1" outlineLevel="1">
      <c r="B128" s="78">
        <f t="shared" si="36"/>
        <v>47331</v>
      </c>
      <c r="C128" s="75">
        <f>IF(F128&lt;&gt;0,-INDEX([10]Delta!$F$1:$EE$997,$L$13,$I128),0)</f>
        <v>0</v>
      </c>
      <c r="D128" s="71">
        <f>IF(F128&lt;&gt;0,VLOOKUP($J128,'Table 1'!$B$13:$C$33,2,FALSE)/12*1000*Study_MW,0)</f>
        <v>0</v>
      </c>
      <c r="E128" s="71">
        <f t="shared" si="37"/>
        <v>0</v>
      </c>
      <c r="F128" s="75">
        <f>INDEX([10]Delta!$F$1:$EE$997,$L$14,$I128)</f>
        <v>0</v>
      </c>
      <c r="G128" s="76" t="e">
        <f t="shared" si="38"/>
        <v>#DIV/0!</v>
      </c>
      <c r="I128" s="77">
        <f t="shared" si="43"/>
        <v>125</v>
      </c>
      <c r="J128" s="73">
        <f t="shared" si="39"/>
        <v>2029</v>
      </c>
      <c r="K128" s="78" t="str">
        <f t="shared" si="41"/>
        <v/>
      </c>
    </row>
    <row r="129" spans="2:11" hidden="1" outlineLevel="1">
      <c r="B129" s="78">
        <f t="shared" si="36"/>
        <v>47362</v>
      </c>
      <c r="C129" s="75">
        <f>IF(F129&lt;&gt;0,-INDEX([10]Delta!$F$1:$EE$997,$L$13,$I129),0)</f>
        <v>0</v>
      </c>
      <c r="D129" s="71">
        <f>IF(F129&lt;&gt;0,VLOOKUP($J129,'Table 1'!$B$13:$C$33,2,FALSE)/12*1000*Study_MW,0)</f>
        <v>0</v>
      </c>
      <c r="E129" s="71">
        <f t="shared" si="37"/>
        <v>0</v>
      </c>
      <c r="F129" s="75">
        <f>INDEX([10]Delta!$F$1:$EE$997,$L$14,$I129)</f>
        <v>0</v>
      </c>
      <c r="G129" s="76" t="e">
        <f t="shared" si="38"/>
        <v>#DIV/0!</v>
      </c>
      <c r="I129" s="77">
        <f t="shared" si="43"/>
        <v>126</v>
      </c>
      <c r="J129" s="73">
        <f t="shared" si="39"/>
        <v>2029</v>
      </c>
      <c r="K129" s="78" t="str">
        <f t="shared" si="41"/>
        <v/>
      </c>
    </row>
    <row r="130" spans="2:11" hidden="1" outlineLevel="1">
      <c r="B130" s="78">
        <f t="shared" si="36"/>
        <v>47392</v>
      </c>
      <c r="C130" s="75">
        <f>IF(F130&lt;&gt;0,-INDEX([10]Delta!$F$1:$EE$997,$L$13,$I130),0)</f>
        <v>0</v>
      </c>
      <c r="D130" s="71">
        <f>IF(F130&lt;&gt;0,VLOOKUP($J130,'Table 1'!$B$13:$C$33,2,FALSE)/12*1000*Study_MW,0)</f>
        <v>0</v>
      </c>
      <c r="E130" s="71">
        <f t="shared" si="37"/>
        <v>0</v>
      </c>
      <c r="F130" s="75">
        <f>INDEX([10]Delta!$F$1:$EE$997,$L$14,$I130)</f>
        <v>0</v>
      </c>
      <c r="G130" s="76" t="e">
        <f t="shared" si="38"/>
        <v>#DIV/0!</v>
      </c>
      <c r="I130" s="77">
        <f t="shared" si="43"/>
        <v>127</v>
      </c>
      <c r="J130" s="73">
        <f t="shared" si="39"/>
        <v>2029</v>
      </c>
      <c r="K130" s="78" t="str">
        <f t="shared" si="41"/>
        <v/>
      </c>
    </row>
    <row r="131" spans="2:11" hidden="1" outlineLevel="1">
      <c r="B131" s="78">
        <f t="shared" si="36"/>
        <v>47423</v>
      </c>
      <c r="C131" s="75">
        <f>IF(F131&lt;&gt;0,-INDEX([10]Delta!$F$1:$EE$997,$L$13,$I131),0)</f>
        <v>0</v>
      </c>
      <c r="D131" s="71">
        <f>IF(F131&lt;&gt;0,VLOOKUP($J131,'Table 1'!$B$13:$C$33,2,FALSE)/12*1000*Study_MW,0)</f>
        <v>0</v>
      </c>
      <c r="E131" s="71">
        <f t="shared" si="37"/>
        <v>0</v>
      </c>
      <c r="F131" s="75">
        <f>INDEX([10]Delta!$F$1:$EE$997,$L$14,$I131)</f>
        <v>0</v>
      </c>
      <c r="G131" s="76" t="e">
        <f t="shared" si="38"/>
        <v>#DIV/0!</v>
      </c>
      <c r="I131" s="77">
        <f t="shared" si="43"/>
        <v>128</v>
      </c>
      <c r="J131" s="73">
        <f t="shared" si="39"/>
        <v>2029</v>
      </c>
      <c r="K131" s="78" t="str">
        <f t="shared" si="41"/>
        <v/>
      </c>
    </row>
    <row r="132" spans="2:11" hidden="1" outlineLevel="1">
      <c r="B132" s="82">
        <f t="shared" si="36"/>
        <v>47453</v>
      </c>
      <c r="C132" s="79">
        <f>IF(F132&lt;&gt;0,-INDEX([10]Delta!$F$1:$EE$997,$L$13,$I132),0)</f>
        <v>0</v>
      </c>
      <c r="D132" s="80">
        <f>IF(F132&lt;&gt;0,VLOOKUP($J132,'Table 1'!$B$13:$C$33,2,FALSE)/12*1000*Study_MW,0)</f>
        <v>0</v>
      </c>
      <c r="E132" s="80">
        <f t="shared" si="37"/>
        <v>0</v>
      </c>
      <c r="F132" s="79">
        <f>INDEX([10]Delta!$F$1:$EE$997,$L$14,$I132)</f>
        <v>0</v>
      </c>
      <c r="G132" s="81" t="e">
        <f t="shared" si="38"/>
        <v>#DIV/0!</v>
      </c>
      <c r="I132" s="64">
        <f t="shared" si="43"/>
        <v>129</v>
      </c>
      <c r="J132" s="73">
        <f t="shared" si="39"/>
        <v>2029</v>
      </c>
      <c r="K132" s="82" t="str">
        <f t="shared" si="41"/>
        <v/>
      </c>
    </row>
    <row r="133" spans="2:11" hidden="1" outlineLevel="1">
      <c r="B133" s="74"/>
      <c r="C133" s="69"/>
      <c r="D133" s="70"/>
      <c r="E133" s="70"/>
      <c r="F133" s="69"/>
      <c r="G133" s="72"/>
      <c r="I133" s="60">
        <f>I13</f>
        <v>1</v>
      </c>
      <c r="J133" s="73">
        <f t="shared" si="39"/>
        <v>1900</v>
      </c>
      <c r="K133" s="74" t="str">
        <f t="shared" si="41"/>
        <v/>
      </c>
    </row>
    <row r="134" spans="2:11" hidden="1" outlineLevel="1">
      <c r="B134" s="78"/>
      <c r="C134" s="75"/>
      <c r="D134" s="71"/>
      <c r="E134" s="71"/>
      <c r="F134" s="75"/>
      <c r="G134" s="76"/>
      <c r="I134" s="77">
        <f t="shared" ref="I134:I197" si="44">I14</f>
        <v>2</v>
      </c>
      <c r="J134" s="73">
        <f t="shared" si="39"/>
        <v>1900</v>
      </c>
      <c r="K134" s="78" t="str">
        <f t="shared" si="41"/>
        <v/>
      </c>
    </row>
    <row r="135" spans="2:11" hidden="1" outlineLevel="1">
      <c r="B135" s="78"/>
      <c r="C135" s="75"/>
      <c r="D135" s="71"/>
      <c r="E135" s="71"/>
      <c r="F135" s="75"/>
      <c r="G135" s="76"/>
      <c r="I135" s="77">
        <f t="shared" si="44"/>
        <v>3</v>
      </c>
      <c r="J135" s="73">
        <f t="shared" si="39"/>
        <v>1900</v>
      </c>
      <c r="K135" s="78" t="str">
        <f t="shared" si="41"/>
        <v/>
      </c>
    </row>
    <row r="136" spans="2:11" hidden="1" outlineLevel="1">
      <c r="B136" s="78"/>
      <c r="C136" s="75"/>
      <c r="D136" s="71"/>
      <c r="E136" s="71"/>
      <c r="F136" s="75"/>
      <c r="G136" s="76"/>
      <c r="I136" s="77">
        <f t="shared" si="44"/>
        <v>4</v>
      </c>
      <c r="J136" s="73">
        <f t="shared" si="39"/>
        <v>1900</v>
      </c>
      <c r="K136" s="78" t="str">
        <f t="shared" si="41"/>
        <v/>
      </c>
    </row>
    <row r="137" spans="2:11" hidden="1" outlineLevel="1">
      <c r="B137" s="78"/>
      <c r="C137" s="75"/>
      <c r="D137" s="71"/>
      <c r="E137" s="71"/>
      <c r="F137" s="75"/>
      <c r="G137" s="76"/>
      <c r="I137" s="77">
        <f t="shared" si="44"/>
        <v>5</v>
      </c>
      <c r="J137" s="73">
        <f t="shared" si="39"/>
        <v>1900</v>
      </c>
      <c r="K137" s="78" t="str">
        <f t="shared" si="41"/>
        <v/>
      </c>
    </row>
    <row r="138" spans="2:11" hidden="1" outlineLevel="1">
      <c r="B138" s="78"/>
      <c r="C138" s="75"/>
      <c r="D138" s="71"/>
      <c r="E138" s="71"/>
      <c r="F138" s="75"/>
      <c r="G138" s="76"/>
      <c r="I138" s="77">
        <f t="shared" si="44"/>
        <v>6</v>
      </c>
      <c r="J138" s="73">
        <f t="shared" si="39"/>
        <v>1900</v>
      </c>
      <c r="K138" s="78" t="str">
        <f t="shared" si="41"/>
        <v/>
      </c>
    </row>
    <row r="139" spans="2:11" hidden="1" outlineLevel="1">
      <c r="B139" s="78"/>
      <c r="C139" s="75"/>
      <c r="D139" s="71"/>
      <c r="E139" s="71"/>
      <c r="F139" s="75"/>
      <c r="G139" s="76"/>
      <c r="I139" s="77">
        <f t="shared" si="44"/>
        <v>7</v>
      </c>
      <c r="J139" s="73">
        <f t="shared" si="39"/>
        <v>1900</v>
      </c>
      <c r="K139" s="78" t="str">
        <f t="shared" si="41"/>
        <v/>
      </c>
    </row>
    <row r="140" spans="2:11" hidden="1" outlineLevel="1">
      <c r="B140" s="78"/>
      <c r="C140" s="75"/>
      <c r="D140" s="71"/>
      <c r="E140" s="71"/>
      <c r="F140" s="75"/>
      <c r="G140" s="76"/>
      <c r="I140" s="77">
        <f t="shared" si="44"/>
        <v>8</v>
      </c>
      <c r="J140" s="73">
        <f t="shared" si="39"/>
        <v>1900</v>
      </c>
      <c r="K140" s="78" t="str">
        <f t="shared" si="41"/>
        <v/>
      </c>
    </row>
    <row r="141" spans="2:11" hidden="1" outlineLevel="1">
      <c r="B141" s="78"/>
      <c r="C141" s="75"/>
      <c r="D141" s="71"/>
      <c r="E141" s="71"/>
      <c r="F141" s="75"/>
      <c r="G141" s="76"/>
      <c r="I141" s="77">
        <f t="shared" si="44"/>
        <v>9</v>
      </c>
      <c r="J141" s="73">
        <f t="shared" si="39"/>
        <v>1900</v>
      </c>
      <c r="K141" s="78" t="str">
        <f t="shared" si="41"/>
        <v/>
      </c>
    </row>
    <row r="142" spans="2:11" hidden="1" outlineLevel="1">
      <c r="B142" s="78"/>
      <c r="C142" s="75"/>
      <c r="D142" s="71"/>
      <c r="E142" s="71"/>
      <c r="F142" s="75"/>
      <c r="G142" s="76"/>
      <c r="I142" s="77">
        <f t="shared" si="44"/>
        <v>10</v>
      </c>
      <c r="J142" s="73">
        <f t="shared" ref="J142:J192" si="45">YEAR(B142)</f>
        <v>1900</v>
      </c>
      <c r="K142" s="78" t="str">
        <f t="shared" si="41"/>
        <v/>
      </c>
    </row>
    <row r="143" spans="2:11" hidden="1" outlineLevel="1">
      <c r="B143" s="78"/>
      <c r="C143" s="75"/>
      <c r="D143" s="71"/>
      <c r="E143" s="71"/>
      <c r="F143" s="75"/>
      <c r="G143" s="76"/>
      <c r="I143" s="77">
        <f t="shared" si="44"/>
        <v>11</v>
      </c>
      <c r="J143" s="73">
        <f t="shared" si="45"/>
        <v>1900</v>
      </c>
      <c r="K143" s="78" t="str">
        <f t="shared" si="41"/>
        <v/>
      </c>
    </row>
    <row r="144" spans="2:11" hidden="1" outlineLevel="1">
      <c r="B144" s="82"/>
      <c r="C144" s="79"/>
      <c r="D144" s="80"/>
      <c r="E144" s="80"/>
      <c r="F144" s="79"/>
      <c r="G144" s="81"/>
      <c r="I144" s="64">
        <f t="shared" si="44"/>
        <v>12</v>
      </c>
      <c r="J144" s="73">
        <f t="shared" si="45"/>
        <v>1900</v>
      </c>
      <c r="K144" s="82" t="str">
        <f t="shared" si="41"/>
        <v/>
      </c>
    </row>
    <row r="145" spans="2:11" hidden="1" outlineLevel="1">
      <c r="B145" s="74"/>
      <c r="C145" s="69"/>
      <c r="D145" s="70"/>
      <c r="E145" s="70"/>
      <c r="F145" s="69"/>
      <c r="G145" s="72"/>
      <c r="I145" s="60">
        <f>I25</f>
        <v>14</v>
      </c>
      <c r="J145" s="73">
        <f t="shared" si="45"/>
        <v>1900</v>
      </c>
      <c r="K145" s="74" t="str">
        <f t="shared" si="41"/>
        <v/>
      </c>
    </row>
    <row r="146" spans="2:11" hidden="1" outlineLevel="1">
      <c r="B146" s="78"/>
      <c r="C146" s="75"/>
      <c r="D146" s="71"/>
      <c r="E146" s="71"/>
      <c r="F146" s="75"/>
      <c r="G146" s="76"/>
      <c r="I146" s="77">
        <f t="shared" si="44"/>
        <v>15</v>
      </c>
      <c r="J146" s="73">
        <f t="shared" si="45"/>
        <v>1900</v>
      </c>
      <c r="K146" s="78" t="str">
        <f t="shared" si="41"/>
        <v/>
      </c>
    </row>
    <row r="147" spans="2:11" hidden="1" outlineLevel="1">
      <c r="B147" s="78"/>
      <c r="C147" s="75"/>
      <c r="D147" s="71"/>
      <c r="E147" s="71"/>
      <c r="F147" s="75"/>
      <c r="G147" s="76"/>
      <c r="I147" s="77">
        <f t="shared" si="44"/>
        <v>16</v>
      </c>
      <c r="J147" s="73">
        <f t="shared" si="45"/>
        <v>1900</v>
      </c>
      <c r="K147" s="78" t="str">
        <f t="shared" si="41"/>
        <v/>
      </c>
    </row>
    <row r="148" spans="2:11" hidden="1" outlineLevel="1">
      <c r="B148" s="78"/>
      <c r="C148" s="75"/>
      <c r="D148" s="71"/>
      <c r="E148" s="71"/>
      <c r="F148" s="75"/>
      <c r="G148" s="76"/>
      <c r="I148" s="77">
        <f t="shared" si="44"/>
        <v>17</v>
      </c>
      <c r="J148" s="73">
        <f t="shared" si="45"/>
        <v>1900</v>
      </c>
      <c r="K148" s="78" t="str">
        <f t="shared" si="41"/>
        <v/>
      </c>
    </row>
    <row r="149" spans="2:11" hidden="1" outlineLevel="1">
      <c r="B149" s="78"/>
      <c r="C149" s="75"/>
      <c r="D149" s="71"/>
      <c r="E149" s="71"/>
      <c r="F149" s="75"/>
      <c r="G149" s="76"/>
      <c r="I149" s="77">
        <f t="shared" si="44"/>
        <v>18</v>
      </c>
      <c r="J149" s="73">
        <f t="shared" si="45"/>
        <v>1900</v>
      </c>
      <c r="K149" s="78" t="str">
        <f t="shared" si="41"/>
        <v/>
      </c>
    </row>
    <row r="150" spans="2:11" hidden="1" outlineLevel="1">
      <c r="B150" s="78"/>
      <c r="C150" s="75"/>
      <c r="D150" s="71"/>
      <c r="E150" s="71"/>
      <c r="F150" s="75"/>
      <c r="G150" s="76"/>
      <c r="I150" s="77">
        <f t="shared" si="44"/>
        <v>19</v>
      </c>
      <c r="J150" s="73">
        <f t="shared" si="45"/>
        <v>1900</v>
      </c>
      <c r="K150" s="78" t="str">
        <f t="shared" si="41"/>
        <v/>
      </c>
    </row>
    <row r="151" spans="2:11" hidden="1" outlineLevel="1">
      <c r="B151" s="78"/>
      <c r="C151" s="75"/>
      <c r="D151" s="71"/>
      <c r="E151" s="71"/>
      <c r="F151" s="75"/>
      <c r="G151" s="76"/>
      <c r="I151" s="77">
        <f t="shared" si="44"/>
        <v>20</v>
      </c>
      <c r="J151" s="73">
        <f t="shared" si="45"/>
        <v>1900</v>
      </c>
      <c r="K151" s="78" t="str">
        <f t="shared" si="41"/>
        <v/>
      </c>
    </row>
    <row r="152" spans="2:11" hidden="1" outlineLevel="1">
      <c r="B152" s="78"/>
      <c r="C152" s="75"/>
      <c r="D152" s="71"/>
      <c r="E152" s="71"/>
      <c r="F152" s="75"/>
      <c r="G152" s="76"/>
      <c r="I152" s="77">
        <f t="shared" si="44"/>
        <v>21</v>
      </c>
      <c r="J152" s="73">
        <f t="shared" si="45"/>
        <v>1900</v>
      </c>
      <c r="K152" s="78" t="str">
        <f t="shared" si="41"/>
        <v/>
      </c>
    </row>
    <row r="153" spans="2:11" hidden="1" outlineLevel="1">
      <c r="B153" s="78"/>
      <c r="C153" s="75"/>
      <c r="D153" s="71"/>
      <c r="E153" s="71"/>
      <c r="F153" s="75"/>
      <c r="G153" s="76"/>
      <c r="I153" s="77">
        <f t="shared" si="44"/>
        <v>22</v>
      </c>
      <c r="J153" s="73">
        <f t="shared" si="45"/>
        <v>1900</v>
      </c>
      <c r="K153" s="78" t="str">
        <f t="shared" si="41"/>
        <v/>
      </c>
    </row>
    <row r="154" spans="2:11" hidden="1" outlineLevel="1">
      <c r="B154" s="78"/>
      <c r="C154" s="75"/>
      <c r="D154" s="71"/>
      <c r="E154" s="71"/>
      <c r="F154" s="75"/>
      <c r="G154" s="76"/>
      <c r="I154" s="77">
        <f t="shared" si="44"/>
        <v>23</v>
      </c>
      <c r="J154" s="73">
        <f t="shared" si="45"/>
        <v>1900</v>
      </c>
      <c r="K154" s="78" t="str">
        <f t="shared" ref="K154:K192" si="46">IF(ISNUMBER(F154),IF(F154&lt;&gt;0,B154,""),"")</f>
        <v/>
      </c>
    </row>
    <row r="155" spans="2:11" hidden="1" outlineLevel="1">
      <c r="B155" s="78"/>
      <c r="C155" s="75"/>
      <c r="D155" s="71"/>
      <c r="E155" s="71"/>
      <c r="F155" s="75"/>
      <c r="G155" s="76"/>
      <c r="I155" s="77">
        <f t="shared" si="44"/>
        <v>24</v>
      </c>
      <c r="J155" s="73">
        <f t="shared" si="45"/>
        <v>1900</v>
      </c>
      <c r="K155" s="78" t="str">
        <f t="shared" si="46"/>
        <v/>
      </c>
    </row>
    <row r="156" spans="2:11" hidden="1" outlineLevel="1">
      <c r="B156" s="82"/>
      <c r="C156" s="79"/>
      <c r="D156" s="80"/>
      <c r="E156" s="80"/>
      <c r="F156" s="79"/>
      <c r="G156" s="81"/>
      <c r="I156" s="64">
        <f t="shared" si="44"/>
        <v>25</v>
      </c>
      <c r="J156" s="73">
        <f t="shared" si="45"/>
        <v>1900</v>
      </c>
      <c r="K156" s="82" t="str">
        <f t="shared" si="46"/>
        <v/>
      </c>
    </row>
    <row r="157" spans="2:11" hidden="1" outlineLevel="1">
      <c r="B157" s="74"/>
      <c r="C157" s="69"/>
      <c r="D157" s="70"/>
      <c r="E157" s="70"/>
      <c r="F157" s="69"/>
      <c r="G157" s="72"/>
      <c r="I157" s="60">
        <f>I37</f>
        <v>27</v>
      </c>
      <c r="J157" s="73">
        <f t="shared" si="45"/>
        <v>1900</v>
      </c>
      <c r="K157" s="74" t="str">
        <f t="shared" si="46"/>
        <v/>
      </c>
    </row>
    <row r="158" spans="2:11" hidden="1" outlineLevel="1">
      <c r="B158" s="78"/>
      <c r="C158" s="75"/>
      <c r="D158" s="71"/>
      <c r="E158" s="71"/>
      <c r="F158" s="75"/>
      <c r="G158" s="76"/>
      <c r="I158" s="77">
        <f t="shared" si="44"/>
        <v>28</v>
      </c>
      <c r="J158" s="73">
        <f t="shared" si="45"/>
        <v>1900</v>
      </c>
      <c r="K158" s="78" t="str">
        <f t="shared" si="46"/>
        <v/>
      </c>
    </row>
    <row r="159" spans="2:11" hidden="1" outlineLevel="1">
      <c r="B159" s="78"/>
      <c r="C159" s="75"/>
      <c r="D159" s="71"/>
      <c r="E159" s="71"/>
      <c r="F159" s="75"/>
      <c r="G159" s="76"/>
      <c r="I159" s="77">
        <f t="shared" si="44"/>
        <v>29</v>
      </c>
      <c r="J159" s="73">
        <f t="shared" si="45"/>
        <v>1900</v>
      </c>
      <c r="K159" s="78" t="str">
        <f t="shared" si="46"/>
        <v/>
      </c>
    </row>
    <row r="160" spans="2:11" hidden="1" outlineLevel="1">
      <c r="B160" s="78"/>
      <c r="C160" s="75"/>
      <c r="D160" s="71"/>
      <c r="E160" s="71"/>
      <c r="F160" s="75"/>
      <c r="G160" s="76"/>
      <c r="I160" s="77">
        <f t="shared" si="44"/>
        <v>30</v>
      </c>
      <c r="J160" s="73">
        <f t="shared" si="45"/>
        <v>1900</v>
      </c>
      <c r="K160" s="78" t="str">
        <f t="shared" si="46"/>
        <v/>
      </c>
    </row>
    <row r="161" spans="2:11" hidden="1" outlineLevel="1">
      <c r="B161" s="78"/>
      <c r="C161" s="75"/>
      <c r="D161" s="71"/>
      <c r="E161" s="71"/>
      <c r="F161" s="75"/>
      <c r="G161" s="76"/>
      <c r="I161" s="77">
        <f t="shared" si="44"/>
        <v>31</v>
      </c>
      <c r="J161" s="73">
        <f t="shared" si="45"/>
        <v>1900</v>
      </c>
      <c r="K161" s="78" t="str">
        <f t="shared" si="46"/>
        <v/>
      </c>
    </row>
    <row r="162" spans="2:11" hidden="1" outlineLevel="1">
      <c r="B162" s="78"/>
      <c r="C162" s="75"/>
      <c r="D162" s="71"/>
      <c r="E162" s="71"/>
      <c r="F162" s="75"/>
      <c r="G162" s="76"/>
      <c r="I162" s="77">
        <f t="shared" si="44"/>
        <v>32</v>
      </c>
      <c r="J162" s="73">
        <f t="shared" si="45"/>
        <v>1900</v>
      </c>
      <c r="K162" s="78" t="str">
        <f t="shared" si="46"/>
        <v/>
      </c>
    </row>
    <row r="163" spans="2:11" hidden="1" outlineLevel="1">
      <c r="B163" s="78"/>
      <c r="C163" s="75"/>
      <c r="D163" s="71"/>
      <c r="E163" s="71"/>
      <c r="F163" s="75"/>
      <c r="G163" s="76"/>
      <c r="I163" s="77">
        <f t="shared" si="44"/>
        <v>33</v>
      </c>
      <c r="J163" s="73">
        <f t="shared" si="45"/>
        <v>1900</v>
      </c>
      <c r="K163" s="78" t="str">
        <f t="shared" si="46"/>
        <v/>
      </c>
    </row>
    <row r="164" spans="2:11" hidden="1" outlineLevel="1">
      <c r="B164" s="78"/>
      <c r="C164" s="75"/>
      <c r="D164" s="71"/>
      <c r="E164" s="71"/>
      <c r="F164" s="75"/>
      <c r="G164" s="76"/>
      <c r="I164" s="77">
        <f t="shared" si="44"/>
        <v>34</v>
      </c>
      <c r="J164" s="73">
        <f t="shared" si="45"/>
        <v>1900</v>
      </c>
      <c r="K164" s="78" t="str">
        <f t="shared" si="46"/>
        <v/>
      </c>
    </row>
    <row r="165" spans="2:11" hidden="1" outlineLevel="1">
      <c r="B165" s="78"/>
      <c r="C165" s="75"/>
      <c r="D165" s="71"/>
      <c r="E165" s="71"/>
      <c r="F165" s="75"/>
      <c r="G165" s="76"/>
      <c r="I165" s="77">
        <f t="shared" si="44"/>
        <v>35</v>
      </c>
      <c r="J165" s="73">
        <f t="shared" si="45"/>
        <v>1900</v>
      </c>
      <c r="K165" s="78" t="str">
        <f t="shared" si="46"/>
        <v/>
      </c>
    </row>
    <row r="166" spans="2:11" hidden="1" outlineLevel="1">
      <c r="B166" s="78"/>
      <c r="C166" s="75"/>
      <c r="D166" s="71"/>
      <c r="E166" s="71"/>
      <c r="F166" s="75"/>
      <c r="G166" s="76"/>
      <c r="I166" s="77">
        <f t="shared" si="44"/>
        <v>36</v>
      </c>
      <c r="J166" s="73">
        <f t="shared" si="45"/>
        <v>1900</v>
      </c>
      <c r="K166" s="78" t="str">
        <f t="shared" si="46"/>
        <v/>
      </c>
    </row>
    <row r="167" spans="2:11" hidden="1" outlineLevel="1">
      <c r="B167" s="78"/>
      <c r="C167" s="75"/>
      <c r="D167" s="71"/>
      <c r="E167" s="71"/>
      <c r="F167" s="75"/>
      <c r="G167" s="76"/>
      <c r="I167" s="77">
        <f t="shared" si="44"/>
        <v>37</v>
      </c>
      <c r="J167" s="73">
        <f t="shared" si="45"/>
        <v>1900</v>
      </c>
      <c r="K167" s="78" t="str">
        <f t="shared" si="46"/>
        <v/>
      </c>
    </row>
    <row r="168" spans="2:11" hidden="1" outlineLevel="1">
      <c r="B168" s="82"/>
      <c r="C168" s="79"/>
      <c r="D168" s="80"/>
      <c r="E168" s="80"/>
      <c r="F168" s="79"/>
      <c r="G168" s="81"/>
      <c r="I168" s="64">
        <f t="shared" si="44"/>
        <v>38</v>
      </c>
      <c r="J168" s="73">
        <f t="shared" si="45"/>
        <v>1900</v>
      </c>
      <c r="K168" s="82" t="str">
        <f t="shared" si="46"/>
        <v/>
      </c>
    </row>
    <row r="169" spans="2:11" hidden="1" outlineLevel="1">
      <c r="B169" s="74"/>
      <c r="C169" s="69"/>
      <c r="D169" s="70"/>
      <c r="E169" s="70"/>
      <c r="F169" s="69"/>
      <c r="G169" s="72"/>
      <c r="I169" s="60">
        <f>I49</f>
        <v>40</v>
      </c>
      <c r="J169" s="73">
        <f t="shared" si="45"/>
        <v>1900</v>
      </c>
      <c r="K169" s="74" t="str">
        <f t="shared" si="46"/>
        <v/>
      </c>
    </row>
    <row r="170" spans="2:11" hidden="1" outlineLevel="1">
      <c r="B170" s="78"/>
      <c r="C170" s="75"/>
      <c r="D170" s="71"/>
      <c r="E170" s="71"/>
      <c r="F170" s="75"/>
      <c r="G170" s="76"/>
      <c r="I170" s="77">
        <f t="shared" si="44"/>
        <v>41</v>
      </c>
      <c r="J170" s="73">
        <f t="shared" si="45"/>
        <v>1900</v>
      </c>
      <c r="K170" s="78" t="str">
        <f t="shared" si="46"/>
        <v/>
      </c>
    </row>
    <row r="171" spans="2:11" hidden="1" outlineLevel="1">
      <c r="B171" s="78"/>
      <c r="C171" s="75"/>
      <c r="D171" s="71"/>
      <c r="E171" s="71"/>
      <c r="F171" s="75"/>
      <c r="G171" s="76"/>
      <c r="I171" s="77">
        <f t="shared" si="44"/>
        <v>42</v>
      </c>
      <c r="J171" s="73">
        <f t="shared" si="45"/>
        <v>1900</v>
      </c>
      <c r="K171" s="78" t="str">
        <f t="shared" si="46"/>
        <v/>
      </c>
    </row>
    <row r="172" spans="2:11" hidden="1" outlineLevel="1">
      <c r="B172" s="78"/>
      <c r="C172" s="75"/>
      <c r="D172" s="71"/>
      <c r="E172" s="71"/>
      <c r="F172" s="75"/>
      <c r="G172" s="76"/>
      <c r="I172" s="77">
        <f t="shared" si="44"/>
        <v>43</v>
      </c>
      <c r="J172" s="73">
        <f t="shared" si="45"/>
        <v>1900</v>
      </c>
      <c r="K172" s="78" t="str">
        <f t="shared" si="46"/>
        <v/>
      </c>
    </row>
    <row r="173" spans="2:11" hidden="1" outlineLevel="1">
      <c r="B173" s="78"/>
      <c r="C173" s="75"/>
      <c r="D173" s="71"/>
      <c r="E173" s="71"/>
      <c r="F173" s="75"/>
      <c r="G173" s="76"/>
      <c r="I173" s="77">
        <f t="shared" si="44"/>
        <v>44</v>
      </c>
      <c r="J173" s="73">
        <f t="shared" si="45"/>
        <v>1900</v>
      </c>
      <c r="K173" s="78" t="str">
        <f t="shared" si="46"/>
        <v/>
      </c>
    </row>
    <row r="174" spans="2:11" hidden="1" outlineLevel="1">
      <c r="B174" s="78"/>
      <c r="C174" s="75"/>
      <c r="D174" s="71"/>
      <c r="E174" s="71"/>
      <c r="F174" s="75"/>
      <c r="G174" s="76"/>
      <c r="I174" s="77">
        <f t="shared" si="44"/>
        <v>45</v>
      </c>
      <c r="J174" s="73">
        <f t="shared" si="45"/>
        <v>1900</v>
      </c>
      <c r="K174" s="78" t="str">
        <f t="shared" si="46"/>
        <v/>
      </c>
    </row>
    <row r="175" spans="2:11" hidden="1" outlineLevel="1">
      <c r="B175" s="78"/>
      <c r="C175" s="75"/>
      <c r="D175" s="71"/>
      <c r="E175" s="71"/>
      <c r="F175" s="75"/>
      <c r="G175" s="76"/>
      <c r="I175" s="77">
        <f t="shared" si="44"/>
        <v>46</v>
      </c>
      <c r="J175" s="73">
        <f t="shared" si="45"/>
        <v>1900</v>
      </c>
      <c r="K175" s="78" t="str">
        <f t="shared" si="46"/>
        <v/>
      </c>
    </row>
    <row r="176" spans="2:11" hidden="1" outlineLevel="1">
      <c r="B176" s="78"/>
      <c r="C176" s="75"/>
      <c r="D176" s="71"/>
      <c r="E176" s="71"/>
      <c r="F176" s="75"/>
      <c r="G176" s="76"/>
      <c r="I176" s="77">
        <f t="shared" si="44"/>
        <v>47</v>
      </c>
      <c r="J176" s="73">
        <f t="shared" si="45"/>
        <v>1900</v>
      </c>
      <c r="K176" s="78" t="str">
        <f t="shared" si="46"/>
        <v/>
      </c>
    </row>
    <row r="177" spans="2:11" hidden="1" outlineLevel="1">
      <c r="B177" s="78"/>
      <c r="C177" s="75"/>
      <c r="D177" s="71"/>
      <c r="E177" s="71"/>
      <c r="F177" s="75"/>
      <c r="G177" s="76"/>
      <c r="I177" s="77">
        <f t="shared" si="44"/>
        <v>48</v>
      </c>
      <c r="J177" s="73">
        <f t="shared" si="45"/>
        <v>1900</v>
      </c>
      <c r="K177" s="78" t="str">
        <f t="shared" si="46"/>
        <v/>
      </c>
    </row>
    <row r="178" spans="2:11" hidden="1" outlineLevel="1">
      <c r="B178" s="78"/>
      <c r="C178" s="75"/>
      <c r="D178" s="71"/>
      <c r="E178" s="71"/>
      <c r="F178" s="75"/>
      <c r="G178" s="76"/>
      <c r="I178" s="77">
        <f t="shared" si="44"/>
        <v>49</v>
      </c>
      <c r="J178" s="73">
        <f t="shared" si="45"/>
        <v>1900</v>
      </c>
      <c r="K178" s="78" t="str">
        <f t="shared" si="46"/>
        <v/>
      </c>
    </row>
    <row r="179" spans="2:11" hidden="1" outlineLevel="1">
      <c r="B179" s="78"/>
      <c r="C179" s="75"/>
      <c r="D179" s="71"/>
      <c r="E179" s="71"/>
      <c r="F179" s="75"/>
      <c r="G179" s="76"/>
      <c r="I179" s="77">
        <f t="shared" si="44"/>
        <v>50</v>
      </c>
      <c r="J179" s="73">
        <f t="shared" si="45"/>
        <v>1900</v>
      </c>
      <c r="K179" s="78" t="str">
        <f t="shared" si="46"/>
        <v/>
      </c>
    </row>
    <row r="180" spans="2:11" hidden="1" outlineLevel="1">
      <c r="B180" s="82"/>
      <c r="C180" s="79"/>
      <c r="D180" s="80"/>
      <c r="E180" s="80"/>
      <c r="F180" s="79"/>
      <c r="G180" s="81"/>
      <c r="I180" s="64">
        <f t="shared" si="44"/>
        <v>51</v>
      </c>
      <c r="J180" s="73">
        <f t="shared" si="45"/>
        <v>1900</v>
      </c>
      <c r="K180" s="82" t="str">
        <f t="shared" si="46"/>
        <v/>
      </c>
    </row>
    <row r="181" spans="2:11" hidden="1" outlineLevel="1" collapsed="1">
      <c r="B181" s="74"/>
      <c r="C181" s="69"/>
      <c r="D181" s="70"/>
      <c r="E181" s="70"/>
      <c r="F181" s="69"/>
      <c r="G181" s="72"/>
      <c r="I181" s="60">
        <f>I61</f>
        <v>53</v>
      </c>
      <c r="J181" s="73">
        <f t="shared" si="45"/>
        <v>1900</v>
      </c>
      <c r="K181" s="74" t="str">
        <f t="shared" si="46"/>
        <v/>
      </c>
    </row>
    <row r="182" spans="2:11" hidden="1" outlineLevel="1">
      <c r="B182" s="78"/>
      <c r="C182" s="75"/>
      <c r="D182" s="71"/>
      <c r="E182" s="71"/>
      <c r="F182" s="75"/>
      <c r="G182" s="76"/>
      <c r="I182" s="77">
        <f t="shared" si="44"/>
        <v>54</v>
      </c>
      <c r="J182" s="73">
        <f t="shared" si="45"/>
        <v>1900</v>
      </c>
      <c r="K182" s="78" t="str">
        <f t="shared" si="46"/>
        <v/>
      </c>
    </row>
    <row r="183" spans="2:11" hidden="1" outlineLevel="1">
      <c r="B183" s="78"/>
      <c r="C183" s="75"/>
      <c r="D183" s="71"/>
      <c r="E183" s="71"/>
      <c r="F183" s="75"/>
      <c r="G183" s="76"/>
      <c r="I183" s="77">
        <f t="shared" si="44"/>
        <v>55</v>
      </c>
      <c r="J183" s="73">
        <f t="shared" si="45"/>
        <v>1900</v>
      </c>
      <c r="K183" s="78" t="str">
        <f t="shared" si="46"/>
        <v/>
      </c>
    </row>
    <row r="184" spans="2:11" hidden="1" outlineLevel="1">
      <c r="B184" s="78"/>
      <c r="C184" s="75"/>
      <c r="D184" s="71"/>
      <c r="E184" s="71"/>
      <c r="F184" s="75"/>
      <c r="G184" s="76"/>
      <c r="I184" s="77">
        <f t="shared" si="44"/>
        <v>56</v>
      </c>
      <c r="J184" s="73">
        <f t="shared" si="45"/>
        <v>1900</v>
      </c>
      <c r="K184" s="78" t="str">
        <f t="shared" si="46"/>
        <v/>
      </c>
    </row>
    <row r="185" spans="2:11" hidden="1" outlineLevel="1">
      <c r="B185" s="78"/>
      <c r="C185" s="75"/>
      <c r="D185" s="71"/>
      <c r="E185" s="71"/>
      <c r="F185" s="75"/>
      <c r="G185" s="76"/>
      <c r="I185" s="77">
        <f t="shared" si="44"/>
        <v>57</v>
      </c>
      <c r="J185" s="73">
        <f t="shared" si="45"/>
        <v>1900</v>
      </c>
      <c r="K185" s="78" t="str">
        <f t="shared" si="46"/>
        <v/>
      </c>
    </row>
    <row r="186" spans="2:11" hidden="1" outlineLevel="1">
      <c r="B186" s="78"/>
      <c r="C186" s="75"/>
      <c r="D186" s="71"/>
      <c r="E186" s="71"/>
      <c r="F186" s="75"/>
      <c r="G186" s="76"/>
      <c r="I186" s="77">
        <f t="shared" si="44"/>
        <v>58</v>
      </c>
      <c r="J186" s="73">
        <f t="shared" si="45"/>
        <v>1900</v>
      </c>
      <c r="K186" s="78" t="str">
        <f t="shared" si="46"/>
        <v/>
      </c>
    </row>
    <row r="187" spans="2:11" hidden="1" outlineLevel="1">
      <c r="B187" s="78"/>
      <c r="C187" s="75"/>
      <c r="D187" s="71"/>
      <c r="E187" s="71"/>
      <c r="F187" s="75"/>
      <c r="G187" s="76"/>
      <c r="I187" s="77">
        <f t="shared" si="44"/>
        <v>59</v>
      </c>
      <c r="J187" s="73">
        <f t="shared" si="45"/>
        <v>1900</v>
      </c>
      <c r="K187" s="78" t="str">
        <f t="shared" si="46"/>
        <v/>
      </c>
    </row>
    <row r="188" spans="2:11" hidden="1" outlineLevel="1">
      <c r="B188" s="78"/>
      <c r="C188" s="75"/>
      <c r="D188" s="71"/>
      <c r="E188" s="71"/>
      <c r="F188" s="75"/>
      <c r="G188" s="76"/>
      <c r="I188" s="77">
        <f t="shared" si="44"/>
        <v>60</v>
      </c>
      <c r="J188" s="73">
        <f t="shared" si="45"/>
        <v>1900</v>
      </c>
      <c r="K188" s="78" t="str">
        <f t="shared" si="46"/>
        <v/>
      </c>
    </row>
    <row r="189" spans="2:11" hidden="1" outlineLevel="1">
      <c r="B189" s="78"/>
      <c r="C189" s="75"/>
      <c r="D189" s="71"/>
      <c r="E189" s="71"/>
      <c r="F189" s="75"/>
      <c r="G189" s="76"/>
      <c r="I189" s="77">
        <f t="shared" si="44"/>
        <v>61</v>
      </c>
      <c r="J189" s="73">
        <f t="shared" si="45"/>
        <v>1900</v>
      </c>
      <c r="K189" s="78" t="str">
        <f t="shared" si="46"/>
        <v/>
      </c>
    </row>
    <row r="190" spans="2:11" hidden="1" outlineLevel="1">
      <c r="B190" s="78"/>
      <c r="C190" s="75"/>
      <c r="D190" s="71"/>
      <c r="E190" s="71"/>
      <c r="F190" s="75"/>
      <c r="G190" s="76"/>
      <c r="I190" s="77">
        <f t="shared" si="44"/>
        <v>62</v>
      </c>
      <c r="J190" s="73">
        <f t="shared" si="45"/>
        <v>1900</v>
      </c>
      <c r="K190" s="78" t="str">
        <f t="shared" si="46"/>
        <v/>
      </c>
    </row>
    <row r="191" spans="2:11" hidden="1" outlineLevel="1">
      <c r="B191" s="78"/>
      <c r="C191" s="75"/>
      <c r="D191" s="71"/>
      <c r="E191" s="71"/>
      <c r="F191" s="75"/>
      <c r="G191" s="76"/>
      <c r="I191" s="77">
        <f t="shared" si="44"/>
        <v>63</v>
      </c>
      <c r="J191" s="73">
        <f t="shared" si="45"/>
        <v>1900</v>
      </c>
      <c r="K191" s="78" t="str">
        <f t="shared" si="46"/>
        <v/>
      </c>
    </row>
    <row r="192" spans="2:11" hidden="1" outlineLevel="1">
      <c r="B192" s="82"/>
      <c r="C192" s="79"/>
      <c r="D192" s="80"/>
      <c r="E192" s="80"/>
      <c r="F192" s="79"/>
      <c r="G192" s="81"/>
      <c r="I192" s="64">
        <f t="shared" si="44"/>
        <v>64</v>
      </c>
      <c r="J192" s="73">
        <f t="shared" si="45"/>
        <v>1900</v>
      </c>
      <c r="K192" s="82" t="str">
        <f t="shared" si="46"/>
        <v/>
      </c>
    </row>
    <row r="193" spans="2:13" hidden="1">
      <c r="B193" s="74"/>
      <c r="C193" s="69"/>
      <c r="D193" s="70"/>
      <c r="E193" s="70"/>
      <c r="F193" s="69"/>
      <c r="G193" s="72"/>
      <c r="I193" s="60">
        <f>I73</f>
        <v>66</v>
      </c>
      <c r="J193" s="73">
        <f t="shared" ref="J193:J256" si="47">YEAR(B193)</f>
        <v>1900</v>
      </c>
      <c r="K193" s="74" t="str">
        <f t="shared" ref="K193:K256" si="48">IF(ISNUMBER(F193),IF(F193&lt;&gt;0,B193,""),"")</f>
        <v/>
      </c>
      <c r="M193" s="41" t="e">
        <v>#N/A</v>
      </c>
    </row>
    <row r="194" spans="2:13" hidden="1">
      <c r="B194" s="78"/>
      <c r="C194" s="75"/>
      <c r="D194" s="71"/>
      <c r="E194" s="71"/>
      <c r="F194" s="75"/>
      <c r="G194" s="76"/>
      <c r="I194" s="77">
        <f t="shared" si="44"/>
        <v>67</v>
      </c>
      <c r="J194" s="73">
        <f t="shared" si="47"/>
        <v>1900</v>
      </c>
      <c r="K194" s="78" t="str">
        <f t="shared" si="48"/>
        <v/>
      </c>
      <c r="M194" s="41" t="e">
        <v>#N/A</v>
      </c>
    </row>
    <row r="195" spans="2:13" hidden="1">
      <c r="B195" s="78"/>
      <c r="C195" s="75"/>
      <c r="D195" s="71"/>
      <c r="E195" s="71"/>
      <c r="F195" s="75"/>
      <c r="G195" s="76"/>
      <c r="I195" s="77">
        <f t="shared" si="44"/>
        <v>68</v>
      </c>
      <c r="J195" s="73">
        <f t="shared" si="47"/>
        <v>1900</v>
      </c>
      <c r="K195" s="78" t="str">
        <f t="shared" si="48"/>
        <v/>
      </c>
      <c r="M195" s="41" t="e">
        <v>#N/A</v>
      </c>
    </row>
    <row r="196" spans="2:13" hidden="1">
      <c r="B196" s="78"/>
      <c r="C196" s="75"/>
      <c r="D196" s="71"/>
      <c r="E196" s="71"/>
      <c r="F196" s="75"/>
      <c r="G196" s="76"/>
      <c r="I196" s="77">
        <f t="shared" si="44"/>
        <v>69</v>
      </c>
      <c r="J196" s="73">
        <f t="shared" si="47"/>
        <v>1900</v>
      </c>
      <c r="K196" s="78" t="str">
        <f t="shared" si="48"/>
        <v/>
      </c>
      <c r="M196" s="41" t="e">
        <v>#N/A</v>
      </c>
    </row>
    <row r="197" spans="2:13" hidden="1">
      <c r="B197" s="78"/>
      <c r="C197" s="75"/>
      <c r="D197" s="71"/>
      <c r="E197" s="71"/>
      <c r="F197" s="75"/>
      <c r="G197" s="76"/>
      <c r="I197" s="77">
        <f t="shared" si="44"/>
        <v>70</v>
      </c>
      <c r="J197" s="73">
        <f t="shared" si="47"/>
        <v>1900</v>
      </c>
      <c r="K197" s="78" t="str">
        <f t="shared" si="48"/>
        <v/>
      </c>
      <c r="M197" s="41" t="e">
        <v>#N/A</v>
      </c>
    </row>
    <row r="198" spans="2:13" hidden="1">
      <c r="B198" s="78"/>
      <c r="C198" s="75"/>
      <c r="D198" s="71"/>
      <c r="E198" s="71"/>
      <c r="F198" s="75"/>
      <c r="G198" s="76"/>
      <c r="I198" s="77">
        <f t="shared" ref="I198:I204" si="49">I78</f>
        <v>71</v>
      </c>
      <c r="J198" s="73">
        <f t="shared" si="47"/>
        <v>1900</v>
      </c>
      <c r="K198" s="78" t="str">
        <f t="shared" si="48"/>
        <v/>
      </c>
      <c r="M198" s="41" t="e">
        <v>#N/A</v>
      </c>
    </row>
    <row r="199" spans="2:13" hidden="1">
      <c r="B199" s="78"/>
      <c r="C199" s="75"/>
      <c r="D199" s="71"/>
      <c r="E199" s="71"/>
      <c r="F199" s="75"/>
      <c r="G199" s="76"/>
      <c r="I199" s="77">
        <f t="shared" si="49"/>
        <v>72</v>
      </c>
      <c r="J199" s="73">
        <f t="shared" si="47"/>
        <v>1900</v>
      </c>
      <c r="K199" s="78" t="str">
        <f t="shared" si="48"/>
        <v/>
      </c>
      <c r="M199" s="41" t="e">
        <v>#N/A</v>
      </c>
    </row>
    <row r="200" spans="2:13" hidden="1">
      <c r="B200" s="78"/>
      <c r="C200" s="75"/>
      <c r="D200" s="71"/>
      <c r="E200" s="71"/>
      <c r="F200" s="75"/>
      <c r="G200" s="76"/>
      <c r="I200" s="77">
        <f t="shared" si="49"/>
        <v>73</v>
      </c>
      <c r="J200" s="73">
        <f t="shared" si="47"/>
        <v>1900</v>
      </c>
      <c r="K200" s="78" t="str">
        <f t="shared" si="48"/>
        <v/>
      </c>
      <c r="M200" s="41" t="e">
        <v>#N/A</v>
      </c>
    </row>
    <row r="201" spans="2:13" hidden="1">
      <c r="B201" s="78"/>
      <c r="C201" s="75"/>
      <c r="D201" s="71"/>
      <c r="E201" s="71"/>
      <c r="F201" s="75"/>
      <c r="G201" s="76"/>
      <c r="I201" s="77">
        <f t="shared" si="49"/>
        <v>74</v>
      </c>
      <c r="J201" s="73">
        <f t="shared" si="47"/>
        <v>1900</v>
      </c>
      <c r="K201" s="78" t="str">
        <f t="shared" si="48"/>
        <v/>
      </c>
      <c r="M201" s="41" t="e">
        <v>#N/A</v>
      </c>
    </row>
    <row r="202" spans="2:13" hidden="1">
      <c r="B202" s="78"/>
      <c r="C202" s="75"/>
      <c r="D202" s="71"/>
      <c r="E202" s="71"/>
      <c r="F202" s="75"/>
      <c r="G202" s="76"/>
      <c r="I202" s="77">
        <f t="shared" si="49"/>
        <v>75</v>
      </c>
      <c r="J202" s="73">
        <f t="shared" si="47"/>
        <v>1900</v>
      </c>
      <c r="K202" s="78" t="str">
        <f t="shared" si="48"/>
        <v/>
      </c>
      <c r="M202" s="41" t="e">
        <v>#N/A</v>
      </c>
    </row>
    <row r="203" spans="2:13" hidden="1">
      <c r="B203" s="78"/>
      <c r="C203" s="75"/>
      <c r="D203" s="71"/>
      <c r="E203" s="71"/>
      <c r="F203" s="75"/>
      <c r="G203" s="76"/>
      <c r="I203" s="77">
        <f t="shared" si="49"/>
        <v>76</v>
      </c>
      <c r="J203" s="73">
        <f t="shared" si="47"/>
        <v>1900</v>
      </c>
      <c r="K203" s="78" t="str">
        <f t="shared" si="48"/>
        <v/>
      </c>
      <c r="M203" s="41" t="e">
        <v>#N/A</v>
      </c>
    </row>
    <row r="204" spans="2:13" hidden="1">
      <c r="B204" s="82"/>
      <c r="C204" s="79"/>
      <c r="D204" s="80"/>
      <c r="E204" s="80"/>
      <c r="F204" s="79"/>
      <c r="G204" s="81"/>
      <c r="I204" s="64">
        <f t="shared" si="49"/>
        <v>77</v>
      </c>
      <c r="J204" s="73">
        <f t="shared" si="47"/>
        <v>1900</v>
      </c>
      <c r="K204" s="82" t="str">
        <f t="shared" si="48"/>
        <v/>
      </c>
      <c r="M204" s="41" t="e">
        <v>#N/A</v>
      </c>
    </row>
    <row r="205" spans="2:13" hidden="1" outlineLevel="1">
      <c r="B205" s="74"/>
      <c r="C205" s="69"/>
      <c r="D205" s="70"/>
      <c r="E205" s="70"/>
      <c r="F205" s="69"/>
      <c r="G205" s="72"/>
      <c r="I205" s="60">
        <f>I85</f>
        <v>79</v>
      </c>
      <c r="J205" s="73">
        <f t="shared" si="47"/>
        <v>1900</v>
      </c>
      <c r="K205" s="74" t="str">
        <f t="shared" si="48"/>
        <v/>
      </c>
      <c r="M205" s="41" t="e">
        <v>#N/A</v>
      </c>
    </row>
    <row r="206" spans="2:13" hidden="1" outlineLevel="1">
      <c r="B206" s="78"/>
      <c r="C206" s="75"/>
      <c r="D206" s="71"/>
      <c r="E206" s="71"/>
      <c r="F206" s="75"/>
      <c r="G206" s="76"/>
      <c r="I206" s="77">
        <f t="shared" ref="I206:I228" si="50">I86</f>
        <v>80</v>
      </c>
      <c r="J206" s="73">
        <f t="shared" si="47"/>
        <v>1900</v>
      </c>
      <c r="K206" s="78" t="str">
        <f t="shared" si="48"/>
        <v/>
      </c>
      <c r="M206" s="41" t="e">
        <v>#N/A</v>
      </c>
    </row>
    <row r="207" spans="2:13" hidden="1" outlineLevel="1">
      <c r="B207" s="78"/>
      <c r="C207" s="75"/>
      <c r="D207" s="71"/>
      <c r="E207" s="71"/>
      <c r="F207" s="75"/>
      <c r="G207" s="76"/>
      <c r="I207" s="77">
        <f t="shared" si="50"/>
        <v>81</v>
      </c>
      <c r="J207" s="73">
        <f t="shared" si="47"/>
        <v>1900</v>
      </c>
      <c r="K207" s="78" t="str">
        <f t="shared" si="48"/>
        <v/>
      </c>
      <c r="M207" s="41" t="e">
        <v>#N/A</v>
      </c>
    </row>
    <row r="208" spans="2:13" hidden="1" outlineLevel="1">
      <c r="B208" s="78"/>
      <c r="C208" s="75"/>
      <c r="D208" s="71"/>
      <c r="E208" s="71"/>
      <c r="F208" s="75"/>
      <c r="G208" s="76"/>
      <c r="I208" s="77">
        <f t="shared" si="50"/>
        <v>82</v>
      </c>
      <c r="J208" s="73">
        <f t="shared" si="47"/>
        <v>1900</v>
      </c>
      <c r="K208" s="78" t="str">
        <f t="shared" si="48"/>
        <v/>
      </c>
      <c r="M208" s="41" t="e">
        <v>#N/A</v>
      </c>
    </row>
    <row r="209" spans="2:13" hidden="1" outlineLevel="1">
      <c r="B209" s="78"/>
      <c r="C209" s="75"/>
      <c r="D209" s="71"/>
      <c r="E209" s="71"/>
      <c r="F209" s="75"/>
      <c r="G209" s="76"/>
      <c r="I209" s="77">
        <f t="shared" si="50"/>
        <v>83</v>
      </c>
      <c r="J209" s="73">
        <f t="shared" si="47"/>
        <v>1900</v>
      </c>
      <c r="K209" s="78" t="str">
        <f t="shared" si="48"/>
        <v/>
      </c>
      <c r="M209" s="41" t="e">
        <v>#N/A</v>
      </c>
    </row>
    <row r="210" spans="2:13" hidden="1" outlineLevel="1">
      <c r="B210" s="78"/>
      <c r="C210" s="75"/>
      <c r="D210" s="71"/>
      <c r="E210" s="71"/>
      <c r="F210" s="75"/>
      <c r="G210" s="76"/>
      <c r="I210" s="77">
        <f t="shared" si="50"/>
        <v>84</v>
      </c>
      <c r="J210" s="73">
        <f t="shared" si="47"/>
        <v>1900</v>
      </c>
      <c r="K210" s="78" t="str">
        <f t="shared" si="48"/>
        <v/>
      </c>
      <c r="M210" s="41" t="e">
        <v>#N/A</v>
      </c>
    </row>
    <row r="211" spans="2:13" hidden="1" outlineLevel="1">
      <c r="B211" s="78"/>
      <c r="C211" s="75"/>
      <c r="D211" s="71"/>
      <c r="E211" s="71"/>
      <c r="F211" s="75"/>
      <c r="G211" s="76"/>
      <c r="I211" s="77">
        <f t="shared" si="50"/>
        <v>85</v>
      </c>
      <c r="J211" s="73">
        <f t="shared" si="47"/>
        <v>1900</v>
      </c>
      <c r="K211" s="78" t="str">
        <f t="shared" si="48"/>
        <v/>
      </c>
      <c r="M211" s="41" t="e">
        <v>#N/A</v>
      </c>
    </row>
    <row r="212" spans="2:13" hidden="1" outlineLevel="1">
      <c r="B212" s="78"/>
      <c r="C212" s="75"/>
      <c r="D212" s="71"/>
      <c r="E212" s="71"/>
      <c r="F212" s="75"/>
      <c r="G212" s="76"/>
      <c r="I212" s="77">
        <f t="shared" si="50"/>
        <v>86</v>
      </c>
      <c r="J212" s="73">
        <f t="shared" si="47"/>
        <v>1900</v>
      </c>
      <c r="K212" s="78" t="str">
        <f t="shared" si="48"/>
        <v/>
      </c>
      <c r="M212" s="41" t="e">
        <v>#N/A</v>
      </c>
    </row>
    <row r="213" spans="2:13" hidden="1" outlineLevel="1">
      <c r="B213" s="78"/>
      <c r="C213" s="75"/>
      <c r="D213" s="71"/>
      <c r="E213" s="71"/>
      <c r="F213" s="75"/>
      <c r="G213" s="76"/>
      <c r="I213" s="77">
        <f t="shared" si="50"/>
        <v>87</v>
      </c>
      <c r="J213" s="73">
        <f t="shared" si="47"/>
        <v>1900</v>
      </c>
      <c r="K213" s="78" t="str">
        <f t="shared" si="48"/>
        <v/>
      </c>
      <c r="M213" s="41" t="e">
        <v>#N/A</v>
      </c>
    </row>
    <row r="214" spans="2:13" hidden="1" outlineLevel="1">
      <c r="B214" s="78"/>
      <c r="C214" s="75"/>
      <c r="D214" s="71"/>
      <c r="E214" s="71"/>
      <c r="F214" s="75"/>
      <c r="G214" s="76"/>
      <c r="I214" s="77">
        <f t="shared" si="50"/>
        <v>88</v>
      </c>
      <c r="J214" s="73">
        <f t="shared" si="47"/>
        <v>1900</v>
      </c>
      <c r="K214" s="78" t="str">
        <f t="shared" si="48"/>
        <v/>
      </c>
      <c r="M214" s="41" t="e">
        <v>#N/A</v>
      </c>
    </row>
    <row r="215" spans="2:13" hidden="1" outlineLevel="1">
      <c r="B215" s="78"/>
      <c r="C215" s="75"/>
      <c r="D215" s="71"/>
      <c r="E215" s="71"/>
      <c r="F215" s="75"/>
      <c r="G215" s="76"/>
      <c r="I215" s="77">
        <f t="shared" si="50"/>
        <v>89</v>
      </c>
      <c r="J215" s="73">
        <f t="shared" si="47"/>
        <v>1900</v>
      </c>
      <c r="K215" s="78" t="str">
        <f t="shared" si="48"/>
        <v/>
      </c>
      <c r="M215" s="41" t="e">
        <v>#N/A</v>
      </c>
    </row>
    <row r="216" spans="2:13" hidden="1" outlineLevel="1">
      <c r="B216" s="82"/>
      <c r="C216" s="79"/>
      <c r="D216" s="80"/>
      <c r="E216" s="80"/>
      <c r="F216" s="79"/>
      <c r="G216" s="81"/>
      <c r="I216" s="64">
        <f t="shared" si="50"/>
        <v>90</v>
      </c>
      <c r="J216" s="73">
        <f t="shared" si="47"/>
        <v>1900</v>
      </c>
      <c r="K216" s="82" t="str">
        <f t="shared" si="48"/>
        <v/>
      </c>
      <c r="M216" s="41" t="e">
        <v>#N/A</v>
      </c>
    </row>
    <row r="217" spans="2:13" hidden="1" outlineLevel="1">
      <c r="B217" s="74"/>
      <c r="C217" s="69"/>
      <c r="D217" s="70"/>
      <c r="E217" s="70"/>
      <c r="F217" s="69"/>
      <c r="G217" s="72"/>
      <c r="I217" s="60">
        <f>I97</f>
        <v>92</v>
      </c>
      <c r="J217" s="73">
        <f t="shared" si="47"/>
        <v>1900</v>
      </c>
      <c r="K217" s="74" t="str">
        <f t="shared" si="48"/>
        <v/>
      </c>
      <c r="M217" s="41" t="e">
        <v>#N/A</v>
      </c>
    </row>
    <row r="218" spans="2:13" hidden="1" outlineLevel="1">
      <c r="B218" s="78"/>
      <c r="C218" s="75"/>
      <c r="D218" s="71"/>
      <c r="E218" s="71"/>
      <c r="F218" s="75"/>
      <c r="G218" s="76"/>
      <c r="I218" s="77">
        <f t="shared" si="50"/>
        <v>93</v>
      </c>
      <c r="J218" s="73">
        <f t="shared" si="47"/>
        <v>1900</v>
      </c>
      <c r="K218" s="78" t="str">
        <f t="shared" si="48"/>
        <v/>
      </c>
      <c r="M218" s="41" t="e">
        <v>#N/A</v>
      </c>
    </row>
    <row r="219" spans="2:13" hidden="1" outlineLevel="1">
      <c r="B219" s="78"/>
      <c r="C219" s="75"/>
      <c r="D219" s="71"/>
      <c r="E219" s="71"/>
      <c r="F219" s="75"/>
      <c r="G219" s="76"/>
      <c r="I219" s="77">
        <f t="shared" si="50"/>
        <v>94</v>
      </c>
      <c r="J219" s="73">
        <f t="shared" si="47"/>
        <v>1900</v>
      </c>
      <c r="K219" s="78" t="str">
        <f t="shared" si="48"/>
        <v/>
      </c>
      <c r="M219" s="41" t="e">
        <v>#N/A</v>
      </c>
    </row>
    <row r="220" spans="2:13" hidden="1" outlineLevel="1">
      <c r="B220" s="78"/>
      <c r="C220" s="75"/>
      <c r="D220" s="71"/>
      <c r="E220" s="71"/>
      <c r="F220" s="75"/>
      <c r="G220" s="76"/>
      <c r="I220" s="77">
        <f t="shared" si="50"/>
        <v>95</v>
      </c>
      <c r="J220" s="73">
        <f t="shared" si="47"/>
        <v>1900</v>
      </c>
      <c r="K220" s="78" t="str">
        <f t="shared" si="48"/>
        <v/>
      </c>
      <c r="M220" s="41" t="e">
        <v>#N/A</v>
      </c>
    </row>
    <row r="221" spans="2:13" hidden="1" outlineLevel="1">
      <c r="B221" s="78"/>
      <c r="C221" s="75"/>
      <c r="D221" s="71"/>
      <c r="E221" s="71"/>
      <c r="F221" s="75"/>
      <c r="G221" s="76"/>
      <c r="I221" s="77">
        <f t="shared" si="50"/>
        <v>96</v>
      </c>
      <c r="J221" s="73">
        <f t="shared" si="47"/>
        <v>1900</v>
      </c>
      <c r="K221" s="78" t="str">
        <f t="shared" si="48"/>
        <v/>
      </c>
      <c r="M221" s="41" t="e">
        <v>#N/A</v>
      </c>
    </row>
    <row r="222" spans="2:13" hidden="1" outlineLevel="1">
      <c r="B222" s="78"/>
      <c r="C222" s="75"/>
      <c r="D222" s="71"/>
      <c r="E222" s="71"/>
      <c r="F222" s="75"/>
      <c r="G222" s="76"/>
      <c r="I222" s="77">
        <f t="shared" si="50"/>
        <v>97</v>
      </c>
      <c r="J222" s="73">
        <f t="shared" si="47"/>
        <v>1900</v>
      </c>
      <c r="K222" s="78" t="str">
        <f t="shared" si="48"/>
        <v/>
      </c>
      <c r="M222" s="41" t="e">
        <v>#N/A</v>
      </c>
    </row>
    <row r="223" spans="2:13" hidden="1" outlineLevel="1">
      <c r="B223" s="78"/>
      <c r="C223" s="75"/>
      <c r="D223" s="71"/>
      <c r="E223" s="71"/>
      <c r="F223" s="75"/>
      <c r="G223" s="76"/>
      <c r="I223" s="77">
        <f t="shared" si="50"/>
        <v>98</v>
      </c>
      <c r="J223" s="73">
        <f t="shared" si="47"/>
        <v>1900</v>
      </c>
      <c r="K223" s="78" t="str">
        <f t="shared" si="48"/>
        <v/>
      </c>
      <c r="M223" s="41" t="e">
        <v>#N/A</v>
      </c>
    </row>
    <row r="224" spans="2:13" hidden="1" outlineLevel="1">
      <c r="B224" s="78"/>
      <c r="C224" s="75"/>
      <c r="D224" s="71"/>
      <c r="E224" s="71"/>
      <c r="F224" s="75"/>
      <c r="G224" s="76"/>
      <c r="I224" s="77">
        <f t="shared" si="50"/>
        <v>99</v>
      </c>
      <c r="J224" s="73">
        <f t="shared" si="47"/>
        <v>1900</v>
      </c>
      <c r="K224" s="78" t="str">
        <f t="shared" si="48"/>
        <v/>
      </c>
      <c r="M224" s="41" t="e">
        <v>#N/A</v>
      </c>
    </row>
    <row r="225" spans="2:20" hidden="1" outlineLevel="1">
      <c r="B225" s="78"/>
      <c r="C225" s="75"/>
      <c r="D225" s="71"/>
      <c r="E225" s="71"/>
      <c r="F225" s="75"/>
      <c r="G225" s="76"/>
      <c r="I225" s="77">
        <f t="shared" si="50"/>
        <v>100</v>
      </c>
      <c r="J225" s="73">
        <f t="shared" si="47"/>
        <v>1900</v>
      </c>
      <c r="K225" s="78" t="str">
        <f t="shared" si="48"/>
        <v/>
      </c>
      <c r="M225" s="41" t="e">
        <v>#N/A</v>
      </c>
    </row>
    <row r="226" spans="2:20" hidden="1" outlineLevel="1">
      <c r="B226" s="78"/>
      <c r="C226" s="75"/>
      <c r="D226" s="71"/>
      <c r="E226" s="71"/>
      <c r="F226" s="75"/>
      <c r="G226" s="76"/>
      <c r="I226" s="77">
        <f t="shared" si="50"/>
        <v>101</v>
      </c>
      <c r="J226" s="73">
        <f t="shared" si="47"/>
        <v>1900</v>
      </c>
      <c r="K226" s="78" t="str">
        <f t="shared" si="48"/>
        <v/>
      </c>
      <c r="M226" s="41" t="e">
        <v>#N/A</v>
      </c>
    </row>
    <row r="227" spans="2:20" hidden="1" outlineLevel="1">
      <c r="B227" s="78"/>
      <c r="C227" s="75"/>
      <c r="D227" s="71"/>
      <c r="E227" s="71"/>
      <c r="F227" s="75"/>
      <c r="G227" s="76"/>
      <c r="I227" s="77">
        <f t="shared" si="50"/>
        <v>102</v>
      </c>
      <c r="J227" s="73">
        <f t="shared" si="47"/>
        <v>1900</v>
      </c>
      <c r="K227" s="78" t="str">
        <f t="shared" si="48"/>
        <v/>
      </c>
      <c r="M227" s="41" t="e">
        <v>#N/A</v>
      </c>
      <c r="T227" s="192"/>
    </row>
    <row r="228" spans="2:20" hidden="1" outlineLevel="1">
      <c r="B228" s="82"/>
      <c r="C228" s="79"/>
      <c r="D228" s="80"/>
      <c r="E228" s="80"/>
      <c r="F228" s="79"/>
      <c r="G228" s="81"/>
      <c r="I228" s="64">
        <f t="shared" si="50"/>
        <v>103</v>
      </c>
      <c r="J228" s="73">
        <f t="shared" si="47"/>
        <v>1900</v>
      </c>
      <c r="K228" s="82" t="str">
        <f t="shared" si="48"/>
        <v/>
      </c>
      <c r="M228" s="41" t="e">
        <v>#N/A</v>
      </c>
      <c r="T228" s="192"/>
    </row>
    <row r="229" spans="2:20" hidden="1" outlineLevel="1">
      <c r="B229" s="211"/>
      <c r="C229" s="200"/>
      <c r="D229" s="201"/>
      <c r="E229" s="201"/>
      <c r="F229" s="200"/>
      <c r="G229" s="202"/>
      <c r="I229" s="60">
        <f>I109</f>
        <v>105</v>
      </c>
      <c r="J229" s="73">
        <f t="shared" si="47"/>
        <v>1900</v>
      </c>
      <c r="K229" s="74" t="str">
        <f t="shared" si="48"/>
        <v/>
      </c>
      <c r="M229" s="41" t="e">
        <v>#N/A</v>
      </c>
      <c r="T229" s="192"/>
    </row>
    <row r="230" spans="2:20" hidden="1" outlineLevel="1">
      <c r="B230" s="212"/>
      <c r="C230" s="194"/>
      <c r="D230" s="195"/>
      <c r="E230" s="195"/>
      <c r="F230" s="194"/>
      <c r="G230" s="196"/>
      <c r="I230" s="77">
        <f t="shared" ref="I230:I264" si="51">I110</f>
        <v>106</v>
      </c>
      <c r="J230" s="73">
        <f t="shared" si="47"/>
        <v>1900</v>
      </c>
      <c r="K230" s="78" t="str">
        <f t="shared" si="48"/>
        <v/>
      </c>
      <c r="M230" s="41" t="e">
        <v>#N/A</v>
      </c>
      <c r="T230" s="192"/>
    </row>
    <row r="231" spans="2:20" hidden="1" outlineLevel="1">
      <c r="B231" s="212"/>
      <c r="C231" s="194"/>
      <c r="D231" s="195"/>
      <c r="E231" s="195"/>
      <c r="F231" s="194"/>
      <c r="G231" s="196"/>
      <c r="I231" s="77">
        <f t="shared" si="51"/>
        <v>107</v>
      </c>
      <c r="J231" s="73">
        <f t="shared" si="47"/>
        <v>1900</v>
      </c>
      <c r="K231" s="78" t="str">
        <f t="shared" si="48"/>
        <v/>
      </c>
      <c r="M231" s="41" t="e">
        <v>#N/A</v>
      </c>
      <c r="T231" s="192"/>
    </row>
    <row r="232" spans="2:20" hidden="1" outlineLevel="1">
      <c r="B232" s="212"/>
      <c r="C232" s="194"/>
      <c r="D232" s="195"/>
      <c r="E232" s="195"/>
      <c r="F232" s="194"/>
      <c r="G232" s="196"/>
      <c r="I232" s="77">
        <f t="shared" si="51"/>
        <v>108</v>
      </c>
      <c r="J232" s="73">
        <f t="shared" si="47"/>
        <v>1900</v>
      </c>
      <c r="K232" s="78" t="str">
        <f t="shared" si="48"/>
        <v/>
      </c>
      <c r="M232" s="41" t="e">
        <v>#N/A</v>
      </c>
      <c r="T232" s="192"/>
    </row>
    <row r="233" spans="2:20" hidden="1" outlineLevel="1">
      <c r="B233" s="212"/>
      <c r="C233" s="194"/>
      <c r="D233" s="195"/>
      <c r="E233" s="195"/>
      <c r="F233" s="194"/>
      <c r="G233" s="196"/>
      <c r="I233" s="77">
        <f t="shared" si="51"/>
        <v>109</v>
      </c>
      <c r="J233" s="73">
        <f t="shared" si="47"/>
        <v>1900</v>
      </c>
      <c r="K233" s="78" t="str">
        <f t="shared" si="48"/>
        <v/>
      </c>
      <c r="M233" s="41" t="e">
        <v>#N/A</v>
      </c>
      <c r="T233" s="192"/>
    </row>
    <row r="234" spans="2:20" hidden="1" outlineLevel="1">
      <c r="B234" s="212"/>
      <c r="C234" s="194"/>
      <c r="D234" s="195"/>
      <c r="E234" s="195"/>
      <c r="F234" s="194"/>
      <c r="G234" s="196"/>
      <c r="I234" s="77">
        <f t="shared" si="51"/>
        <v>110</v>
      </c>
      <c r="J234" s="73">
        <f t="shared" si="47"/>
        <v>1900</v>
      </c>
      <c r="K234" s="78" t="str">
        <f t="shared" si="48"/>
        <v/>
      </c>
      <c r="M234" s="41" t="e">
        <v>#N/A</v>
      </c>
      <c r="T234" s="192"/>
    </row>
    <row r="235" spans="2:20" hidden="1" outlineLevel="1">
      <c r="B235" s="212"/>
      <c r="C235" s="194"/>
      <c r="D235" s="195"/>
      <c r="E235" s="195"/>
      <c r="F235" s="194"/>
      <c r="G235" s="196"/>
      <c r="I235" s="77">
        <f t="shared" si="51"/>
        <v>111</v>
      </c>
      <c r="J235" s="73">
        <f t="shared" si="47"/>
        <v>1900</v>
      </c>
      <c r="K235" s="78" t="str">
        <f t="shared" si="48"/>
        <v/>
      </c>
      <c r="M235" s="41" t="e">
        <v>#N/A</v>
      </c>
      <c r="T235" s="192"/>
    </row>
    <row r="236" spans="2:20" hidden="1" outlineLevel="1">
      <c r="B236" s="212"/>
      <c r="C236" s="194"/>
      <c r="D236" s="195"/>
      <c r="E236" s="195"/>
      <c r="F236" s="194"/>
      <c r="G236" s="196"/>
      <c r="I236" s="77">
        <f t="shared" si="51"/>
        <v>112</v>
      </c>
      <c r="J236" s="73">
        <f t="shared" si="47"/>
        <v>1900</v>
      </c>
      <c r="K236" s="78" t="str">
        <f t="shared" si="48"/>
        <v/>
      </c>
      <c r="M236" s="41" t="e">
        <v>#N/A</v>
      </c>
      <c r="T236" s="192"/>
    </row>
    <row r="237" spans="2:20" hidden="1" outlineLevel="1">
      <c r="B237" s="212"/>
      <c r="C237" s="194"/>
      <c r="D237" s="195"/>
      <c r="E237" s="195"/>
      <c r="F237" s="194"/>
      <c r="G237" s="196"/>
      <c r="I237" s="77">
        <f t="shared" si="51"/>
        <v>113</v>
      </c>
      <c r="J237" s="73">
        <f t="shared" si="47"/>
        <v>1900</v>
      </c>
      <c r="K237" s="78" t="str">
        <f t="shared" si="48"/>
        <v/>
      </c>
      <c r="M237" s="41" t="e">
        <v>#N/A</v>
      </c>
      <c r="T237" s="192"/>
    </row>
    <row r="238" spans="2:20" hidden="1" outlineLevel="1">
      <c r="B238" s="212"/>
      <c r="C238" s="194"/>
      <c r="D238" s="195"/>
      <c r="E238" s="195"/>
      <c r="F238" s="194"/>
      <c r="G238" s="196"/>
      <c r="I238" s="77">
        <f t="shared" si="51"/>
        <v>114</v>
      </c>
      <c r="J238" s="73">
        <f t="shared" si="47"/>
        <v>1900</v>
      </c>
      <c r="K238" s="78" t="str">
        <f t="shared" si="48"/>
        <v/>
      </c>
      <c r="M238" s="41" t="e">
        <v>#N/A</v>
      </c>
      <c r="T238" s="192"/>
    </row>
    <row r="239" spans="2:20" hidden="1" outlineLevel="1">
      <c r="B239" s="212"/>
      <c r="C239" s="194"/>
      <c r="D239" s="195"/>
      <c r="E239" s="195"/>
      <c r="F239" s="194"/>
      <c r="G239" s="196"/>
      <c r="I239" s="77">
        <f t="shared" si="51"/>
        <v>115</v>
      </c>
      <c r="J239" s="73">
        <f t="shared" si="47"/>
        <v>1900</v>
      </c>
      <c r="K239" s="78" t="str">
        <f t="shared" si="48"/>
        <v/>
      </c>
      <c r="M239" s="41" t="e">
        <v>#N/A</v>
      </c>
      <c r="T239" s="192"/>
    </row>
    <row r="240" spans="2:20" hidden="1" outlineLevel="1">
      <c r="B240" s="213"/>
      <c r="C240" s="197"/>
      <c r="D240" s="198"/>
      <c r="E240" s="198"/>
      <c r="F240" s="197"/>
      <c r="G240" s="199"/>
      <c r="I240" s="64">
        <f t="shared" si="51"/>
        <v>116</v>
      </c>
      <c r="J240" s="73">
        <f t="shared" si="47"/>
        <v>1900</v>
      </c>
      <c r="K240" s="82" t="str">
        <f t="shared" si="48"/>
        <v/>
      </c>
      <c r="M240" s="41" t="e">
        <v>#N/A</v>
      </c>
      <c r="T240" s="192"/>
    </row>
    <row r="241" spans="2:20" hidden="1" outlineLevel="1">
      <c r="B241" s="211"/>
      <c r="C241" s="200"/>
      <c r="D241" s="201"/>
      <c r="E241" s="201"/>
      <c r="F241" s="200"/>
      <c r="G241" s="202"/>
      <c r="I241" s="60">
        <f>I121</f>
        <v>118</v>
      </c>
      <c r="J241" s="73">
        <f t="shared" si="47"/>
        <v>1900</v>
      </c>
      <c r="K241" s="74" t="str">
        <f t="shared" si="48"/>
        <v/>
      </c>
      <c r="M241" s="41" t="e">
        <v>#N/A</v>
      </c>
      <c r="T241" s="192"/>
    </row>
    <row r="242" spans="2:20" hidden="1" outlineLevel="1">
      <c r="B242" s="212"/>
      <c r="C242" s="194"/>
      <c r="D242" s="195"/>
      <c r="E242" s="195"/>
      <c r="F242" s="194"/>
      <c r="G242" s="196"/>
      <c r="I242" s="77">
        <f t="shared" si="51"/>
        <v>119</v>
      </c>
      <c r="J242" s="73">
        <f t="shared" si="47"/>
        <v>1900</v>
      </c>
      <c r="K242" s="78" t="str">
        <f t="shared" si="48"/>
        <v/>
      </c>
      <c r="M242" s="41" t="e">
        <v>#N/A</v>
      </c>
      <c r="T242" s="192"/>
    </row>
    <row r="243" spans="2:20" hidden="1" outlineLevel="1">
      <c r="B243" s="212"/>
      <c r="C243" s="194"/>
      <c r="D243" s="195"/>
      <c r="E243" s="195"/>
      <c r="F243" s="194"/>
      <c r="G243" s="196"/>
      <c r="I243" s="77">
        <f t="shared" si="51"/>
        <v>120</v>
      </c>
      <c r="J243" s="73">
        <f t="shared" si="47"/>
        <v>1900</v>
      </c>
      <c r="K243" s="78" t="str">
        <f t="shared" si="48"/>
        <v/>
      </c>
      <c r="M243" s="41" t="e">
        <v>#N/A</v>
      </c>
      <c r="T243" s="192"/>
    </row>
    <row r="244" spans="2:20" hidden="1" outlineLevel="1">
      <c r="B244" s="212"/>
      <c r="C244" s="194"/>
      <c r="D244" s="195"/>
      <c r="E244" s="195"/>
      <c r="F244" s="194"/>
      <c r="G244" s="196"/>
      <c r="I244" s="77">
        <f t="shared" si="51"/>
        <v>121</v>
      </c>
      <c r="J244" s="73">
        <f t="shared" si="47"/>
        <v>1900</v>
      </c>
      <c r="K244" s="78" t="str">
        <f t="shared" si="48"/>
        <v/>
      </c>
      <c r="M244" s="41" t="e">
        <v>#N/A</v>
      </c>
      <c r="T244" s="192"/>
    </row>
    <row r="245" spans="2:20" hidden="1" outlineLevel="1">
      <c r="B245" s="212"/>
      <c r="C245" s="194"/>
      <c r="D245" s="195"/>
      <c r="E245" s="195"/>
      <c r="F245" s="194"/>
      <c r="G245" s="196"/>
      <c r="I245" s="77">
        <f t="shared" si="51"/>
        <v>122</v>
      </c>
      <c r="J245" s="73">
        <f t="shared" si="47"/>
        <v>1900</v>
      </c>
      <c r="K245" s="78" t="str">
        <f t="shared" si="48"/>
        <v/>
      </c>
      <c r="M245" s="41" t="e">
        <v>#N/A</v>
      </c>
      <c r="T245" s="192"/>
    </row>
    <row r="246" spans="2:20" hidden="1" outlineLevel="1">
      <c r="B246" s="212"/>
      <c r="C246" s="194"/>
      <c r="D246" s="195"/>
      <c r="E246" s="195"/>
      <c r="F246" s="194"/>
      <c r="G246" s="196"/>
      <c r="I246" s="77">
        <f t="shared" si="51"/>
        <v>123</v>
      </c>
      <c r="J246" s="73">
        <f t="shared" si="47"/>
        <v>1900</v>
      </c>
      <c r="K246" s="78" t="str">
        <f t="shared" si="48"/>
        <v/>
      </c>
      <c r="M246" s="41" t="e">
        <v>#N/A</v>
      </c>
      <c r="T246" s="192"/>
    </row>
    <row r="247" spans="2:20" hidden="1" outlineLevel="1">
      <c r="B247" s="212"/>
      <c r="C247" s="194"/>
      <c r="D247" s="195"/>
      <c r="E247" s="195"/>
      <c r="F247" s="194"/>
      <c r="G247" s="196"/>
      <c r="I247" s="77">
        <f t="shared" si="51"/>
        <v>124</v>
      </c>
      <c r="J247" s="73">
        <f t="shared" si="47"/>
        <v>1900</v>
      </c>
      <c r="K247" s="78" t="str">
        <f t="shared" si="48"/>
        <v/>
      </c>
      <c r="M247" s="41" t="e">
        <v>#N/A</v>
      </c>
      <c r="T247" s="192"/>
    </row>
    <row r="248" spans="2:20" hidden="1" outlineLevel="1">
      <c r="B248" s="212"/>
      <c r="C248" s="194"/>
      <c r="D248" s="195"/>
      <c r="E248" s="195"/>
      <c r="F248" s="194"/>
      <c r="G248" s="196"/>
      <c r="I248" s="77">
        <f t="shared" si="51"/>
        <v>125</v>
      </c>
      <c r="J248" s="73">
        <f t="shared" si="47"/>
        <v>1900</v>
      </c>
      <c r="K248" s="78" t="str">
        <f t="shared" si="48"/>
        <v/>
      </c>
      <c r="M248" s="41" t="e">
        <v>#N/A</v>
      </c>
      <c r="T248" s="192"/>
    </row>
    <row r="249" spans="2:20" hidden="1" outlineLevel="1">
      <c r="B249" s="212"/>
      <c r="C249" s="194"/>
      <c r="D249" s="195"/>
      <c r="E249" s="195"/>
      <c r="F249" s="194"/>
      <c r="G249" s="196"/>
      <c r="I249" s="77">
        <f t="shared" si="51"/>
        <v>126</v>
      </c>
      <c r="J249" s="73">
        <f t="shared" si="47"/>
        <v>1900</v>
      </c>
      <c r="K249" s="78" t="str">
        <f t="shared" si="48"/>
        <v/>
      </c>
      <c r="M249" s="41" t="e">
        <v>#N/A</v>
      </c>
      <c r="T249" s="192"/>
    </row>
    <row r="250" spans="2:20" hidden="1" outlineLevel="1">
      <c r="B250" s="212"/>
      <c r="C250" s="194"/>
      <c r="D250" s="195"/>
      <c r="E250" s="195"/>
      <c r="F250" s="194"/>
      <c r="G250" s="196"/>
      <c r="I250" s="77">
        <f t="shared" si="51"/>
        <v>127</v>
      </c>
      <c r="J250" s="73">
        <f t="shared" si="47"/>
        <v>1900</v>
      </c>
      <c r="K250" s="78" t="str">
        <f t="shared" si="48"/>
        <v/>
      </c>
      <c r="M250" s="41" t="e">
        <v>#N/A</v>
      </c>
      <c r="T250" s="192"/>
    </row>
    <row r="251" spans="2:20" hidden="1" outlineLevel="1">
      <c r="B251" s="212"/>
      <c r="C251" s="194"/>
      <c r="D251" s="195"/>
      <c r="E251" s="195"/>
      <c r="F251" s="194"/>
      <c r="G251" s="196"/>
      <c r="I251" s="77">
        <f t="shared" si="51"/>
        <v>128</v>
      </c>
      <c r="J251" s="73">
        <f t="shared" si="47"/>
        <v>1900</v>
      </c>
      <c r="K251" s="78" t="str">
        <f t="shared" si="48"/>
        <v/>
      </c>
      <c r="M251" s="41" t="e">
        <v>#N/A</v>
      </c>
      <c r="O251" s="192"/>
      <c r="P251" s="192"/>
      <c r="T251" s="192"/>
    </row>
    <row r="252" spans="2:20" hidden="1" outlineLevel="1" collapsed="1">
      <c r="B252" s="213"/>
      <c r="C252" s="197"/>
      <c r="D252" s="198"/>
      <c r="E252" s="198"/>
      <c r="F252" s="197"/>
      <c r="G252" s="199"/>
      <c r="I252" s="64">
        <f t="shared" si="51"/>
        <v>129</v>
      </c>
      <c r="J252" s="73">
        <f t="shared" si="47"/>
        <v>1900</v>
      </c>
      <c r="K252" s="82" t="str">
        <f t="shared" si="48"/>
        <v/>
      </c>
      <c r="M252" s="41" t="e">
        <v>#N/A</v>
      </c>
      <c r="O252" s="192"/>
      <c r="P252" s="192"/>
      <c r="T252" s="192"/>
    </row>
    <row r="253" spans="2:20" hidden="1" outlineLevel="1">
      <c r="B253" s="211"/>
      <c r="C253" s="200"/>
      <c r="D253" s="201"/>
      <c r="E253" s="201"/>
      <c r="F253" s="200"/>
      <c r="G253" s="202"/>
      <c r="I253" s="60">
        <f>I133</f>
        <v>1</v>
      </c>
      <c r="J253" s="73">
        <f t="shared" si="47"/>
        <v>1900</v>
      </c>
      <c r="K253" s="74" t="str">
        <f t="shared" si="48"/>
        <v/>
      </c>
      <c r="M253" s="41" t="e">
        <v>#N/A</v>
      </c>
      <c r="O253" s="192"/>
      <c r="P253" s="192"/>
      <c r="T253" s="192"/>
    </row>
    <row r="254" spans="2:20" hidden="1" outlineLevel="1">
      <c r="B254" s="212"/>
      <c r="C254" s="194"/>
      <c r="D254" s="195"/>
      <c r="E254" s="195"/>
      <c r="F254" s="194"/>
      <c r="G254" s="196"/>
      <c r="I254" s="77">
        <f t="shared" si="51"/>
        <v>2</v>
      </c>
      <c r="J254" s="73">
        <f t="shared" si="47"/>
        <v>1900</v>
      </c>
      <c r="K254" s="78" t="str">
        <f t="shared" si="48"/>
        <v/>
      </c>
      <c r="M254" s="41" t="e">
        <v>#N/A</v>
      </c>
      <c r="O254" s="192"/>
      <c r="P254" s="192"/>
      <c r="T254" s="192"/>
    </row>
    <row r="255" spans="2:20" hidden="1" outlineLevel="1">
      <c r="B255" s="212"/>
      <c r="C255" s="194"/>
      <c r="D255" s="195"/>
      <c r="E255" s="195"/>
      <c r="F255" s="194"/>
      <c r="G255" s="196"/>
      <c r="I255" s="77">
        <f t="shared" si="51"/>
        <v>3</v>
      </c>
      <c r="J255" s="73">
        <f t="shared" si="47"/>
        <v>1900</v>
      </c>
      <c r="K255" s="78" t="str">
        <f t="shared" si="48"/>
        <v/>
      </c>
      <c r="M255" s="41" t="e">
        <v>#N/A</v>
      </c>
      <c r="O255" s="192"/>
      <c r="P255" s="192"/>
      <c r="T255" s="192"/>
    </row>
    <row r="256" spans="2:20" hidden="1" outlineLevel="1">
      <c r="B256" s="212"/>
      <c r="C256" s="194"/>
      <c r="D256" s="195"/>
      <c r="E256" s="195"/>
      <c r="F256" s="194"/>
      <c r="G256" s="196"/>
      <c r="I256" s="77">
        <f t="shared" si="51"/>
        <v>4</v>
      </c>
      <c r="J256" s="73">
        <f t="shared" si="47"/>
        <v>1900</v>
      </c>
      <c r="K256" s="78" t="str">
        <f t="shared" si="48"/>
        <v/>
      </c>
      <c r="M256" s="41" t="e">
        <v>#N/A</v>
      </c>
      <c r="O256" s="192"/>
      <c r="P256" s="192"/>
      <c r="T256" s="192"/>
    </row>
    <row r="257" spans="2:20" hidden="1" outlineLevel="1">
      <c r="B257" s="212"/>
      <c r="C257" s="194"/>
      <c r="D257" s="195"/>
      <c r="E257" s="195"/>
      <c r="F257" s="194"/>
      <c r="G257" s="196"/>
      <c r="I257" s="77">
        <f t="shared" si="51"/>
        <v>5</v>
      </c>
      <c r="J257" s="73">
        <f t="shared" ref="J257:J264" si="52">YEAR(B257)</f>
        <v>1900</v>
      </c>
      <c r="K257" s="78" t="str">
        <f t="shared" ref="K257:K264" si="53">IF(ISNUMBER(F257),IF(F257&lt;&gt;0,B257,""),"")</f>
        <v/>
      </c>
      <c r="M257" s="41" t="e">
        <v>#N/A</v>
      </c>
      <c r="O257" s="192"/>
      <c r="P257" s="192"/>
      <c r="T257" s="192"/>
    </row>
    <row r="258" spans="2:20" hidden="1" outlineLevel="1">
      <c r="B258" s="212"/>
      <c r="C258" s="194"/>
      <c r="D258" s="195"/>
      <c r="E258" s="195"/>
      <c r="F258" s="194"/>
      <c r="G258" s="196"/>
      <c r="I258" s="77">
        <f t="shared" si="51"/>
        <v>6</v>
      </c>
      <c r="J258" s="73">
        <f t="shared" si="52"/>
        <v>1900</v>
      </c>
      <c r="K258" s="78" t="str">
        <f t="shared" si="53"/>
        <v/>
      </c>
      <c r="M258" s="41" t="e">
        <v>#N/A</v>
      </c>
      <c r="O258" s="192"/>
      <c r="P258" s="192"/>
      <c r="T258" s="192"/>
    </row>
    <row r="259" spans="2:20" hidden="1" outlineLevel="1">
      <c r="B259" s="212"/>
      <c r="C259" s="194"/>
      <c r="D259" s="195"/>
      <c r="E259" s="195"/>
      <c r="F259" s="194"/>
      <c r="G259" s="196"/>
      <c r="I259" s="77">
        <f t="shared" si="51"/>
        <v>7</v>
      </c>
      <c r="J259" s="73">
        <f t="shared" si="52"/>
        <v>1900</v>
      </c>
      <c r="K259" s="78" t="str">
        <f t="shared" si="53"/>
        <v/>
      </c>
      <c r="M259" s="41" t="e">
        <v>#N/A</v>
      </c>
      <c r="O259" s="192"/>
      <c r="P259" s="192"/>
    </row>
    <row r="260" spans="2:20" hidden="1" outlineLevel="1">
      <c r="B260" s="212"/>
      <c r="C260" s="194"/>
      <c r="D260" s="195"/>
      <c r="E260" s="195"/>
      <c r="F260" s="194"/>
      <c r="G260" s="196"/>
      <c r="I260" s="77">
        <f t="shared" si="51"/>
        <v>8</v>
      </c>
      <c r="J260" s="73">
        <f t="shared" si="52"/>
        <v>1900</v>
      </c>
      <c r="K260" s="78" t="str">
        <f t="shared" si="53"/>
        <v/>
      </c>
      <c r="M260" s="41" t="e">
        <v>#N/A</v>
      </c>
      <c r="O260" s="192"/>
      <c r="P260" s="192"/>
    </row>
    <row r="261" spans="2:20" hidden="1" outlineLevel="1">
      <c r="B261" s="212"/>
      <c r="C261" s="194"/>
      <c r="D261" s="195"/>
      <c r="E261" s="195"/>
      <c r="F261" s="194"/>
      <c r="G261" s="196"/>
      <c r="I261" s="77">
        <f t="shared" si="51"/>
        <v>9</v>
      </c>
      <c r="J261" s="73">
        <f t="shared" si="52"/>
        <v>1900</v>
      </c>
      <c r="K261" s="78" t="str">
        <f t="shared" si="53"/>
        <v/>
      </c>
      <c r="M261" s="41" t="e">
        <v>#N/A</v>
      </c>
      <c r="O261" s="192"/>
      <c r="P261" s="192"/>
    </row>
    <row r="262" spans="2:20" hidden="1" outlineLevel="1">
      <c r="B262" s="212"/>
      <c r="C262" s="194"/>
      <c r="D262" s="195"/>
      <c r="E262" s="195"/>
      <c r="F262" s="194"/>
      <c r="G262" s="196"/>
      <c r="I262" s="77">
        <f t="shared" si="51"/>
        <v>10</v>
      </c>
      <c r="J262" s="73">
        <f t="shared" si="52"/>
        <v>1900</v>
      </c>
      <c r="K262" s="78" t="str">
        <f t="shared" si="53"/>
        <v/>
      </c>
      <c r="M262" s="41" t="e">
        <v>#N/A</v>
      </c>
    </row>
    <row r="263" spans="2:20" hidden="1" outlineLevel="1">
      <c r="B263" s="212"/>
      <c r="C263" s="194"/>
      <c r="D263" s="195"/>
      <c r="E263" s="195"/>
      <c r="F263" s="194"/>
      <c r="G263" s="196"/>
      <c r="I263" s="77">
        <f t="shared" si="51"/>
        <v>11</v>
      </c>
      <c r="J263" s="73">
        <f t="shared" si="52"/>
        <v>1900</v>
      </c>
      <c r="K263" s="78" t="str">
        <f t="shared" si="53"/>
        <v/>
      </c>
      <c r="M263" s="41" t="e">
        <v>#N/A</v>
      </c>
    </row>
    <row r="264" spans="2:20" hidden="1" outlineLevel="1">
      <c r="B264" s="213"/>
      <c r="C264" s="197"/>
      <c r="D264" s="198"/>
      <c r="E264" s="198"/>
      <c r="F264" s="197"/>
      <c r="G264" s="199"/>
      <c r="I264" s="64">
        <f t="shared" si="51"/>
        <v>12</v>
      </c>
      <c r="J264" s="73">
        <f t="shared" si="52"/>
        <v>1900</v>
      </c>
      <c r="K264" s="82" t="str">
        <f t="shared" si="53"/>
        <v/>
      </c>
      <c r="M264" s="41" t="e">
        <v>#N/A</v>
      </c>
    </row>
    <row r="265" spans="2:20" hidden="1" outlineLevel="1">
      <c r="B265" s="211"/>
      <c r="C265" s="200"/>
      <c r="D265" s="201"/>
      <c r="E265" s="201"/>
      <c r="F265" s="200"/>
      <c r="G265" s="202"/>
      <c r="I265" s="60">
        <f>I145</f>
        <v>14</v>
      </c>
      <c r="J265" s="73">
        <f t="shared" ref="J265:J276" si="54">YEAR(B265)</f>
        <v>1900</v>
      </c>
      <c r="K265" s="74" t="str">
        <f t="shared" ref="K265:K276" si="55">IF(ISNUMBER(F265),IF(F265&lt;&gt;0,B265,""),"")</f>
        <v/>
      </c>
      <c r="M265" s="41" t="e">
        <v>#N/A</v>
      </c>
      <c r="O265" s="192"/>
      <c r="P265" s="192"/>
      <c r="T265" s="192"/>
    </row>
    <row r="266" spans="2:20" hidden="1" outlineLevel="1">
      <c r="B266" s="212"/>
      <c r="C266" s="194"/>
      <c r="D266" s="195"/>
      <c r="E266" s="195"/>
      <c r="F266" s="194"/>
      <c r="G266" s="196"/>
      <c r="I266" s="77">
        <f t="shared" ref="I266:I276" si="56">I146</f>
        <v>15</v>
      </c>
      <c r="J266" s="73">
        <f t="shared" si="54"/>
        <v>1900</v>
      </c>
      <c r="K266" s="78" t="str">
        <f t="shared" si="55"/>
        <v/>
      </c>
      <c r="M266" s="41" t="e">
        <v>#N/A</v>
      </c>
      <c r="O266" s="192"/>
      <c r="P266" s="192"/>
      <c r="T266" s="192"/>
    </row>
    <row r="267" spans="2:20" hidden="1" outlineLevel="1">
      <c r="B267" s="212"/>
      <c r="C267" s="194"/>
      <c r="D267" s="195"/>
      <c r="E267" s="195"/>
      <c r="F267" s="194"/>
      <c r="G267" s="196"/>
      <c r="I267" s="77">
        <f t="shared" si="56"/>
        <v>16</v>
      </c>
      <c r="J267" s="73">
        <f t="shared" si="54"/>
        <v>1900</v>
      </c>
      <c r="K267" s="78" t="str">
        <f t="shared" si="55"/>
        <v/>
      </c>
      <c r="M267" s="41" t="e">
        <v>#N/A</v>
      </c>
      <c r="O267" s="192"/>
      <c r="P267" s="192"/>
      <c r="T267" s="192"/>
    </row>
    <row r="268" spans="2:20" hidden="1" outlineLevel="1">
      <c r="B268" s="212"/>
      <c r="C268" s="194"/>
      <c r="D268" s="195"/>
      <c r="E268" s="195"/>
      <c r="F268" s="194"/>
      <c r="G268" s="196"/>
      <c r="I268" s="77">
        <f t="shared" si="56"/>
        <v>17</v>
      </c>
      <c r="J268" s="73">
        <f t="shared" si="54"/>
        <v>1900</v>
      </c>
      <c r="K268" s="78" t="str">
        <f t="shared" si="55"/>
        <v/>
      </c>
      <c r="M268" s="41" t="e">
        <v>#N/A</v>
      </c>
      <c r="O268" s="192"/>
      <c r="P268" s="192"/>
      <c r="T268" s="192"/>
    </row>
    <row r="269" spans="2:20" hidden="1" outlineLevel="1">
      <c r="B269" s="212"/>
      <c r="C269" s="194"/>
      <c r="D269" s="195"/>
      <c r="E269" s="195"/>
      <c r="F269" s="194"/>
      <c r="G269" s="196"/>
      <c r="I269" s="77">
        <f t="shared" si="56"/>
        <v>18</v>
      </c>
      <c r="J269" s="73">
        <f t="shared" si="54"/>
        <v>1900</v>
      </c>
      <c r="K269" s="78" t="str">
        <f t="shared" si="55"/>
        <v/>
      </c>
      <c r="M269" s="41" t="e">
        <v>#N/A</v>
      </c>
      <c r="O269" s="192"/>
      <c r="P269" s="192"/>
      <c r="T269" s="192"/>
    </row>
    <row r="270" spans="2:20" hidden="1" outlineLevel="1">
      <c r="B270" s="212"/>
      <c r="C270" s="194"/>
      <c r="D270" s="195"/>
      <c r="E270" s="195"/>
      <c r="F270" s="194"/>
      <c r="G270" s="196"/>
      <c r="I270" s="77">
        <f t="shared" si="56"/>
        <v>19</v>
      </c>
      <c r="J270" s="73">
        <f t="shared" si="54"/>
        <v>1900</v>
      </c>
      <c r="K270" s="78" t="str">
        <f t="shared" si="55"/>
        <v/>
      </c>
      <c r="M270" s="41" t="e">
        <v>#N/A</v>
      </c>
      <c r="O270" s="192"/>
      <c r="P270" s="192"/>
      <c r="T270" s="192"/>
    </row>
    <row r="271" spans="2:20" hidden="1" outlineLevel="1">
      <c r="B271" s="212"/>
      <c r="C271" s="194"/>
      <c r="D271" s="195"/>
      <c r="E271" s="195"/>
      <c r="F271" s="194"/>
      <c r="G271" s="196"/>
      <c r="I271" s="77">
        <f t="shared" si="56"/>
        <v>20</v>
      </c>
      <c r="J271" s="73">
        <f t="shared" si="54"/>
        <v>1900</v>
      </c>
      <c r="K271" s="78" t="str">
        <f t="shared" si="55"/>
        <v/>
      </c>
      <c r="M271" s="41" t="e">
        <v>#N/A</v>
      </c>
      <c r="O271" s="192"/>
      <c r="P271" s="192"/>
    </row>
    <row r="272" spans="2:20" hidden="1" outlineLevel="1">
      <c r="B272" s="212"/>
      <c r="C272" s="194"/>
      <c r="D272" s="195"/>
      <c r="E272" s="195"/>
      <c r="F272" s="194"/>
      <c r="G272" s="196"/>
      <c r="I272" s="77">
        <f t="shared" si="56"/>
        <v>21</v>
      </c>
      <c r="J272" s="73">
        <f t="shared" si="54"/>
        <v>1900</v>
      </c>
      <c r="K272" s="78" t="str">
        <f t="shared" si="55"/>
        <v/>
      </c>
      <c r="M272" s="41" t="e">
        <v>#N/A</v>
      </c>
      <c r="O272" s="192"/>
      <c r="P272" s="192"/>
    </row>
    <row r="273" spans="2:16" hidden="1" outlineLevel="1">
      <c r="B273" s="212"/>
      <c r="C273" s="194"/>
      <c r="D273" s="195"/>
      <c r="E273" s="195"/>
      <c r="F273" s="194"/>
      <c r="G273" s="196"/>
      <c r="I273" s="77">
        <f t="shared" si="56"/>
        <v>22</v>
      </c>
      <c r="J273" s="73">
        <f t="shared" si="54"/>
        <v>1900</v>
      </c>
      <c r="K273" s="78" t="str">
        <f t="shared" si="55"/>
        <v/>
      </c>
      <c r="M273" s="41" t="e">
        <v>#N/A</v>
      </c>
      <c r="O273" s="192"/>
      <c r="P273" s="192"/>
    </row>
    <row r="274" spans="2:16" hidden="1" outlineLevel="1">
      <c r="B274" s="212"/>
      <c r="C274" s="194"/>
      <c r="D274" s="195"/>
      <c r="E274" s="195"/>
      <c r="F274" s="194"/>
      <c r="G274" s="196"/>
      <c r="I274" s="77">
        <f t="shared" si="56"/>
        <v>23</v>
      </c>
      <c r="J274" s="73">
        <f t="shared" si="54"/>
        <v>1900</v>
      </c>
      <c r="K274" s="78" t="str">
        <f t="shared" si="55"/>
        <v/>
      </c>
      <c r="M274" s="41" t="e">
        <v>#N/A</v>
      </c>
    </row>
    <row r="275" spans="2:16" hidden="1" outlineLevel="1">
      <c r="B275" s="212"/>
      <c r="C275" s="194"/>
      <c r="D275" s="195"/>
      <c r="E275" s="195"/>
      <c r="F275" s="194"/>
      <c r="G275" s="196"/>
      <c r="I275" s="77">
        <f t="shared" si="56"/>
        <v>24</v>
      </c>
      <c r="J275" s="73">
        <f t="shared" si="54"/>
        <v>1900</v>
      </c>
      <c r="K275" s="78" t="str">
        <f t="shared" si="55"/>
        <v/>
      </c>
      <c r="M275" s="41" t="e">
        <v>#N/A</v>
      </c>
    </row>
    <row r="276" spans="2:16" hidden="1" outlineLevel="1">
      <c r="B276" s="213"/>
      <c r="C276" s="197"/>
      <c r="D276" s="198"/>
      <c r="E276" s="198"/>
      <c r="F276" s="197"/>
      <c r="G276" s="199"/>
      <c r="I276" s="64">
        <f t="shared" si="56"/>
        <v>25</v>
      </c>
      <c r="J276" s="73">
        <f t="shared" si="54"/>
        <v>1900</v>
      </c>
      <c r="K276" s="82" t="str">
        <f t="shared" si="55"/>
        <v/>
      </c>
      <c r="M276" s="41" t="e">
        <v>#N/A</v>
      </c>
    </row>
    <row r="277" spans="2:16" collapsed="1"/>
  </sheetData>
  <printOptions horizontalCentered="1"/>
  <pageMargins left="0.25" right="0.25" top="0.75" bottom="0.75" header="0.3" footer="0.3"/>
  <pageSetup scale="87" orientation="portrait" r:id="rId1"/>
  <headerFooter alignWithMargins="0">
    <oddFooter>&amp;L&amp;8NPC Group - &amp;F   ( &amp;A )&amp;C &amp;R 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P77"/>
  <sheetViews>
    <sheetView workbookViewId="0">
      <selection activeCell="H32" sqref="H3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3.83203125" style="121" customWidth="1"/>
    <col min="9" max="10" width="12.5" style="121" customWidth="1"/>
    <col min="11" max="11" width="11.6640625" style="121" customWidth="1"/>
    <col min="12" max="12" width="9.33203125" style="121"/>
    <col min="13" max="13" width="6.1640625" style="121" customWidth="1"/>
    <col min="14" max="14" width="7.83203125" style="172" customWidth="1"/>
    <col min="15" max="16384" width="9.33203125" style="121"/>
  </cols>
  <sheetData>
    <row r="1" spans="2:16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6" ht="15.75">
      <c r="B2" s="119" t="s">
        <v>101</v>
      </c>
      <c r="C2" s="120"/>
      <c r="D2" s="120"/>
      <c r="E2" s="120"/>
      <c r="F2" s="120"/>
      <c r="G2" s="120"/>
      <c r="H2" s="120"/>
      <c r="I2" s="120"/>
      <c r="J2" s="120"/>
    </row>
    <row r="3" spans="2:16" ht="15.75">
      <c r="B3" s="119"/>
      <c r="C3" s="120"/>
      <c r="D3" s="120"/>
      <c r="E3" s="120"/>
      <c r="F3" s="120"/>
      <c r="G3" s="120"/>
      <c r="H3" s="120"/>
      <c r="I3" s="120"/>
      <c r="J3" s="120"/>
    </row>
    <row r="4" spans="2:16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6" ht="51.75" customHeight="1">
      <c r="B5" s="124" t="s">
        <v>0</v>
      </c>
      <c r="C5" s="125" t="s">
        <v>107</v>
      </c>
      <c r="D5" s="125" t="s">
        <v>102</v>
      </c>
      <c r="E5" s="17" t="s">
        <v>55</v>
      </c>
      <c r="H5" s="172"/>
      <c r="N5" s="121"/>
    </row>
    <row r="6" spans="2:16" ht="24" customHeight="1">
      <c r="B6" s="126"/>
      <c r="C6" s="128" t="s">
        <v>9</v>
      </c>
      <c r="D6" s="127" t="s">
        <v>103</v>
      </c>
      <c r="E6" s="19" t="s">
        <v>9</v>
      </c>
      <c r="H6" s="172"/>
      <c r="N6" s="121"/>
    </row>
    <row r="7" spans="2:16">
      <c r="C7" s="129" t="s">
        <v>2</v>
      </c>
      <c r="D7" s="129" t="s">
        <v>4</v>
      </c>
      <c r="E7" s="129" t="s">
        <v>25</v>
      </c>
      <c r="H7" s="172"/>
      <c r="N7" s="121"/>
    </row>
    <row r="8" spans="2:16" ht="6" customHeight="1">
      <c r="H8" s="172"/>
      <c r="N8" s="121"/>
    </row>
    <row r="9" spans="2:16" ht="15.75">
      <c r="B9" s="43" t="str">
        <f>B2</f>
        <v>2017 IRP Aeolus-Bridger/Anticline Transmission</v>
      </c>
      <c r="D9" s="123"/>
      <c r="E9" s="123"/>
      <c r="N9" s="121"/>
    </row>
    <row r="10" spans="2:16">
      <c r="B10" s="140">
        <v>2020</v>
      </c>
      <c r="C10" s="132">
        <f>ROUND(C11/(1+$D44),2)</f>
        <v>47.55</v>
      </c>
      <c r="D10" s="140">
        <v>2</v>
      </c>
      <c r="E10" s="134">
        <f t="shared" ref="E10:E32" si="0">SUM(C10:C10)*D10/12</f>
        <v>7.9249999999999998</v>
      </c>
      <c r="F10" s="123"/>
      <c r="G10" s="159"/>
      <c r="M10" s="173"/>
      <c r="N10" s="137"/>
      <c r="O10" s="138"/>
      <c r="P10" s="139"/>
    </row>
    <row r="11" spans="2:16">
      <c r="B11" s="140">
        <f t="shared" ref="B11:B32" si="1">B10+1</f>
        <v>2021</v>
      </c>
      <c r="C11" s="132">
        <f>D36</f>
        <v>48.5910167356733</v>
      </c>
      <c r="D11" s="140">
        <v>12</v>
      </c>
      <c r="E11" s="134">
        <f t="shared" si="0"/>
        <v>48.5910167356733</v>
      </c>
      <c r="F11" s="123"/>
      <c r="G11" s="159"/>
      <c r="M11" s="173"/>
      <c r="N11" s="203"/>
      <c r="O11" s="203"/>
      <c r="P11" s="139"/>
    </row>
    <row r="12" spans="2:16">
      <c r="B12" s="140">
        <f t="shared" si="1"/>
        <v>2022</v>
      </c>
      <c r="C12" s="132">
        <f>ROUND(C11*(1+(IFERROR(INDEX($D$41:$D$49,MATCH($B12,$C$41:$C$49,0),1),0)+IFERROR(INDEX($G$41:$G$49,MATCH($B12,$F$41:$F$49,0),1),0)+IFERROR(INDEX($J$41:$J$49,MATCH($B12,$I$41:$I$49,0),1),0))),2)</f>
        <v>49.76</v>
      </c>
      <c r="D12" s="140">
        <v>12</v>
      </c>
      <c r="E12" s="134">
        <f t="shared" si="0"/>
        <v>49.76</v>
      </c>
      <c r="F12" s="123"/>
      <c r="H12" s="173"/>
      <c r="J12" s="204"/>
      <c r="N12" s="121"/>
    </row>
    <row r="13" spans="2:16">
      <c r="B13" s="140">
        <f t="shared" si="1"/>
        <v>2023</v>
      </c>
      <c r="C13" s="132">
        <f t="shared" ref="C13:C32" si="2">ROUND(C12*(1+(IFERROR(INDEX($D$41:$D$49,MATCH($B13,$C$41:$C$49,0),1),0)+IFERROR(INDEX($G$41:$G$49,MATCH($B13,$F$41:$F$49,0),1),0)+IFERROR(INDEX($J$41:$J$49,MATCH($B13,$I$41:$I$49,0),1),0))),2)</f>
        <v>50.95</v>
      </c>
      <c r="D13" s="140">
        <v>12</v>
      </c>
      <c r="E13" s="134">
        <f t="shared" si="0"/>
        <v>50.95000000000001</v>
      </c>
      <c r="F13" s="123"/>
      <c r="H13" s="173"/>
      <c r="I13" s="137"/>
      <c r="J13" s="204"/>
      <c r="N13" s="121"/>
    </row>
    <row r="14" spans="2:16">
      <c r="B14" s="140">
        <f t="shared" si="1"/>
        <v>2024</v>
      </c>
      <c r="C14" s="132">
        <f t="shared" si="2"/>
        <v>52.17</v>
      </c>
      <c r="D14" s="140">
        <v>12</v>
      </c>
      <c r="E14" s="134">
        <f t="shared" si="0"/>
        <v>52.169999999999995</v>
      </c>
      <c r="F14" s="123"/>
      <c r="H14" s="173"/>
      <c r="K14" s="205"/>
      <c r="N14" s="121"/>
    </row>
    <row r="15" spans="2:16">
      <c r="B15" s="140">
        <f t="shared" si="1"/>
        <v>2025</v>
      </c>
      <c r="C15" s="132">
        <f t="shared" si="2"/>
        <v>53.37</v>
      </c>
      <c r="D15" s="140">
        <v>12</v>
      </c>
      <c r="E15" s="134">
        <f t="shared" si="0"/>
        <v>53.37</v>
      </c>
      <c r="F15" s="123"/>
      <c r="H15" s="173"/>
      <c r="N15" s="121"/>
    </row>
    <row r="16" spans="2:16">
      <c r="B16" s="140">
        <f t="shared" si="1"/>
        <v>2026</v>
      </c>
      <c r="C16" s="132">
        <f t="shared" si="2"/>
        <v>54.6</v>
      </c>
      <c r="D16" s="140">
        <v>12</v>
      </c>
      <c r="E16" s="134">
        <f t="shared" si="0"/>
        <v>54.6</v>
      </c>
      <c r="F16" s="123"/>
      <c r="H16" s="173"/>
      <c r="J16" s="170"/>
      <c r="N16" s="121"/>
    </row>
    <row r="17" spans="2:14">
      <c r="B17" s="140">
        <f t="shared" si="1"/>
        <v>2027</v>
      </c>
      <c r="C17" s="132">
        <f t="shared" si="2"/>
        <v>55.86</v>
      </c>
      <c r="D17" s="140">
        <v>12</v>
      </c>
      <c r="E17" s="134">
        <f t="shared" si="0"/>
        <v>55.859999999999992</v>
      </c>
      <c r="F17" s="123"/>
      <c r="H17" s="173"/>
      <c r="N17" s="121"/>
    </row>
    <row r="18" spans="2:14">
      <c r="B18" s="140">
        <f t="shared" si="1"/>
        <v>2028</v>
      </c>
      <c r="C18" s="132">
        <f t="shared" si="2"/>
        <v>57.2</v>
      </c>
      <c r="D18" s="140">
        <v>12</v>
      </c>
      <c r="E18" s="134">
        <f t="shared" si="0"/>
        <v>57.20000000000001</v>
      </c>
      <c r="F18" s="123"/>
      <c r="H18" s="173"/>
      <c r="N18" s="121"/>
    </row>
    <row r="19" spans="2:14">
      <c r="B19" s="140">
        <f t="shared" si="1"/>
        <v>2029</v>
      </c>
      <c r="C19" s="132">
        <f t="shared" si="2"/>
        <v>58.57</v>
      </c>
      <c r="D19" s="140">
        <v>12</v>
      </c>
      <c r="E19" s="134">
        <f t="shared" si="0"/>
        <v>58.57</v>
      </c>
      <c r="F19" s="123"/>
      <c r="H19" s="173"/>
      <c r="N19" s="121"/>
    </row>
    <row r="20" spans="2:14">
      <c r="B20" s="140">
        <f t="shared" si="1"/>
        <v>2030</v>
      </c>
      <c r="C20" s="132">
        <f t="shared" si="2"/>
        <v>59.92</v>
      </c>
      <c r="D20" s="140">
        <v>12</v>
      </c>
      <c r="E20" s="134">
        <f t="shared" si="0"/>
        <v>59.919999999999995</v>
      </c>
      <c r="F20" s="123"/>
      <c r="H20" s="173"/>
      <c r="N20" s="121"/>
    </row>
    <row r="21" spans="2:14">
      <c r="B21" s="140">
        <f t="shared" si="1"/>
        <v>2031</v>
      </c>
      <c r="C21" s="132">
        <f t="shared" si="2"/>
        <v>61.3</v>
      </c>
      <c r="D21" s="140">
        <v>12</v>
      </c>
      <c r="E21" s="134">
        <f t="shared" si="0"/>
        <v>61.29999999999999</v>
      </c>
      <c r="F21" s="123"/>
      <c r="H21" s="173"/>
      <c r="N21" s="121"/>
    </row>
    <row r="22" spans="2:14">
      <c r="B22" s="140">
        <f t="shared" si="1"/>
        <v>2032</v>
      </c>
      <c r="C22" s="132">
        <f t="shared" si="2"/>
        <v>62.71</v>
      </c>
      <c r="D22" s="140">
        <v>12</v>
      </c>
      <c r="E22" s="134">
        <f t="shared" si="0"/>
        <v>62.71</v>
      </c>
      <c r="F22" s="123"/>
      <c r="H22" s="173"/>
      <c r="N22" s="121"/>
    </row>
    <row r="23" spans="2:14">
      <c r="B23" s="140">
        <f t="shared" si="1"/>
        <v>2033</v>
      </c>
      <c r="C23" s="132">
        <f t="shared" si="2"/>
        <v>64.150000000000006</v>
      </c>
      <c r="D23" s="140">
        <v>12</v>
      </c>
      <c r="E23" s="134">
        <f t="shared" si="0"/>
        <v>64.150000000000006</v>
      </c>
      <c r="F23" s="123"/>
      <c r="H23" s="173"/>
      <c r="N23" s="121"/>
    </row>
    <row r="24" spans="2:14">
      <c r="B24" s="140">
        <f t="shared" si="1"/>
        <v>2034</v>
      </c>
      <c r="C24" s="132">
        <f t="shared" si="2"/>
        <v>65.63</v>
      </c>
      <c r="D24" s="140">
        <v>12</v>
      </c>
      <c r="E24" s="134">
        <f t="shared" si="0"/>
        <v>65.63</v>
      </c>
      <c r="F24" s="123"/>
      <c r="H24" s="173"/>
      <c r="N24" s="121"/>
    </row>
    <row r="25" spans="2:14">
      <c r="B25" s="140">
        <f t="shared" si="1"/>
        <v>2035</v>
      </c>
      <c r="C25" s="132">
        <f t="shared" si="2"/>
        <v>67.069999999999993</v>
      </c>
      <c r="D25" s="140">
        <v>12</v>
      </c>
      <c r="E25" s="134">
        <f t="shared" si="0"/>
        <v>67.069999999999993</v>
      </c>
      <c r="F25" s="123"/>
      <c r="H25" s="173"/>
      <c r="N25" s="121"/>
    </row>
    <row r="26" spans="2:14">
      <c r="B26" s="140">
        <f t="shared" si="1"/>
        <v>2036</v>
      </c>
      <c r="C26" s="132">
        <f t="shared" si="2"/>
        <v>68.55</v>
      </c>
      <c r="D26" s="140">
        <v>12</v>
      </c>
      <c r="E26" s="134">
        <f t="shared" si="0"/>
        <v>68.55</v>
      </c>
      <c r="F26" s="123"/>
      <c r="H26" s="173"/>
      <c r="N26" s="121"/>
    </row>
    <row r="27" spans="2:14">
      <c r="B27" s="140">
        <f t="shared" si="1"/>
        <v>2037</v>
      </c>
      <c r="C27" s="132">
        <f t="shared" si="2"/>
        <v>70.06</v>
      </c>
      <c r="D27" s="140">
        <v>12</v>
      </c>
      <c r="E27" s="134">
        <f t="shared" si="0"/>
        <v>70.06</v>
      </c>
      <c r="F27" s="123"/>
      <c r="H27" s="173"/>
      <c r="N27" s="121"/>
    </row>
    <row r="28" spans="2:14">
      <c r="B28" s="140">
        <f t="shared" si="1"/>
        <v>2038</v>
      </c>
      <c r="C28" s="132">
        <f t="shared" si="2"/>
        <v>71.67</v>
      </c>
      <c r="D28" s="140">
        <v>12</v>
      </c>
      <c r="E28" s="134">
        <f t="shared" si="0"/>
        <v>71.67</v>
      </c>
      <c r="F28" s="123"/>
      <c r="H28" s="173"/>
      <c r="N28" s="121"/>
    </row>
    <row r="29" spans="2:14">
      <c r="B29" s="140">
        <f t="shared" si="1"/>
        <v>2039</v>
      </c>
      <c r="C29" s="132">
        <f t="shared" si="2"/>
        <v>73.319999999999993</v>
      </c>
      <c r="D29" s="140">
        <v>12</v>
      </c>
      <c r="E29" s="134">
        <f t="shared" si="0"/>
        <v>73.319999999999993</v>
      </c>
      <c r="F29" s="123"/>
      <c r="H29" s="173"/>
      <c r="N29" s="121"/>
    </row>
    <row r="30" spans="2:14">
      <c r="B30" s="140">
        <f t="shared" si="1"/>
        <v>2040</v>
      </c>
      <c r="C30" s="132">
        <f t="shared" si="2"/>
        <v>75.010000000000005</v>
      </c>
      <c r="D30" s="140">
        <v>12</v>
      </c>
      <c r="E30" s="134">
        <f t="shared" si="0"/>
        <v>75.010000000000005</v>
      </c>
      <c r="F30" s="123"/>
      <c r="H30" s="173"/>
      <c r="N30" s="121"/>
    </row>
    <row r="31" spans="2:14">
      <c r="B31" s="140">
        <f t="shared" si="1"/>
        <v>2041</v>
      </c>
      <c r="C31" s="132">
        <f t="shared" si="2"/>
        <v>76.739999999999995</v>
      </c>
      <c r="D31" s="140">
        <v>12</v>
      </c>
      <c r="E31" s="134">
        <f t="shared" si="0"/>
        <v>76.739999999999995</v>
      </c>
      <c r="F31" s="123"/>
      <c r="H31" s="173"/>
      <c r="N31" s="121"/>
    </row>
    <row r="32" spans="2:14">
      <c r="B32" s="140">
        <f t="shared" si="1"/>
        <v>2042</v>
      </c>
      <c r="C32" s="132">
        <f t="shared" si="2"/>
        <v>78.510000000000005</v>
      </c>
      <c r="D32" s="140">
        <v>12</v>
      </c>
      <c r="E32" s="134">
        <f t="shared" si="0"/>
        <v>78.510000000000005</v>
      </c>
      <c r="F32" s="123"/>
      <c r="G32" s="159"/>
      <c r="H32" s="173"/>
      <c r="N32" s="121"/>
    </row>
    <row r="33" spans="2:14">
      <c r="B33" s="140"/>
      <c r="C33" s="136"/>
      <c r="D33" s="132"/>
      <c r="E33" s="132"/>
      <c r="F33" s="133"/>
      <c r="G33" s="132"/>
      <c r="H33" s="132"/>
      <c r="I33" s="134"/>
      <c r="J33" s="134"/>
      <c r="K33" s="143"/>
    </row>
    <row r="34" spans="2:14">
      <c r="B34" s="130"/>
      <c r="C34" s="136"/>
      <c r="D34" s="132"/>
      <c r="E34" s="132"/>
      <c r="F34" s="133"/>
      <c r="G34" s="132"/>
      <c r="H34" s="132"/>
      <c r="I34" s="134"/>
      <c r="J34" s="134"/>
      <c r="K34" s="143"/>
    </row>
    <row r="35" spans="2:14" ht="15">
      <c r="C35" s="206" t="s">
        <v>104</v>
      </c>
      <c r="D35" s="207">
        <v>750</v>
      </c>
      <c r="E35" s="132"/>
      <c r="F35" s="133"/>
      <c r="G35" s="132"/>
      <c r="H35" s="132"/>
      <c r="I35" s="134"/>
      <c r="J35" s="134"/>
      <c r="K35" s="143"/>
    </row>
    <row r="36" spans="2:14" ht="39.75" customHeight="1">
      <c r="B36" s="303" t="s">
        <v>108</v>
      </c>
      <c r="C36" s="304"/>
      <c r="D36" s="217">
        <v>48.5910167356733</v>
      </c>
      <c r="E36" s="132"/>
      <c r="F36" s="133"/>
      <c r="G36" s="132"/>
      <c r="H36" s="132"/>
      <c r="I36" s="134"/>
      <c r="J36" s="134"/>
      <c r="K36" s="143"/>
    </row>
    <row r="39" spans="2:14" ht="13.5" thickBot="1">
      <c r="D39" s="160"/>
    </row>
    <row r="40" spans="2:14" ht="13.5" thickBot="1">
      <c r="C40" s="40" t="str">
        <f>"Company Official Inflation Forecast Dated "&amp;TEXT('Table 4'!$G$5,"mmmm dd, yyyy")</f>
        <v>Company Official Inflation Forecast Dated March 29, 2019</v>
      </c>
      <c r="D40" s="148"/>
      <c r="E40" s="148"/>
      <c r="F40" s="148"/>
      <c r="G40" s="148"/>
      <c r="H40" s="148"/>
      <c r="I40" s="148"/>
      <c r="J40" s="148"/>
      <c r="K40" s="150"/>
    </row>
    <row r="41" spans="2:14">
      <c r="C41" s="87">
        <v>2017</v>
      </c>
      <c r="D41" s="41">
        <v>0.02</v>
      </c>
      <c r="E41" s="85"/>
      <c r="F41" s="87">
        <f>C49+1</f>
        <v>2026</v>
      </c>
      <c r="G41" s="41">
        <v>2.3E-2</v>
      </c>
      <c r="H41" s="85"/>
      <c r="I41" s="87">
        <f>F49+1</f>
        <v>2035</v>
      </c>
      <c r="J41" s="41">
        <v>2.1999999999999999E-2</v>
      </c>
    </row>
    <row r="42" spans="2:14">
      <c r="C42" s="87">
        <f t="shared" ref="C42:C49" si="3">C41+1</f>
        <v>2018</v>
      </c>
      <c r="D42" s="41">
        <v>2.3E-2</v>
      </c>
      <c r="E42" s="85"/>
      <c r="F42" s="87">
        <f t="shared" ref="F42:F49" si="4">F41+1</f>
        <v>2027</v>
      </c>
      <c r="G42" s="41">
        <v>2.3E-2</v>
      </c>
      <c r="H42" s="85"/>
      <c r="I42" s="87">
        <f t="shared" ref="I42:I49" si="5">I41+1</f>
        <v>2036</v>
      </c>
      <c r="J42" s="41">
        <v>2.1999999999999999E-2</v>
      </c>
    </row>
    <row r="43" spans="2:14">
      <c r="C43" s="87">
        <f t="shared" si="3"/>
        <v>2019</v>
      </c>
      <c r="D43" s="41">
        <v>0.02</v>
      </c>
      <c r="E43" s="85"/>
      <c r="F43" s="87">
        <f t="shared" si="4"/>
        <v>2028</v>
      </c>
      <c r="G43" s="41">
        <v>2.4E-2</v>
      </c>
      <c r="H43" s="85"/>
      <c r="I43" s="87">
        <f t="shared" si="5"/>
        <v>2037</v>
      </c>
      <c r="J43" s="41">
        <v>2.1999999999999999E-2</v>
      </c>
    </row>
    <row r="44" spans="2:14">
      <c r="C44" s="87">
        <f t="shared" si="3"/>
        <v>2020</v>
      </c>
      <c r="D44" s="41">
        <v>2.1999999999999999E-2</v>
      </c>
      <c r="E44" s="85"/>
      <c r="F44" s="87">
        <f t="shared" si="4"/>
        <v>2029</v>
      </c>
      <c r="G44" s="41">
        <v>2.4E-2</v>
      </c>
      <c r="H44" s="85"/>
      <c r="I44" s="87">
        <f t="shared" si="5"/>
        <v>2038</v>
      </c>
      <c r="J44" s="41">
        <v>2.3E-2</v>
      </c>
    </row>
    <row r="45" spans="2:14">
      <c r="C45" s="87">
        <f t="shared" si="3"/>
        <v>2021</v>
      </c>
      <c r="D45" s="41">
        <v>2.4E-2</v>
      </c>
      <c r="E45" s="85"/>
      <c r="F45" s="87">
        <f t="shared" si="4"/>
        <v>2030</v>
      </c>
      <c r="G45" s="41">
        <v>2.3E-2</v>
      </c>
      <c r="H45" s="85"/>
      <c r="I45" s="87">
        <f t="shared" si="5"/>
        <v>2039</v>
      </c>
      <c r="J45" s="41">
        <v>2.3E-2</v>
      </c>
    </row>
    <row r="46" spans="2:14">
      <c r="C46" s="87">
        <f t="shared" si="3"/>
        <v>2022</v>
      </c>
      <c r="D46" s="41">
        <v>2.4E-2</v>
      </c>
      <c r="E46" s="85"/>
      <c r="F46" s="87">
        <f t="shared" si="4"/>
        <v>2031</v>
      </c>
      <c r="G46" s="41">
        <v>2.3E-2</v>
      </c>
      <c r="H46" s="85"/>
      <c r="I46" s="87">
        <f t="shared" si="5"/>
        <v>2040</v>
      </c>
      <c r="J46" s="41">
        <v>2.3E-2</v>
      </c>
    </row>
    <row r="47" spans="2:14" s="123" customFormat="1">
      <c r="C47" s="87">
        <f t="shared" si="3"/>
        <v>2023</v>
      </c>
      <c r="D47" s="41">
        <v>2.4E-2</v>
      </c>
      <c r="E47" s="86"/>
      <c r="F47" s="87">
        <f t="shared" si="4"/>
        <v>2032</v>
      </c>
      <c r="G47" s="41">
        <v>2.3E-2</v>
      </c>
      <c r="H47" s="86"/>
      <c r="I47" s="87">
        <f t="shared" si="5"/>
        <v>2041</v>
      </c>
      <c r="J47" s="41">
        <v>2.3E-2</v>
      </c>
      <c r="N47" s="175"/>
    </row>
    <row r="48" spans="2:14" s="123" customFormat="1">
      <c r="C48" s="87">
        <f t="shared" si="3"/>
        <v>2024</v>
      </c>
      <c r="D48" s="41">
        <v>2.4E-2</v>
      </c>
      <c r="E48" s="86"/>
      <c r="F48" s="87">
        <f t="shared" si="4"/>
        <v>2033</v>
      </c>
      <c r="G48" s="41">
        <v>2.3E-2</v>
      </c>
      <c r="H48" s="86"/>
      <c r="I48" s="87">
        <f t="shared" si="5"/>
        <v>2042</v>
      </c>
      <c r="J48" s="41">
        <v>2.3E-2</v>
      </c>
      <c r="N48" s="175"/>
    </row>
    <row r="49" spans="3:14" s="123" customFormat="1">
      <c r="C49" s="87">
        <f t="shared" si="3"/>
        <v>2025</v>
      </c>
      <c r="D49" s="41">
        <v>2.3E-2</v>
      </c>
      <c r="E49" s="86"/>
      <c r="F49" s="87">
        <f t="shared" si="4"/>
        <v>2034</v>
      </c>
      <c r="G49" s="41">
        <v>2.3E-2</v>
      </c>
      <c r="H49" s="86"/>
      <c r="I49" s="87">
        <f t="shared" si="5"/>
        <v>2043</v>
      </c>
      <c r="J49" s="41">
        <v>2.3E-2</v>
      </c>
      <c r="N49" s="175"/>
    </row>
    <row r="50" spans="3:14" s="123" customFormat="1">
      <c r="N50" s="175"/>
    </row>
    <row r="51" spans="3:14" s="123" customFormat="1">
      <c r="N51" s="175"/>
    </row>
    <row r="68" spans="3:4">
      <c r="C68" s="156"/>
      <c r="D68" s="160"/>
    </row>
    <row r="69" spans="3:4">
      <c r="C69" s="156"/>
      <c r="D69" s="160"/>
    </row>
    <row r="70" spans="3:4">
      <c r="C70" s="156"/>
      <c r="D70" s="160"/>
    </row>
    <row r="71" spans="3:4">
      <c r="C71" s="156"/>
      <c r="D71" s="160"/>
    </row>
    <row r="72" spans="3:4">
      <c r="C72" s="156"/>
      <c r="D72" s="160"/>
    </row>
    <row r="73" spans="3:4">
      <c r="C73" s="156"/>
      <c r="D73" s="160"/>
    </row>
    <row r="74" spans="3:4">
      <c r="C74" s="156"/>
      <c r="D74" s="160"/>
    </row>
    <row r="75" spans="3:4">
      <c r="C75" s="156"/>
      <c r="D75" s="160"/>
    </row>
    <row r="76" spans="3:4">
      <c r="C76" s="156"/>
      <c r="D76" s="160"/>
    </row>
    <row r="77" spans="3:4">
      <c r="C77" s="156"/>
      <c r="D77" s="160"/>
    </row>
  </sheetData>
  <mergeCells count="1">
    <mergeCell ref="B36:C36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G24" sqref="G24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2" width="9.33203125" style="121"/>
    <col min="13" max="13" width="9.6640625" style="121" bestFit="1" customWidth="1"/>
    <col min="14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122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88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Utah Wind Resource - 31%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13.835082967085043</v>
      </c>
      <c r="G11" s="133">
        <f>$C$58</f>
        <v>0</v>
      </c>
      <c r="H11" s="132">
        <f>ROUND(H10*(1+$D66),2)</f>
        <v>0</v>
      </c>
      <c r="I11" s="134">
        <f t="shared" ref="I11:I36" si="2">F11+H11+G11</f>
        <v>13.835082967085043</v>
      </c>
      <c r="J11" s="134">
        <f t="shared" ref="J11:J36" si="3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14.151568714096333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14.151568714096333</v>
      </c>
      <c r="J12" s="134">
        <f t="shared" si="3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14.435115628222126</v>
      </c>
      <c r="G13" s="132">
        <f>ROUND(G12*(1+(IFERROR(INDEX($D$66:$D$74,MATCH($B13,$C$66:$C$74,0),1),0)+IFERROR(INDEX($G$66:$G$74,MATCH($B13,$F$66:$F$74,0),1),0)+IFERROR(INDEX($J$66:$J$74,MATCH($B13,$I$66:$I$74,0),1),0))),2)</f>
        <v>0</v>
      </c>
      <c r="H13" s="132">
        <f>ROUND(H12*(1+(IFERROR(INDEX($D$66:$D$74,MATCH($B13,$C$66:$C$74,0),1),0)+IFERROR(INDEX($G$66:$G$74,MATCH($B13,$F$66:$F$74,0),1),0)+IFERROR(INDEX($J$66:$J$74,MATCH($B13,$I$66:$I$74,0),1),0))),2)</f>
        <v>0</v>
      </c>
      <c r="I13" s="134">
        <f t="shared" si="2"/>
        <v>14.435115628222126</v>
      </c>
      <c r="J13" s="134">
        <f t="shared" si="3"/>
        <v>39.200000000000003</v>
      </c>
      <c r="K13" s="132">
        <f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ref="D14:H36" si="5">ROUND(E13*(1+(IFERROR(INDEX($D$66:$D$74,MATCH($B14,$C$66:$C$74,0),1),0)+IFERROR(INDEX($G$66:$G$74,MATCH($B14,$F$66:$F$74,0),1),0)+IFERROR(INDEX($J$66:$J$74,MATCH($B14,$I$66:$I$74,0),1),0))),2)</f>
        <v>40.06</v>
      </c>
      <c r="F14" s="134">
        <f t="shared" si="1"/>
        <v>14.751804389453529</v>
      </c>
      <c r="G14" s="132">
        <f t="shared" si="5"/>
        <v>0</v>
      </c>
      <c r="H14" s="132">
        <f t="shared" si="5"/>
        <v>0</v>
      </c>
      <c r="I14" s="134">
        <f t="shared" si="2"/>
        <v>14.751804389453529</v>
      </c>
      <c r="J14" s="134">
        <f t="shared" si="3"/>
        <v>40.06</v>
      </c>
      <c r="K14" s="132">
        <f t="shared" ref="K14:K36" si="6">ROUND(K13*(1+(IFERROR(INDEX($D$66:$D$74,MATCH($B14,$C$66:$C$74,0),1),0)+IFERROR(INDEX($G$66:$G$74,MATCH($B14,$F$66:$F$74,0),1),0)+IFERROR(INDEX($J$66:$J$74,MATCH($B14,$I$66:$I$74,0),1),0))),2)</f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15.105317425246724</v>
      </c>
      <c r="G15" s="132">
        <f t="shared" si="5"/>
        <v>0</v>
      </c>
      <c r="H15" s="132">
        <f t="shared" si="5"/>
        <v>0</v>
      </c>
      <c r="I15" s="134">
        <f t="shared" si="2"/>
        <v>15.105317425246724</v>
      </c>
      <c r="J15" s="134">
        <f t="shared" si="3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15.466195315952277</v>
      </c>
      <c r="G16" s="132">
        <f t="shared" si="5"/>
        <v>0</v>
      </c>
      <c r="H16" s="132">
        <f t="shared" si="5"/>
        <v>0</v>
      </c>
      <c r="I16" s="134">
        <f t="shared" si="2"/>
        <v>15.466195315952277</v>
      </c>
      <c r="J16" s="134">
        <f t="shared" si="3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15.838120489026366</v>
      </c>
      <c r="G17" s="132">
        <f t="shared" si="5"/>
        <v>0</v>
      </c>
      <c r="H17" s="132">
        <f t="shared" si="5"/>
        <v>0</v>
      </c>
      <c r="I17" s="134">
        <f t="shared" si="2"/>
        <v>15.838120489026366</v>
      </c>
      <c r="J17" s="134">
        <f t="shared" si="3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16.217410517012816</v>
      </c>
      <c r="G18" s="132">
        <f t="shared" si="5"/>
        <v>0</v>
      </c>
      <c r="H18" s="132">
        <f t="shared" si="5"/>
        <v>0</v>
      </c>
      <c r="I18" s="134">
        <f t="shared" si="2"/>
        <v>16.217410517012816</v>
      </c>
      <c r="J18" s="134">
        <f t="shared" si="3"/>
        <v>44.04</v>
      </c>
      <c r="K18" s="132">
        <f t="shared" si="6"/>
        <v>0.69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16.589335690086905</v>
      </c>
      <c r="G19" s="132">
        <f t="shared" si="5"/>
        <v>0</v>
      </c>
      <c r="H19" s="132">
        <f t="shared" si="5"/>
        <v>0</v>
      </c>
      <c r="I19" s="134">
        <f t="shared" si="2"/>
        <v>16.589335690086905</v>
      </c>
      <c r="J19" s="134">
        <f t="shared" si="3"/>
        <v>45.05</v>
      </c>
      <c r="K19" s="132">
        <f t="shared" si="6"/>
        <v>0.71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16.972308145529535</v>
      </c>
      <c r="G20" s="132">
        <f t="shared" si="5"/>
        <v>0</v>
      </c>
      <c r="H20" s="132">
        <f t="shared" si="5"/>
        <v>0</v>
      </c>
      <c r="I20" s="134">
        <f t="shared" si="2"/>
        <v>16.972308145529535</v>
      </c>
      <c r="J20" s="134">
        <f t="shared" si="3"/>
        <v>46.09</v>
      </c>
      <c r="K20" s="132">
        <f t="shared" si="6"/>
        <v>0.73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17.362645455884518</v>
      </c>
      <c r="G21" s="132">
        <f t="shared" si="5"/>
        <v>0</v>
      </c>
      <c r="H21" s="132">
        <f t="shared" si="5"/>
        <v>0</v>
      </c>
      <c r="I21" s="134">
        <f t="shared" si="2"/>
        <v>17.362645455884518</v>
      </c>
      <c r="J21" s="134">
        <f t="shared" si="3"/>
        <v>47.15</v>
      </c>
      <c r="K21" s="132">
        <f t="shared" si="6"/>
        <v>0.75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17.778759758432759</v>
      </c>
      <c r="G22" s="132">
        <f t="shared" si="5"/>
        <v>0</v>
      </c>
      <c r="H22" s="132">
        <f t="shared" si="5"/>
        <v>0</v>
      </c>
      <c r="I22" s="134">
        <f t="shared" si="2"/>
        <v>17.778759758432759</v>
      </c>
      <c r="J22" s="134">
        <f t="shared" si="3"/>
        <v>48.28</v>
      </c>
      <c r="K22" s="132">
        <f t="shared" si="6"/>
        <v>0.77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18.205921343349537</v>
      </c>
      <c r="G23" s="132">
        <f t="shared" si="5"/>
        <v>0</v>
      </c>
      <c r="H23" s="132">
        <f t="shared" si="5"/>
        <v>0</v>
      </c>
      <c r="I23" s="134">
        <f t="shared" si="2"/>
        <v>18.205921343349537</v>
      </c>
      <c r="J23" s="134">
        <f t="shared" si="3"/>
        <v>49.44</v>
      </c>
      <c r="K23" s="132">
        <f t="shared" si="6"/>
        <v>0.79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1351.8149072293081</v>
      </c>
      <c r="D24" s="132">
        <f>C24*$C$62</f>
        <v>96.059849537504135</v>
      </c>
      <c r="E24" s="132">
        <f t="shared" si="5"/>
        <v>50.58</v>
      </c>
      <c r="F24" s="134">
        <f t="shared" ref="F24:F29" si="8">(D24+E24)/(8.76*$C$63)</f>
        <v>53.999060810687922</v>
      </c>
      <c r="G24" s="132">
        <f t="shared" si="5"/>
        <v>0</v>
      </c>
      <c r="H24" s="132">
        <f t="shared" si="5"/>
        <v>0</v>
      </c>
      <c r="I24" s="134">
        <f t="shared" ref="I24:I29" si="9">F24+H24+G24</f>
        <v>53.999060810687922</v>
      </c>
      <c r="J24" s="134">
        <f t="shared" ref="J24:J29" si="10">ROUND(I24*$C$63*8.76,2)</f>
        <v>146.63999999999999</v>
      </c>
      <c r="K24" s="132">
        <f t="shared" si="6"/>
        <v>0.81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98.27</v>
      </c>
      <c r="E25" s="132">
        <f t="shared" si="5"/>
        <v>51.74</v>
      </c>
      <c r="F25" s="134">
        <f t="shared" si="8"/>
        <v>55.240094270142876</v>
      </c>
      <c r="G25" s="132">
        <f t="shared" si="5"/>
        <v>0</v>
      </c>
      <c r="H25" s="132">
        <f t="shared" si="5"/>
        <v>0</v>
      </c>
      <c r="I25" s="134">
        <f t="shared" si="9"/>
        <v>55.240094270142876</v>
      </c>
      <c r="J25" s="134">
        <f t="shared" si="10"/>
        <v>150.01</v>
      </c>
      <c r="K25" s="132">
        <f t="shared" si="6"/>
        <v>0.83</v>
      </c>
      <c r="L25" s="123"/>
      <c r="M25" s="250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ref="D26:D36" si="11">ROUND(D25*(1+(IFERROR(INDEX($D$66:$D$74,MATCH($B26,$C$66:$C$74,0),1),0)+IFERROR(INDEX($G$66:$G$74,MATCH($B26,$F$66:$F$74,0),1),0)+IFERROR(INDEX($J$66:$J$74,MATCH($B26,$I$66:$I$74,0),1),0))),2)</f>
        <v>100.53</v>
      </c>
      <c r="E26" s="132">
        <f t="shared" si="5"/>
        <v>52.93</v>
      </c>
      <c r="F26" s="134">
        <f t="shared" si="8"/>
        <v>56.510531742524677</v>
      </c>
      <c r="G26" s="132">
        <f t="shared" si="5"/>
        <v>0</v>
      </c>
      <c r="H26" s="132">
        <f t="shared" si="5"/>
        <v>0</v>
      </c>
      <c r="I26" s="134">
        <f t="shared" si="9"/>
        <v>56.510531742524677</v>
      </c>
      <c r="J26" s="134">
        <f t="shared" si="10"/>
        <v>153.46</v>
      </c>
      <c r="K26" s="132">
        <f t="shared" si="6"/>
        <v>0.85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11"/>
        <v>102.84</v>
      </c>
      <c r="E27" s="132">
        <f t="shared" si="5"/>
        <v>54.15</v>
      </c>
      <c r="F27" s="134">
        <f t="shared" si="8"/>
        <v>57.810428634555905</v>
      </c>
      <c r="G27" s="132">
        <f t="shared" si="5"/>
        <v>0</v>
      </c>
      <c r="H27" s="132">
        <f t="shared" si="5"/>
        <v>0</v>
      </c>
      <c r="I27" s="134">
        <f t="shared" si="9"/>
        <v>57.810428634555905</v>
      </c>
      <c r="J27" s="134">
        <f t="shared" si="10"/>
        <v>156.99</v>
      </c>
      <c r="K27" s="132">
        <f t="shared" si="6"/>
        <v>0.87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11"/>
        <v>105.21</v>
      </c>
      <c r="E28" s="132">
        <f t="shared" si="5"/>
        <v>55.4</v>
      </c>
      <c r="F28" s="134">
        <f t="shared" si="8"/>
        <v>59.143467373692737</v>
      </c>
      <c r="G28" s="132">
        <f t="shared" si="5"/>
        <v>0</v>
      </c>
      <c r="H28" s="132">
        <f t="shared" si="5"/>
        <v>0</v>
      </c>
      <c r="I28" s="134">
        <f t="shared" si="9"/>
        <v>59.143467373692737</v>
      </c>
      <c r="J28" s="134">
        <f t="shared" si="10"/>
        <v>160.61000000000001</v>
      </c>
      <c r="K28" s="132">
        <f t="shared" si="6"/>
        <v>0.89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11"/>
        <v>107.52</v>
      </c>
      <c r="E29" s="132">
        <f t="shared" si="5"/>
        <v>56.62</v>
      </c>
      <c r="F29" s="134">
        <f t="shared" si="8"/>
        <v>60.443364265723964</v>
      </c>
      <c r="G29" s="132">
        <f t="shared" si="5"/>
        <v>0</v>
      </c>
      <c r="H29" s="132">
        <f t="shared" si="5"/>
        <v>0</v>
      </c>
      <c r="I29" s="134">
        <f t="shared" si="9"/>
        <v>60.443364265723964</v>
      </c>
      <c r="J29" s="134">
        <f t="shared" si="10"/>
        <v>164.14</v>
      </c>
      <c r="K29" s="132">
        <f t="shared" si="6"/>
        <v>0.91</v>
      </c>
      <c r="L29" s="123"/>
      <c r="P29" s="169">
        <f t="shared" ref="P29:P36" si="12">ROUND(P28*(1+$J66),2)</f>
        <v>0</v>
      </c>
    </row>
    <row r="30" spans="2:17">
      <c r="B30" s="140">
        <f t="shared" si="0"/>
        <v>2036</v>
      </c>
      <c r="C30" s="141"/>
      <c r="D30" s="132">
        <f t="shared" si="11"/>
        <v>109.89</v>
      </c>
      <c r="E30" s="132">
        <f t="shared" si="5"/>
        <v>57.87</v>
      </c>
      <c r="F30" s="134">
        <f t="shared" si="1"/>
        <v>61.776403004860803</v>
      </c>
      <c r="G30" s="132">
        <f t="shared" si="5"/>
        <v>0</v>
      </c>
      <c r="H30" s="132">
        <f t="shared" si="5"/>
        <v>0</v>
      </c>
      <c r="I30" s="134">
        <f t="shared" si="2"/>
        <v>61.776403004860803</v>
      </c>
      <c r="J30" s="134">
        <f t="shared" si="3"/>
        <v>167.76</v>
      </c>
      <c r="K30" s="132">
        <f t="shared" si="6"/>
        <v>0.93</v>
      </c>
      <c r="L30" s="123"/>
      <c r="P30" s="169">
        <f t="shared" si="12"/>
        <v>0</v>
      </c>
    </row>
    <row r="31" spans="2:17">
      <c r="B31" s="140">
        <f t="shared" si="0"/>
        <v>2037</v>
      </c>
      <c r="C31" s="141"/>
      <c r="D31" s="132">
        <f t="shared" si="11"/>
        <v>112.31</v>
      </c>
      <c r="E31" s="132">
        <f t="shared" si="5"/>
        <v>59.14</v>
      </c>
      <c r="F31" s="134">
        <f t="shared" si="1"/>
        <v>63.1352187361909</v>
      </c>
      <c r="G31" s="132">
        <f t="shared" si="5"/>
        <v>0</v>
      </c>
      <c r="H31" s="132">
        <f t="shared" si="5"/>
        <v>0</v>
      </c>
      <c r="I31" s="134">
        <f t="shared" si="2"/>
        <v>63.1352187361909</v>
      </c>
      <c r="J31" s="134">
        <f t="shared" si="3"/>
        <v>171.45</v>
      </c>
      <c r="K31" s="132">
        <f t="shared" si="6"/>
        <v>0.95</v>
      </c>
      <c r="L31" s="123"/>
      <c r="P31" s="169">
        <f t="shared" si="12"/>
        <v>0</v>
      </c>
    </row>
    <row r="32" spans="2:17">
      <c r="B32" s="140">
        <f t="shared" si="0"/>
        <v>2038</v>
      </c>
      <c r="C32" s="141"/>
      <c r="D32" s="132">
        <f t="shared" si="11"/>
        <v>114.89</v>
      </c>
      <c r="E32" s="132">
        <f t="shared" si="5"/>
        <v>60.5</v>
      </c>
      <c r="F32" s="134">
        <f t="shared" si="1"/>
        <v>64.58609515392547</v>
      </c>
      <c r="G32" s="132">
        <f t="shared" si="5"/>
        <v>0</v>
      </c>
      <c r="H32" s="132">
        <f t="shared" si="5"/>
        <v>0</v>
      </c>
      <c r="I32" s="134">
        <f t="shared" si="2"/>
        <v>64.58609515392547</v>
      </c>
      <c r="J32" s="134">
        <f t="shared" si="3"/>
        <v>175.39</v>
      </c>
      <c r="K32" s="132">
        <f t="shared" si="6"/>
        <v>0.97</v>
      </c>
      <c r="L32" s="123"/>
      <c r="P32" s="169">
        <f t="shared" si="12"/>
        <v>0</v>
      </c>
    </row>
    <row r="33" spans="2:16">
      <c r="B33" s="140">
        <f t="shared" si="0"/>
        <v>2039</v>
      </c>
      <c r="C33" s="141"/>
      <c r="D33" s="132">
        <f t="shared" si="11"/>
        <v>117.53</v>
      </c>
      <c r="E33" s="132">
        <f t="shared" si="5"/>
        <v>61.89</v>
      </c>
      <c r="F33" s="134">
        <f t="shared" si="1"/>
        <v>66.070113418765658</v>
      </c>
      <c r="G33" s="132">
        <f t="shared" si="5"/>
        <v>0</v>
      </c>
      <c r="H33" s="132">
        <f t="shared" si="5"/>
        <v>0</v>
      </c>
      <c r="I33" s="134">
        <f t="shared" si="2"/>
        <v>66.070113418765658</v>
      </c>
      <c r="J33" s="134">
        <f t="shared" si="3"/>
        <v>179.42</v>
      </c>
      <c r="K33" s="132">
        <f t="shared" si="6"/>
        <v>0.99</v>
      </c>
      <c r="L33" s="123"/>
      <c r="P33" s="169">
        <f t="shared" si="12"/>
        <v>0</v>
      </c>
    </row>
    <row r="34" spans="2:16">
      <c r="B34" s="140">
        <f t="shared" si="0"/>
        <v>2040</v>
      </c>
      <c r="C34" s="141"/>
      <c r="D34" s="132">
        <f t="shared" si="11"/>
        <v>120.23</v>
      </c>
      <c r="E34" s="132">
        <f t="shared" si="5"/>
        <v>63.31</v>
      </c>
      <c r="F34" s="134">
        <f t="shared" si="1"/>
        <v>67.587273530711457</v>
      </c>
      <c r="G34" s="132">
        <f t="shared" si="5"/>
        <v>0</v>
      </c>
      <c r="H34" s="132">
        <f t="shared" si="5"/>
        <v>0</v>
      </c>
      <c r="I34" s="134">
        <f t="shared" si="2"/>
        <v>67.587273530711457</v>
      </c>
      <c r="J34" s="134">
        <f t="shared" si="3"/>
        <v>183.54</v>
      </c>
      <c r="K34" s="132">
        <f t="shared" si="6"/>
        <v>1.01</v>
      </c>
      <c r="L34" s="123"/>
      <c r="P34" s="169">
        <f t="shared" si="12"/>
        <v>0</v>
      </c>
    </row>
    <row r="35" spans="2:16">
      <c r="B35" s="140">
        <f t="shared" si="0"/>
        <v>2041</v>
      </c>
      <c r="C35" s="141"/>
      <c r="D35" s="132">
        <f t="shared" si="11"/>
        <v>123</v>
      </c>
      <c r="E35" s="132">
        <f t="shared" si="5"/>
        <v>64.77</v>
      </c>
      <c r="F35" s="134">
        <f t="shared" si="1"/>
        <v>69.144940344675206</v>
      </c>
      <c r="G35" s="132">
        <f t="shared" si="5"/>
        <v>0</v>
      </c>
      <c r="H35" s="132">
        <f t="shared" si="5"/>
        <v>0</v>
      </c>
      <c r="I35" s="134">
        <f t="shared" si="2"/>
        <v>69.144940344675206</v>
      </c>
      <c r="J35" s="134">
        <f t="shared" si="3"/>
        <v>187.77</v>
      </c>
      <c r="K35" s="132">
        <f t="shared" si="6"/>
        <v>1.03</v>
      </c>
      <c r="L35" s="123"/>
      <c r="P35" s="169">
        <f t="shared" si="12"/>
        <v>0</v>
      </c>
    </row>
    <row r="36" spans="2:16">
      <c r="B36" s="140">
        <f t="shared" si="0"/>
        <v>2042</v>
      </c>
      <c r="C36" s="141"/>
      <c r="D36" s="132">
        <f t="shared" si="11"/>
        <v>125.83</v>
      </c>
      <c r="E36" s="132">
        <f t="shared" si="5"/>
        <v>66.260000000000005</v>
      </c>
      <c r="F36" s="134">
        <f t="shared" si="1"/>
        <v>70.735749005744594</v>
      </c>
      <c r="G36" s="132">
        <f t="shared" si="5"/>
        <v>0</v>
      </c>
      <c r="H36" s="132">
        <f t="shared" si="5"/>
        <v>0</v>
      </c>
      <c r="I36" s="134">
        <f t="shared" si="2"/>
        <v>70.735749005744594</v>
      </c>
      <c r="J36" s="134">
        <f t="shared" si="3"/>
        <v>192.09</v>
      </c>
      <c r="K36" s="132">
        <f t="shared" si="6"/>
        <v>1.05</v>
      </c>
      <c r="L36" s="123"/>
      <c r="P36" s="169">
        <f t="shared" si="12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31.0%)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Utah Wind Resource - 31%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119</v>
      </c>
      <c r="C55" s="185">
        <v>1351.8149072293081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0.31</v>
      </c>
      <c r="D63" s="121" t="s">
        <v>39</v>
      </c>
      <c r="G63" s="222"/>
      <c r="H63" s="221"/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3">C66+1</f>
        <v>2018</v>
      </c>
      <c r="D67" s="41">
        <v>2.3E-2</v>
      </c>
      <c r="E67" s="85"/>
      <c r="F67" s="87">
        <f t="shared" ref="F67:F74" si="14">F66+1</f>
        <v>2027</v>
      </c>
      <c r="G67" s="41">
        <v>2.3E-2</v>
      </c>
      <c r="H67" s="85"/>
      <c r="I67" s="87">
        <f t="shared" ref="I67:I74" si="15">I66+1</f>
        <v>2036</v>
      </c>
      <c r="J67" s="41">
        <v>2.1999999999999999E-2</v>
      </c>
    </row>
    <row r="68" spans="3:11">
      <c r="C68" s="87">
        <f t="shared" si="13"/>
        <v>2019</v>
      </c>
      <c r="D68" s="41">
        <v>0.02</v>
      </c>
      <c r="E68" s="85"/>
      <c r="F68" s="87">
        <f t="shared" si="14"/>
        <v>2028</v>
      </c>
      <c r="G68" s="41">
        <v>2.4E-2</v>
      </c>
      <c r="H68" s="85"/>
      <c r="I68" s="87">
        <f t="shared" si="15"/>
        <v>2037</v>
      </c>
      <c r="J68" s="41">
        <v>2.1999999999999999E-2</v>
      </c>
    </row>
    <row r="69" spans="3:11">
      <c r="C69" s="87">
        <f t="shared" si="13"/>
        <v>2020</v>
      </c>
      <c r="D69" s="41">
        <v>2.1999999999999999E-2</v>
      </c>
      <c r="E69" s="85"/>
      <c r="F69" s="87">
        <f t="shared" si="14"/>
        <v>2029</v>
      </c>
      <c r="G69" s="41">
        <v>2.4E-2</v>
      </c>
      <c r="H69" s="85"/>
      <c r="I69" s="87">
        <f t="shared" si="15"/>
        <v>2038</v>
      </c>
      <c r="J69" s="41">
        <v>2.3E-2</v>
      </c>
    </row>
    <row r="70" spans="3:11">
      <c r="C70" s="87">
        <f t="shared" si="13"/>
        <v>2021</v>
      </c>
      <c r="D70" s="41">
        <v>2.4E-2</v>
      </c>
      <c r="E70" s="85"/>
      <c r="F70" s="87">
        <f t="shared" si="14"/>
        <v>2030</v>
      </c>
      <c r="G70" s="41">
        <v>2.3E-2</v>
      </c>
      <c r="H70" s="85"/>
      <c r="I70" s="87">
        <f t="shared" si="15"/>
        <v>2039</v>
      </c>
      <c r="J70" s="41">
        <v>2.3E-2</v>
      </c>
    </row>
    <row r="71" spans="3:11">
      <c r="C71" s="87">
        <f t="shared" si="13"/>
        <v>2022</v>
      </c>
      <c r="D71" s="41">
        <v>2.4E-2</v>
      </c>
      <c r="E71" s="85"/>
      <c r="F71" s="87">
        <f t="shared" si="14"/>
        <v>2031</v>
      </c>
      <c r="G71" s="41">
        <v>2.3E-2</v>
      </c>
      <c r="H71" s="85"/>
      <c r="I71" s="87">
        <f t="shared" si="15"/>
        <v>2040</v>
      </c>
      <c r="J71" s="41">
        <v>2.3E-2</v>
      </c>
    </row>
    <row r="72" spans="3:11" s="123" customFormat="1">
      <c r="C72" s="87">
        <f t="shared" si="13"/>
        <v>2023</v>
      </c>
      <c r="D72" s="41">
        <v>2.4E-2</v>
      </c>
      <c r="E72" s="86"/>
      <c r="F72" s="87">
        <f t="shared" si="14"/>
        <v>2032</v>
      </c>
      <c r="G72" s="41">
        <v>2.3E-2</v>
      </c>
      <c r="H72" s="86"/>
      <c r="I72" s="87">
        <f t="shared" si="15"/>
        <v>2041</v>
      </c>
      <c r="J72" s="41">
        <v>2.3E-2</v>
      </c>
    </row>
    <row r="73" spans="3:11" s="123" customFormat="1">
      <c r="C73" s="87">
        <f t="shared" si="13"/>
        <v>2024</v>
      </c>
      <c r="D73" s="41">
        <v>2.4E-2</v>
      </c>
      <c r="E73" s="86"/>
      <c r="F73" s="87">
        <f t="shared" si="14"/>
        <v>2033</v>
      </c>
      <c r="G73" s="41">
        <v>2.3E-2</v>
      </c>
      <c r="H73" s="86"/>
      <c r="I73" s="87">
        <f t="shared" si="15"/>
        <v>2042</v>
      </c>
      <c r="J73" s="41">
        <v>2.3E-2</v>
      </c>
    </row>
    <row r="74" spans="3:11" s="123" customFormat="1">
      <c r="C74" s="87">
        <f t="shared" si="13"/>
        <v>2025</v>
      </c>
      <c r="D74" s="41">
        <v>2.3E-2</v>
      </c>
      <c r="E74" s="86"/>
      <c r="F74" s="87">
        <f t="shared" si="14"/>
        <v>2034</v>
      </c>
      <c r="G74" s="41">
        <v>2.3E-2</v>
      </c>
      <c r="H74" s="86"/>
      <c r="I74" s="87">
        <f t="shared" si="15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X102"/>
  <sheetViews>
    <sheetView workbookViewId="0">
      <selection activeCell="C27" sqref="C27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121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TEXT($G$63,"0%")&amp;" Capacity Factor"</f>
        <v>41%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25" t="s">
        <v>88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26</v>
      </c>
    </row>
    <row r="8" spans="2:18" ht="6" customHeight="1">
      <c r="K8" s="123"/>
    </row>
    <row r="9" spans="2:18" ht="15.75">
      <c r="B9" s="43" t="str">
        <f>C52</f>
        <v>2017 IRP Update Wyoming DJ Wind Resource - 41%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223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37.565582271006477</v>
      </c>
      <c r="F11" s="133">
        <f t="shared" ref="F11:F36" si="1">(D11+E11)/(8.76*$G$63)</f>
        <v>10.383313507083287</v>
      </c>
      <c r="G11" s="133">
        <f>$C$58</f>
        <v>0.65</v>
      </c>
      <c r="H11" s="132">
        <f>ROUND(H10*(1+$D66),2)</f>
        <v>0</v>
      </c>
      <c r="I11" s="134">
        <f t="shared" ref="I11:I36" si="2">F11+H11+G11</f>
        <v>11.033313507083287</v>
      </c>
      <c r="J11" s="134">
        <f t="shared" ref="J11:J36" si="3">ROUND(I11*$G$63*8.76,2)</f>
        <v>39.92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10.622242860459718</v>
      </c>
      <c r="G12" s="132">
        <f>ROUND(G11*(1+(IFERROR(INDEX($D$66:$D$74,MATCH($B12,$C$66:$C$74,0),1),0)+IFERROR(INDEX($G$66:$G$74,MATCH($B12,$F$66:$F$74,0),1),0)+IFERROR(INDEX($J$66:$J$74,MATCH($B12,$I$66:$I$74,0),1),0))),2)</f>
        <v>0.66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si="2"/>
        <v>11.282242860459718</v>
      </c>
      <c r="J12" s="134">
        <f t="shared" si="3"/>
        <v>40.82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10.835074684621935</v>
      </c>
      <c r="G13" s="132">
        <f t="shared" si="5"/>
        <v>0.67</v>
      </c>
      <c r="H13" s="132">
        <f t="shared" si="5"/>
        <v>0</v>
      </c>
      <c r="I13" s="134">
        <f t="shared" si="2"/>
        <v>11.505074684621935</v>
      </c>
      <c r="J13" s="134">
        <f t="shared" si="3"/>
        <v>41.62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11.072782955764151</v>
      </c>
      <c r="G14" s="132">
        <f t="shared" si="5"/>
        <v>0.68</v>
      </c>
      <c r="H14" s="132">
        <f t="shared" si="5"/>
        <v>0</v>
      </c>
      <c r="I14" s="134">
        <f t="shared" si="2"/>
        <v>11.75278295576415</v>
      </c>
      <c r="J14" s="134">
        <f t="shared" si="3"/>
        <v>42.52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11.338131723550811</v>
      </c>
      <c r="G15" s="132">
        <f t="shared" si="5"/>
        <v>0.7</v>
      </c>
      <c r="H15" s="132">
        <f t="shared" si="5"/>
        <v>0</v>
      </c>
      <c r="I15" s="134">
        <f t="shared" si="2"/>
        <v>12.03813172355081</v>
      </c>
      <c r="J15" s="134">
        <f t="shared" si="3"/>
        <v>43.55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11.609008590666358</v>
      </c>
      <c r="G16" s="132">
        <f t="shared" si="5"/>
        <v>0.72</v>
      </c>
      <c r="H16" s="132">
        <f t="shared" si="5"/>
        <v>0</v>
      </c>
      <c r="I16" s="134">
        <f t="shared" si="2"/>
        <v>12.329008590666358</v>
      </c>
      <c r="J16" s="134">
        <f t="shared" si="3"/>
        <v>44.6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7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11.888177606775239</v>
      </c>
      <c r="G17" s="132">
        <f t="shared" si="5"/>
        <v>0.74</v>
      </c>
      <c r="H17" s="132">
        <f t="shared" si="5"/>
        <v>0</v>
      </c>
      <c r="I17" s="134">
        <f t="shared" si="2"/>
        <v>12.628177606775239</v>
      </c>
      <c r="J17" s="134">
        <f t="shared" si="3"/>
        <v>45.69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7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12.17287472221301</v>
      </c>
      <c r="G18" s="132">
        <f t="shared" si="5"/>
        <v>0.76</v>
      </c>
      <c r="H18" s="132">
        <f t="shared" si="5"/>
        <v>0</v>
      </c>
      <c r="I18" s="134">
        <f t="shared" si="2"/>
        <v>12.932874722213009</v>
      </c>
      <c r="J18" s="134">
        <f t="shared" si="3"/>
        <v>46.79</v>
      </c>
      <c r="K18" s="132">
        <f t="shared" si="6"/>
        <v>0.69</v>
      </c>
      <c r="L18" s="123"/>
      <c r="P18" s="169">
        <f t="shared" si="4"/>
        <v>0</v>
      </c>
    </row>
    <row r="19" spans="2:17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12.45204373832189</v>
      </c>
      <c r="G19" s="132">
        <f t="shared" si="5"/>
        <v>0.78</v>
      </c>
      <c r="H19" s="132">
        <f t="shared" si="5"/>
        <v>0</v>
      </c>
      <c r="I19" s="134">
        <f t="shared" si="2"/>
        <v>13.23204373832189</v>
      </c>
      <c r="J19" s="134">
        <f t="shared" si="3"/>
        <v>47.87</v>
      </c>
      <c r="K19" s="132">
        <f t="shared" si="6"/>
        <v>0.71</v>
      </c>
      <c r="L19" s="123"/>
      <c r="P19" s="169">
        <f t="shared" si="4"/>
        <v>0</v>
      </c>
    </row>
    <row r="20" spans="2:17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12.739504903424107</v>
      </c>
      <c r="G20" s="132">
        <f t="shared" si="5"/>
        <v>0.8</v>
      </c>
      <c r="H20" s="132">
        <f t="shared" si="5"/>
        <v>0</v>
      </c>
      <c r="I20" s="134">
        <f t="shared" si="2"/>
        <v>13.539504903424108</v>
      </c>
      <c r="J20" s="134">
        <f t="shared" si="3"/>
        <v>48.98</v>
      </c>
      <c r="K20" s="132">
        <f t="shared" si="6"/>
        <v>0.73</v>
      </c>
      <c r="L20" s="123"/>
      <c r="P20" s="169">
        <f t="shared" ref="P20:P28" si="7">ROUND(P19*(1+$G66),2)</f>
        <v>0</v>
      </c>
      <c r="Q20" s="170"/>
    </row>
    <row r="21" spans="2:17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13.032494167855209</v>
      </c>
      <c r="G21" s="132">
        <f t="shared" si="5"/>
        <v>0.82</v>
      </c>
      <c r="H21" s="132">
        <f t="shared" si="5"/>
        <v>0</v>
      </c>
      <c r="I21" s="134">
        <f t="shared" si="2"/>
        <v>13.852494167855209</v>
      </c>
      <c r="J21" s="134">
        <f t="shared" si="3"/>
        <v>50.12</v>
      </c>
      <c r="K21" s="132">
        <f t="shared" si="6"/>
        <v>0.75</v>
      </c>
      <c r="L21" s="123"/>
      <c r="P21" s="169">
        <f t="shared" si="7"/>
        <v>0</v>
      </c>
    </row>
    <row r="22" spans="2:17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13.344831779937424</v>
      </c>
      <c r="G22" s="132">
        <f t="shared" si="5"/>
        <v>0.84</v>
      </c>
      <c r="H22" s="132">
        <f t="shared" si="5"/>
        <v>0</v>
      </c>
      <c r="I22" s="134">
        <f t="shared" si="2"/>
        <v>14.184831779937424</v>
      </c>
      <c r="J22" s="134">
        <f t="shared" si="3"/>
        <v>51.32</v>
      </c>
      <c r="K22" s="132">
        <f t="shared" si="6"/>
        <v>0.77</v>
      </c>
      <c r="L22" s="123"/>
      <c r="P22" s="169">
        <f t="shared" si="7"/>
        <v>0</v>
      </c>
    </row>
    <row r="23" spans="2:17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13.66546154101297</v>
      </c>
      <c r="G23" s="132">
        <f t="shared" si="5"/>
        <v>0.86</v>
      </c>
      <c r="H23" s="132">
        <f t="shared" si="5"/>
        <v>0</v>
      </c>
      <c r="I23" s="134">
        <f t="shared" si="2"/>
        <v>14.525461541012969</v>
      </c>
      <c r="J23" s="134">
        <f t="shared" si="3"/>
        <v>52.55</v>
      </c>
      <c r="K23" s="132">
        <f t="shared" si="6"/>
        <v>0.79</v>
      </c>
      <c r="L23" s="123"/>
      <c r="P23" s="169">
        <f t="shared" si="7"/>
        <v>0</v>
      </c>
    </row>
    <row r="24" spans="2:17">
      <c r="B24" s="140">
        <f t="shared" si="0"/>
        <v>2030</v>
      </c>
      <c r="C24" s="141">
        <f>$C$55</f>
        <v>1353.2739183554006</v>
      </c>
      <c r="D24" s="132">
        <f>C24*$C$62</f>
        <v>96.163526741015119</v>
      </c>
      <c r="E24" s="132">
        <f t="shared" si="5"/>
        <v>50.58</v>
      </c>
      <c r="F24" s="134">
        <f t="shared" si="1"/>
        <v>40.560639584788639</v>
      </c>
      <c r="G24" s="132">
        <f t="shared" si="5"/>
        <v>0.88</v>
      </c>
      <c r="H24" s="132">
        <f t="shared" si="5"/>
        <v>0</v>
      </c>
      <c r="I24" s="134">
        <f t="shared" si="2"/>
        <v>41.440639584788642</v>
      </c>
      <c r="J24" s="134">
        <f t="shared" si="3"/>
        <v>149.93</v>
      </c>
      <c r="K24" s="132">
        <f t="shared" si="6"/>
        <v>0.81</v>
      </c>
      <c r="L24" s="123"/>
      <c r="P24" s="169">
        <f t="shared" si="7"/>
        <v>0</v>
      </c>
    </row>
    <row r="25" spans="2:17">
      <c r="B25" s="140">
        <f t="shared" si="0"/>
        <v>2031</v>
      </c>
      <c r="C25" s="141"/>
      <c r="D25" s="132">
        <f t="shared" si="5"/>
        <v>98.38</v>
      </c>
      <c r="E25" s="132">
        <f t="shared" si="5"/>
        <v>51.74</v>
      </c>
      <c r="F25" s="134">
        <f t="shared" si="1"/>
        <v>41.493913562638902</v>
      </c>
      <c r="G25" s="132">
        <f t="shared" si="5"/>
        <v>0.9</v>
      </c>
      <c r="H25" s="132">
        <f t="shared" si="5"/>
        <v>0</v>
      </c>
      <c r="I25" s="134">
        <f t="shared" si="2"/>
        <v>42.3939135626389</v>
      </c>
      <c r="J25" s="134">
        <f t="shared" si="3"/>
        <v>153.38</v>
      </c>
      <c r="K25" s="132">
        <f t="shared" si="6"/>
        <v>0.83</v>
      </c>
      <c r="L25" s="123"/>
      <c r="P25" s="169">
        <f t="shared" si="7"/>
        <v>0</v>
      </c>
    </row>
    <row r="26" spans="2:17">
      <c r="B26" s="140">
        <f t="shared" si="0"/>
        <v>2032</v>
      </c>
      <c r="C26" s="141"/>
      <c r="D26" s="132">
        <f t="shared" si="5"/>
        <v>100.64</v>
      </c>
      <c r="E26" s="132">
        <f t="shared" si="5"/>
        <v>52.93</v>
      </c>
      <c r="F26" s="134">
        <f t="shared" si="1"/>
        <v>42.447510696872207</v>
      </c>
      <c r="G26" s="132">
        <f t="shared" si="5"/>
        <v>0.92</v>
      </c>
      <c r="H26" s="132">
        <f t="shared" si="5"/>
        <v>0</v>
      </c>
      <c r="I26" s="134">
        <f t="shared" si="2"/>
        <v>43.367510696872209</v>
      </c>
      <c r="J26" s="134">
        <f t="shared" si="3"/>
        <v>156.9</v>
      </c>
      <c r="K26" s="132">
        <f t="shared" si="6"/>
        <v>0.85</v>
      </c>
      <c r="L26" s="123"/>
      <c r="P26" s="169">
        <f t="shared" si="7"/>
        <v>0</v>
      </c>
    </row>
    <row r="27" spans="2:17">
      <c r="B27" s="140">
        <f t="shared" si="0"/>
        <v>2033</v>
      </c>
      <c r="C27" s="141"/>
      <c r="D27" s="132">
        <f t="shared" si="5"/>
        <v>102.95</v>
      </c>
      <c r="E27" s="132">
        <f t="shared" si="5"/>
        <v>54.15</v>
      </c>
      <c r="F27" s="134">
        <f t="shared" si="1"/>
        <v>43.423220228421066</v>
      </c>
      <c r="G27" s="132">
        <f t="shared" si="5"/>
        <v>0.94</v>
      </c>
      <c r="H27" s="132">
        <f t="shared" si="5"/>
        <v>0</v>
      </c>
      <c r="I27" s="134">
        <f t="shared" si="2"/>
        <v>44.363220228421063</v>
      </c>
      <c r="J27" s="134">
        <f t="shared" si="3"/>
        <v>160.5</v>
      </c>
      <c r="K27" s="132">
        <f t="shared" si="6"/>
        <v>0.87</v>
      </c>
      <c r="L27" s="123"/>
      <c r="P27" s="169">
        <f t="shared" si="7"/>
        <v>0</v>
      </c>
    </row>
    <row r="28" spans="2:17">
      <c r="B28" s="140">
        <f t="shared" si="0"/>
        <v>2034</v>
      </c>
      <c r="C28" s="141"/>
      <c r="D28" s="132">
        <f t="shared" si="5"/>
        <v>105.32</v>
      </c>
      <c r="E28" s="132">
        <f t="shared" si="5"/>
        <v>55.4</v>
      </c>
      <c r="F28" s="134">
        <f t="shared" si="1"/>
        <v>44.423806206949934</v>
      </c>
      <c r="G28" s="132">
        <f t="shared" si="5"/>
        <v>0.96</v>
      </c>
      <c r="H28" s="132">
        <f t="shared" si="5"/>
        <v>0</v>
      </c>
      <c r="I28" s="134">
        <f t="shared" si="2"/>
        <v>45.383806206949934</v>
      </c>
      <c r="J28" s="134">
        <f t="shared" si="3"/>
        <v>164.19</v>
      </c>
      <c r="K28" s="132">
        <f t="shared" si="6"/>
        <v>0.89</v>
      </c>
      <c r="L28" s="123"/>
      <c r="P28" s="169">
        <f t="shared" si="7"/>
        <v>0</v>
      </c>
    </row>
    <row r="29" spans="2:17">
      <c r="B29" s="140">
        <f t="shared" si="0"/>
        <v>2035</v>
      </c>
      <c r="C29" s="141"/>
      <c r="D29" s="132">
        <f t="shared" si="5"/>
        <v>107.64</v>
      </c>
      <c r="E29" s="132">
        <f t="shared" si="5"/>
        <v>56.62</v>
      </c>
      <c r="F29" s="134">
        <f t="shared" si="1"/>
        <v>45.402279788163234</v>
      </c>
      <c r="G29" s="132">
        <f t="shared" si="5"/>
        <v>0.98</v>
      </c>
      <c r="H29" s="132">
        <f t="shared" si="5"/>
        <v>0</v>
      </c>
      <c r="I29" s="134">
        <f t="shared" si="2"/>
        <v>46.382279788163231</v>
      </c>
      <c r="J29" s="134">
        <f t="shared" si="3"/>
        <v>167.81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7">
      <c r="B30" s="140">
        <f t="shared" si="0"/>
        <v>2036</v>
      </c>
      <c r="C30" s="141"/>
      <c r="D30" s="132">
        <f t="shared" si="5"/>
        <v>110.01</v>
      </c>
      <c r="E30" s="132">
        <f t="shared" si="5"/>
        <v>57.87</v>
      </c>
      <c r="F30" s="134">
        <f t="shared" si="1"/>
        <v>46.402865766692102</v>
      </c>
      <c r="G30" s="132">
        <f t="shared" si="5"/>
        <v>1</v>
      </c>
      <c r="H30" s="132">
        <f t="shared" si="5"/>
        <v>0</v>
      </c>
      <c r="I30" s="134">
        <f t="shared" si="2"/>
        <v>47.402865766692102</v>
      </c>
      <c r="J30" s="134">
        <f t="shared" si="3"/>
        <v>171.5</v>
      </c>
      <c r="K30" s="132">
        <f t="shared" si="6"/>
        <v>0.93</v>
      </c>
      <c r="L30" s="123"/>
      <c r="P30" s="169">
        <f t="shared" si="8"/>
        <v>0</v>
      </c>
    </row>
    <row r="31" spans="2:17">
      <c r="B31" s="140">
        <f t="shared" si="0"/>
        <v>2037</v>
      </c>
      <c r="C31" s="141"/>
      <c r="D31" s="132">
        <f t="shared" si="5"/>
        <v>112.43</v>
      </c>
      <c r="E31" s="132">
        <f t="shared" si="5"/>
        <v>59.14</v>
      </c>
      <c r="F31" s="134">
        <f t="shared" si="1"/>
        <v>47.422800092872073</v>
      </c>
      <c r="G31" s="132">
        <f t="shared" si="5"/>
        <v>1.02</v>
      </c>
      <c r="H31" s="132">
        <f t="shared" si="5"/>
        <v>0</v>
      </c>
      <c r="I31" s="134">
        <f t="shared" si="2"/>
        <v>48.442800092872076</v>
      </c>
      <c r="J31" s="134">
        <f t="shared" si="3"/>
        <v>175.26</v>
      </c>
      <c r="K31" s="132">
        <f t="shared" si="6"/>
        <v>0.95</v>
      </c>
      <c r="L31" s="123"/>
      <c r="P31" s="169">
        <f t="shared" si="8"/>
        <v>0</v>
      </c>
    </row>
    <row r="32" spans="2:17">
      <c r="B32" s="140">
        <f t="shared" si="0"/>
        <v>2038</v>
      </c>
      <c r="C32" s="141"/>
      <c r="D32" s="132">
        <f t="shared" si="5"/>
        <v>115.02</v>
      </c>
      <c r="E32" s="132">
        <f t="shared" si="5"/>
        <v>60.5</v>
      </c>
      <c r="F32" s="134">
        <f t="shared" si="1"/>
        <v>48.514599710327595</v>
      </c>
      <c r="G32" s="132">
        <f t="shared" si="5"/>
        <v>1.04</v>
      </c>
      <c r="H32" s="132">
        <f t="shared" si="5"/>
        <v>0</v>
      </c>
      <c r="I32" s="134">
        <f t="shared" si="2"/>
        <v>49.554599710327594</v>
      </c>
      <c r="J32" s="134">
        <f t="shared" si="3"/>
        <v>179.28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117.67</v>
      </c>
      <c r="E33" s="132">
        <f t="shared" si="5"/>
        <v>61.89</v>
      </c>
      <c r="F33" s="134">
        <f t="shared" si="1"/>
        <v>49.631275774763125</v>
      </c>
      <c r="G33" s="132">
        <f t="shared" si="5"/>
        <v>1.06</v>
      </c>
      <c r="H33" s="132">
        <f t="shared" si="5"/>
        <v>0</v>
      </c>
      <c r="I33" s="134">
        <f t="shared" si="2"/>
        <v>50.691275774763128</v>
      </c>
      <c r="J33" s="134">
        <f t="shared" si="3"/>
        <v>183.39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120.38</v>
      </c>
      <c r="E34" s="132">
        <f t="shared" si="5"/>
        <v>63.31</v>
      </c>
      <c r="F34" s="134">
        <f t="shared" si="1"/>
        <v>50.772828286178651</v>
      </c>
      <c r="G34" s="132">
        <f t="shared" si="5"/>
        <v>1.08</v>
      </c>
      <c r="H34" s="132">
        <f t="shared" si="5"/>
        <v>0</v>
      </c>
      <c r="I34" s="134">
        <f t="shared" si="2"/>
        <v>51.852828286178649</v>
      </c>
      <c r="J34" s="134">
        <f t="shared" si="3"/>
        <v>187.6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123.15</v>
      </c>
      <c r="E35" s="132">
        <f t="shared" si="5"/>
        <v>64.77</v>
      </c>
      <c r="F35" s="134">
        <f t="shared" si="1"/>
        <v>51.942021294238629</v>
      </c>
      <c r="G35" s="132">
        <f t="shared" si="5"/>
        <v>1.1000000000000001</v>
      </c>
      <c r="H35" s="132">
        <f t="shared" si="5"/>
        <v>0</v>
      </c>
      <c r="I35" s="134">
        <f t="shared" si="2"/>
        <v>53.04202129423863</v>
      </c>
      <c r="J35" s="134">
        <f t="shared" si="3"/>
        <v>191.9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125.98</v>
      </c>
      <c r="E36" s="132">
        <f t="shared" si="5"/>
        <v>66.260000000000005</v>
      </c>
      <c r="F36" s="134">
        <f t="shared" si="1"/>
        <v>53.136090749278594</v>
      </c>
      <c r="G36" s="132">
        <f t="shared" si="5"/>
        <v>1.1299999999999999</v>
      </c>
      <c r="H36" s="132">
        <f t="shared" si="5"/>
        <v>0</v>
      </c>
      <c r="I36" s="134">
        <f t="shared" si="2"/>
        <v>54.266090749278597</v>
      </c>
      <c r="J36" s="134">
        <f t="shared" si="3"/>
        <v>196.33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tr">
        <f>'Table 3 EV2020 Wind_2020'!D44</f>
        <v>Plant Costs  - 2017 IRP Update - Table 5.4 &amp; 5.5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"&amp;TEXT(G63,"0.0%")&amp;")"</f>
        <v>= ((b) + (c)) /  (8.76 x 41.3%)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(i)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Wyoming DJ Wind Resource - 41%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119</v>
      </c>
      <c r="C55" s="185">
        <v>1353.2739183554006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37.565582271006477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0.65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222">
        <v>0.43118737343656394</v>
      </c>
      <c r="D63" s="121" t="s">
        <v>39</v>
      </c>
      <c r="G63" s="225">
        <v>0.41299999999999998</v>
      </c>
      <c r="H63" s="121" t="s">
        <v>140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landscape" r:id="rId1"/>
  <headerFooter alignWithMargins="0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125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E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11.77601538091805</v>
      </c>
      <c r="G13" s="132">
        <f t="shared" ref="G13:H36" si="6">ROUND(G12*(1+(IFERROR(INDEX($D$66:$D$74,MATCH($B13,$C$66:$C$74,0),1),0)+IFERROR(INDEX($G$66:$G$74,MATCH($B13,$F$66:$F$74,0),1),0)+IFERROR(INDEX($J$66:$J$74,MATCH($B13,$I$66:$I$74,0),1),0))),2)</f>
        <v>0</v>
      </c>
      <c r="H13" s="132">
        <f t="shared" si="6"/>
        <v>0</v>
      </c>
      <c r="I13" s="134">
        <f t="shared" si="3"/>
        <v>11.77601538091805</v>
      </c>
      <c r="J13" s="134">
        <f t="shared" si="2"/>
        <v>39.200000000000003</v>
      </c>
      <c r="K13" s="132">
        <f t="shared" ref="K13:K36" si="7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12.034366738764721</v>
      </c>
      <c r="G14" s="132">
        <f t="shared" si="6"/>
        <v>0</v>
      </c>
      <c r="H14" s="132">
        <f t="shared" si="6"/>
        <v>0</v>
      </c>
      <c r="I14" s="134">
        <f t="shared" si="3"/>
        <v>12.034366738764721</v>
      </c>
      <c r="J14" s="134">
        <f t="shared" si="2"/>
        <v>40.06</v>
      </c>
      <c r="K14" s="132">
        <f t="shared" si="7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12.32275895217496</v>
      </c>
      <c r="G15" s="132">
        <f t="shared" si="6"/>
        <v>0</v>
      </c>
      <c r="H15" s="132">
        <f t="shared" si="6"/>
        <v>0</v>
      </c>
      <c r="I15" s="134">
        <f t="shared" si="3"/>
        <v>12.32275895217496</v>
      </c>
      <c r="J15" s="134">
        <f t="shared" si="2"/>
        <v>41.02</v>
      </c>
      <c r="K15" s="132">
        <f t="shared" si="7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12.61715933669791</v>
      </c>
      <c r="G16" s="132">
        <f t="shared" si="6"/>
        <v>0</v>
      </c>
      <c r="H16" s="132">
        <f t="shared" si="6"/>
        <v>0</v>
      </c>
      <c r="I16" s="134">
        <f t="shared" si="3"/>
        <v>12.61715933669791</v>
      </c>
      <c r="J16" s="134">
        <f t="shared" si="2"/>
        <v>42</v>
      </c>
      <c r="K16" s="132">
        <f t="shared" si="7"/>
        <v>0.65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12.920571977889932</v>
      </c>
      <c r="G17" s="132">
        <f t="shared" si="6"/>
        <v>0</v>
      </c>
      <c r="H17" s="132">
        <f t="shared" si="6"/>
        <v>0</v>
      </c>
      <c r="I17" s="134">
        <f t="shared" si="3"/>
        <v>12.920571977889932</v>
      </c>
      <c r="J17" s="134">
        <f t="shared" si="2"/>
        <v>43.01</v>
      </c>
      <c r="K17" s="132">
        <f t="shared" si="7"/>
        <v>0.67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13.229992790194665</v>
      </c>
      <c r="G18" s="132">
        <f t="shared" si="6"/>
        <v>0</v>
      </c>
      <c r="H18" s="132">
        <f t="shared" si="6"/>
        <v>0</v>
      </c>
      <c r="I18" s="134">
        <f t="shared" si="3"/>
        <v>13.229992790194665</v>
      </c>
      <c r="J18" s="134">
        <f t="shared" si="2"/>
        <v>44.04</v>
      </c>
      <c r="K18" s="132">
        <f t="shared" si="7"/>
        <v>0.69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13.533405431386687</v>
      </c>
      <c r="G19" s="132">
        <f t="shared" si="6"/>
        <v>0</v>
      </c>
      <c r="H19" s="132">
        <f t="shared" si="6"/>
        <v>0</v>
      </c>
      <c r="I19" s="134">
        <f t="shared" si="3"/>
        <v>13.533405431386687</v>
      </c>
      <c r="J19" s="134">
        <f t="shared" si="2"/>
        <v>45.05</v>
      </c>
      <c r="K19" s="132">
        <f t="shared" si="7"/>
        <v>0.71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13.845830329247779</v>
      </c>
      <c r="G20" s="132">
        <f t="shared" si="6"/>
        <v>0</v>
      </c>
      <c r="H20" s="132">
        <f t="shared" si="6"/>
        <v>0</v>
      </c>
      <c r="I20" s="134">
        <f t="shared" si="3"/>
        <v>13.845830329247779</v>
      </c>
      <c r="J20" s="134">
        <f t="shared" si="2"/>
        <v>46.09</v>
      </c>
      <c r="K20" s="132">
        <f t="shared" si="7"/>
        <v>0.73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14.164263398221582</v>
      </c>
      <c r="G21" s="132">
        <f t="shared" si="6"/>
        <v>0</v>
      </c>
      <c r="H21" s="132">
        <f t="shared" si="6"/>
        <v>0</v>
      </c>
      <c r="I21" s="134">
        <f t="shared" si="3"/>
        <v>14.164263398221582</v>
      </c>
      <c r="J21" s="134">
        <f t="shared" si="2"/>
        <v>47.15</v>
      </c>
      <c r="K21" s="132">
        <f t="shared" si="7"/>
        <v>0.75</v>
      </c>
      <c r="L21" s="123"/>
      <c r="N21" s="135"/>
      <c r="O21" s="137"/>
      <c r="P21" s="169">
        <f t="shared" ref="P21:P28" si="8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14.503725066089883</v>
      </c>
      <c r="G22" s="132">
        <f t="shared" si="6"/>
        <v>0</v>
      </c>
      <c r="H22" s="132">
        <f t="shared" si="6"/>
        <v>0</v>
      </c>
      <c r="I22" s="134">
        <f t="shared" si="3"/>
        <v>14.503725066089883</v>
      </c>
      <c r="J22" s="134">
        <f t="shared" si="2"/>
        <v>48.28</v>
      </c>
      <c r="K22" s="132">
        <f t="shared" si="7"/>
        <v>0.77</v>
      </c>
      <c r="L22" s="123"/>
      <c r="N22" s="135"/>
      <c r="O22" s="137"/>
      <c r="P22" s="169">
        <f t="shared" si="8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14.852198990627253</v>
      </c>
      <c r="G23" s="132">
        <f t="shared" si="6"/>
        <v>0</v>
      </c>
      <c r="H23" s="132">
        <f t="shared" si="6"/>
        <v>0</v>
      </c>
      <c r="I23" s="134">
        <f t="shared" si="3"/>
        <v>14.852198990627253</v>
      </c>
      <c r="J23" s="134">
        <f t="shared" si="2"/>
        <v>49.44</v>
      </c>
      <c r="K23" s="132">
        <f t="shared" si="7"/>
        <v>0.79</v>
      </c>
      <c r="L23" s="123"/>
      <c r="N23" s="135"/>
      <c r="O23" s="137"/>
      <c r="P23" s="169">
        <f t="shared" si="8"/>
        <v>0</v>
      </c>
    </row>
    <row r="24" spans="2:16">
      <c r="B24" s="140">
        <f t="shared" si="0"/>
        <v>2030</v>
      </c>
      <c r="C24" s="131">
        <f>$C$55</f>
        <v>1410.7096380374778</v>
      </c>
      <c r="D24" s="132">
        <f>C24*$C$62</f>
        <v>100.24490397781955</v>
      </c>
      <c r="E24" s="132">
        <f t="shared" si="5"/>
        <v>50.58</v>
      </c>
      <c r="F24" s="134">
        <f t="shared" si="1"/>
        <v>45.309091557864555</v>
      </c>
      <c r="G24" s="132">
        <f t="shared" si="6"/>
        <v>0</v>
      </c>
      <c r="H24" s="132">
        <f t="shared" si="6"/>
        <v>0</v>
      </c>
      <c r="I24" s="134">
        <f t="shared" si="3"/>
        <v>45.309091557864555</v>
      </c>
      <c r="J24" s="134">
        <f t="shared" si="2"/>
        <v>150.82</v>
      </c>
      <c r="K24" s="132">
        <f t="shared" si="7"/>
        <v>0.81</v>
      </c>
      <c r="L24" s="123"/>
      <c r="N24" s="135"/>
      <c r="O24" s="137"/>
      <c r="P24" s="169">
        <f t="shared" si="8"/>
        <v>0</v>
      </c>
    </row>
    <row r="25" spans="2:16">
      <c r="B25" s="140">
        <f t="shared" si="0"/>
        <v>2031</v>
      </c>
      <c r="C25" s="141"/>
      <c r="D25" s="132">
        <f t="shared" si="5"/>
        <v>102.55</v>
      </c>
      <c r="E25" s="132">
        <f t="shared" si="5"/>
        <v>51.74</v>
      </c>
      <c r="F25" s="134">
        <f t="shared" si="1"/>
        <v>46.350036049026677</v>
      </c>
      <c r="G25" s="132">
        <f t="shared" si="6"/>
        <v>0</v>
      </c>
      <c r="H25" s="132">
        <f t="shared" si="6"/>
        <v>0</v>
      </c>
      <c r="I25" s="134">
        <f t="shared" si="3"/>
        <v>46.350036049026677</v>
      </c>
      <c r="J25" s="134">
        <f t="shared" si="2"/>
        <v>154.29</v>
      </c>
      <c r="K25" s="132">
        <f t="shared" si="7"/>
        <v>0.83</v>
      </c>
      <c r="L25" s="123"/>
      <c r="N25" s="135"/>
      <c r="O25" s="137"/>
      <c r="P25" s="169">
        <f t="shared" si="8"/>
        <v>0</v>
      </c>
    </row>
    <row r="26" spans="2:16">
      <c r="B26" s="140">
        <f t="shared" si="0"/>
        <v>2032</v>
      </c>
      <c r="C26" s="141"/>
      <c r="D26" s="132">
        <f t="shared" si="5"/>
        <v>104.91</v>
      </c>
      <c r="E26" s="132">
        <f t="shared" si="5"/>
        <v>52.93</v>
      </c>
      <c r="F26" s="134">
        <f t="shared" si="1"/>
        <v>47.416486421533293</v>
      </c>
      <c r="G26" s="132">
        <f t="shared" si="6"/>
        <v>0</v>
      </c>
      <c r="H26" s="132">
        <f t="shared" si="6"/>
        <v>0</v>
      </c>
      <c r="I26" s="134">
        <f t="shared" si="3"/>
        <v>47.416486421533293</v>
      </c>
      <c r="J26" s="134">
        <f t="shared" si="2"/>
        <v>157.84</v>
      </c>
      <c r="K26" s="132">
        <f t="shared" si="7"/>
        <v>0.85</v>
      </c>
      <c r="L26" s="123"/>
      <c r="N26" s="135"/>
      <c r="O26" s="137"/>
      <c r="P26" s="169">
        <f t="shared" si="8"/>
        <v>0</v>
      </c>
    </row>
    <row r="27" spans="2:16">
      <c r="B27" s="140">
        <f t="shared" si="0"/>
        <v>2033</v>
      </c>
      <c r="C27" s="131"/>
      <c r="D27" s="132">
        <f t="shared" si="5"/>
        <v>107.32</v>
      </c>
      <c r="E27" s="132">
        <f t="shared" si="5"/>
        <v>54.15</v>
      </c>
      <c r="F27" s="134">
        <f t="shared" si="1"/>
        <v>48.506969478490753</v>
      </c>
      <c r="G27" s="132">
        <f t="shared" si="6"/>
        <v>0</v>
      </c>
      <c r="H27" s="132">
        <f t="shared" si="6"/>
        <v>0</v>
      </c>
      <c r="I27" s="134">
        <f t="shared" si="3"/>
        <v>48.506969478490753</v>
      </c>
      <c r="J27" s="134">
        <f t="shared" si="2"/>
        <v>161.47</v>
      </c>
      <c r="K27" s="132">
        <f t="shared" si="7"/>
        <v>0.87</v>
      </c>
      <c r="L27" s="123"/>
      <c r="P27" s="169">
        <f t="shared" si="8"/>
        <v>0</v>
      </c>
    </row>
    <row r="28" spans="2:16">
      <c r="B28" s="140">
        <f t="shared" si="0"/>
        <v>2034</v>
      </c>
      <c r="C28" s="141"/>
      <c r="D28" s="132">
        <f t="shared" si="5"/>
        <v>109.79</v>
      </c>
      <c r="E28" s="132">
        <f t="shared" si="5"/>
        <v>55.4</v>
      </c>
      <c r="F28" s="134">
        <f t="shared" si="1"/>
        <v>49.62448930545542</v>
      </c>
      <c r="G28" s="132">
        <f t="shared" si="6"/>
        <v>0</v>
      </c>
      <c r="H28" s="132">
        <f t="shared" si="6"/>
        <v>0</v>
      </c>
      <c r="I28" s="134">
        <f t="shared" si="3"/>
        <v>49.62448930545542</v>
      </c>
      <c r="J28" s="134">
        <f t="shared" si="2"/>
        <v>165.19</v>
      </c>
      <c r="K28" s="132">
        <f t="shared" si="7"/>
        <v>0.89</v>
      </c>
      <c r="L28" s="123"/>
      <c r="P28" s="169">
        <f t="shared" si="8"/>
        <v>0</v>
      </c>
    </row>
    <row r="29" spans="2:16">
      <c r="B29" s="140">
        <f t="shared" si="0"/>
        <v>2035</v>
      </c>
      <c r="C29" s="141"/>
      <c r="D29" s="132">
        <f t="shared" si="5"/>
        <v>112.21</v>
      </c>
      <c r="E29" s="132">
        <f t="shared" si="5"/>
        <v>56.62</v>
      </c>
      <c r="F29" s="134">
        <f t="shared" si="1"/>
        <v>50.717976447969235</v>
      </c>
      <c r="G29" s="132">
        <f t="shared" si="6"/>
        <v>0</v>
      </c>
      <c r="H29" s="132">
        <f t="shared" si="6"/>
        <v>0</v>
      </c>
      <c r="I29" s="134">
        <f t="shared" si="3"/>
        <v>50.717976447969235</v>
      </c>
      <c r="J29" s="134">
        <f t="shared" si="2"/>
        <v>168.83</v>
      </c>
      <c r="K29" s="132">
        <f t="shared" si="7"/>
        <v>0.91</v>
      </c>
      <c r="L29" s="123"/>
      <c r="P29" s="169">
        <f t="shared" ref="P29:P36" si="9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114.68</v>
      </c>
      <c r="E30" s="132">
        <f t="shared" si="5"/>
        <v>57.87</v>
      </c>
      <c r="F30" s="134">
        <f t="shared" si="1"/>
        <v>51.835496274933917</v>
      </c>
      <c r="G30" s="132">
        <f t="shared" si="6"/>
        <v>0</v>
      </c>
      <c r="H30" s="132">
        <f t="shared" si="6"/>
        <v>0</v>
      </c>
      <c r="I30" s="134">
        <f t="shared" si="3"/>
        <v>51.835496274933917</v>
      </c>
      <c r="J30" s="134">
        <f t="shared" si="2"/>
        <v>172.55</v>
      </c>
      <c r="K30" s="132">
        <f t="shared" si="7"/>
        <v>0.93</v>
      </c>
      <c r="L30" s="123"/>
      <c r="P30" s="169">
        <f t="shared" si="9"/>
        <v>0</v>
      </c>
    </row>
    <row r="31" spans="2:16">
      <c r="B31" s="140">
        <f t="shared" si="0"/>
        <v>2037</v>
      </c>
      <c r="C31" s="141"/>
      <c r="D31" s="132">
        <f t="shared" si="5"/>
        <v>117.2</v>
      </c>
      <c r="E31" s="132">
        <f t="shared" si="5"/>
        <v>59.14</v>
      </c>
      <c r="F31" s="134">
        <f t="shared" si="1"/>
        <v>52.974044700793087</v>
      </c>
      <c r="G31" s="132">
        <f t="shared" si="6"/>
        <v>0</v>
      </c>
      <c r="H31" s="132">
        <f t="shared" si="6"/>
        <v>0</v>
      </c>
      <c r="I31" s="134">
        <f t="shared" si="3"/>
        <v>52.974044700793087</v>
      </c>
      <c r="J31" s="134">
        <f t="shared" si="2"/>
        <v>176.34</v>
      </c>
      <c r="K31" s="132">
        <f t="shared" si="7"/>
        <v>0.95</v>
      </c>
      <c r="L31" s="123"/>
      <c r="P31" s="169">
        <f t="shared" si="9"/>
        <v>0</v>
      </c>
    </row>
    <row r="32" spans="2:16">
      <c r="B32" s="140">
        <f t="shared" si="0"/>
        <v>2038</v>
      </c>
      <c r="C32" s="141"/>
      <c r="D32" s="132">
        <f t="shared" si="5"/>
        <v>119.9</v>
      </c>
      <c r="E32" s="132">
        <f t="shared" si="5"/>
        <v>60.5</v>
      </c>
      <c r="F32" s="134">
        <f t="shared" si="1"/>
        <v>54.193703436673879</v>
      </c>
      <c r="G32" s="132">
        <f t="shared" si="6"/>
        <v>0</v>
      </c>
      <c r="H32" s="132">
        <f t="shared" si="6"/>
        <v>0</v>
      </c>
      <c r="I32" s="134">
        <f t="shared" si="3"/>
        <v>54.193703436673879</v>
      </c>
      <c r="J32" s="134">
        <f t="shared" si="2"/>
        <v>180.4</v>
      </c>
      <c r="K32" s="132">
        <f t="shared" si="7"/>
        <v>0.97</v>
      </c>
      <c r="L32" s="123"/>
      <c r="P32" s="169">
        <f t="shared" si="9"/>
        <v>0</v>
      </c>
    </row>
    <row r="33" spans="2:16">
      <c r="B33" s="140">
        <f t="shared" si="0"/>
        <v>2039</v>
      </c>
      <c r="C33" s="141"/>
      <c r="D33" s="132">
        <f t="shared" si="5"/>
        <v>122.66</v>
      </c>
      <c r="E33" s="132">
        <f t="shared" si="5"/>
        <v>61.89</v>
      </c>
      <c r="F33" s="134">
        <f t="shared" si="1"/>
        <v>55.440398942561892</v>
      </c>
      <c r="G33" s="132">
        <f t="shared" si="6"/>
        <v>0</v>
      </c>
      <c r="H33" s="132">
        <f t="shared" si="6"/>
        <v>0</v>
      </c>
      <c r="I33" s="134">
        <f t="shared" si="3"/>
        <v>55.440398942561892</v>
      </c>
      <c r="J33" s="134">
        <f t="shared" si="2"/>
        <v>184.55</v>
      </c>
      <c r="K33" s="132">
        <f t="shared" si="7"/>
        <v>0.99</v>
      </c>
      <c r="L33" s="123"/>
      <c r="P33" s="169">
        <f t="shared" si="9"/>
        <v>0</v>
      </c>
    </row>
    <row r="34" spans="2:16">
      <c r="B34" s="140">
        <f t="shared" si="0"/>
        <v>2040</v>
      </c>
      <c r="C34" s="141"/>
      <c r="D34" s="132">
        <f t="shared" si="5"/>
        <v>125.48</v>
      </c>
      <c r="E34" s="132">
        <f t="shared" si="5"/>
        <v>63.31</v>
      </c>
      <c r="F34" s="134">
        <f t="shared" si="1"/>
        <v>56.714131218457112</v>
      </c>
      <c r="G34" s="132">
        <f t="shared" si="6"/>
        <v>0</v>
      </c>
      <c r="H34" s="132">
        <f t="shared" si="6"/>
        <v>0</v>
      </c>
      <c r="I34" s="134">
        <f t="shared" si="3"/>
        <v>56.714131218457112</v>
      </c>
      <c r="J34" s="134">
        <f t="shared" si="2"/>
        <v>188.79</v>
      </c>
      <c r="K34" s="132">
        <f t="shared" si="7"/>
        <v>1.01</v>
      </c>
      <c r="L34" s="123"/>
      <c r="P34" s="169">
        <f t="shared" si="9"/>
        <v>0</v>
      </c>
    </row>
    <row r="35" spans="2:16">
      <c r="B35" s="140">
        <f t="shared" si="0"/>
        <v>2041</v>
      </c>
      <c r="C35" s="141"/>
      <c r="D35" s="132">
        <f t="shared" si="5"/>
        <v>128.37</v>
      </c>
      <c r="E35" s="132">
        <f t="shared" si="5"/>
        <v>64.77</v>
      </c>
      <c r="F35" s="134">
        <f t="shared" si="1"/>
        <v>58.020908435472244</v>
      </c>
      <c r="G35" s="132">
        <f t="shared" si="6"/>
        <v>0</v>
      </c>
      <c r="H35" s="132">
        <f t="shared" si="6"/>
        <v>0</v>
      </c>
      <c r="I35" s="134">
        <f t="shared" si="3"/>
        <v>58.020908435472244</v>
      </c>
      <c r="J35" s="134">
        <f t="shared" si="2"/>
        <v>193.14</v>
      </c>
      <c r="K35" s="132">
        <f t="shared" si="7"/>
        <v>1.03</v>
      </c>
      <c r="L35" s="123"/>
      <c r="P35" s="169">
        <f t="shared" si="9"/>
        <v>0</v>
      </c>
    </row>
    <row r="36" spans="2:16">
      <c r="B36" s="140">
        <f t="shared" si="0"/>
        <v>2042</v>
      </c>
      <c r="C36" s="141"/>
      <c r="D36" s="132">
        <f t="shared" si="5"/>
        <v>131.32</v>
      </c>
      <c r="E36" s="132">
        <f t="shared" si="5"/>
        <v>66.260000000000005</v>
      </c>
      <c r="F36" s="134">
        <f t="shared" si="1"/>
        <v>59.354722422494589</v>
      </c>
      <c r="G36" s="132">
        <f t="shared" si="6"/>
        <v>0</v>
      </c>
      <c r="H36" s="132">
        <f t="shared" si="6"/>
        <v>0</v>
      </c>
      <c r="I36" s="134">
        <f t="shared" si="3"/>
        <v>59.354722422494589</v>
      </c>
      <c r="J36" s="134">
        <f t="shared" si="2"/>
        <v>197.58</v>
      </c>
      <c r="K36" s="132">
        <f t="shared" si="7"/>
        <v>1.05</v>
      </c>
      <c r="L36" s="123"/>
      <c r="P36" s="169">
        <f t="shared" si="9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">
        <v>117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119</v>
      </c>
      <c r="C55" s="185">
        <v>1410.7096380374778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10">C66+1</f>
        <v>2018</v>
      </c>
      <c r="D67" s="41">
        <v>2.3E-2</v>
      </c>
      <c r="E67" s="85"/>
      <c r="F67" s="87">
        <f t="shared" ref="F67:F74" si="11">F66+1</f>
        <v>2027</v>
      </c>
      <c r="G67" s="41">
        <v>2.3E-2</v>
      </c>
      <c r="H67" s="85"/>
      <c r="I67" s="87">
        <f t="shared" ref="I67:I74" si="12">I66+1</f>
        <v>2036</v>
      </c>
      <c r="J67" s="41">
        <v>2.1999999999999999E-2</v>
      </c>
    </row>
    <row r="68" spans="3:11">
      <c r="C68" s="87">
        <f t="shared" si="10"/>
        <v>2019</v>
      </c>
      <c r="D68" s="41">
        <v>0.02</v>
      </c>
      <c r="E68" s="85"/>
      <c r="F68" s="87">
        <f t="shared" si="11"/>
        <v>2028</v>
      </c>
      <c r="G68" s="41">
        <v>2.4E-2</v>
      </c>
      <c r="H68" s="85"/>
      <c r="I68" s="87">
        <f t="shared" si="12"/>
        <v>2037</v>
      </c>
      <c r="J68" s="41">
        <v>2.1999999999999999E-2</v>
      </c>
    </row>
    <row r="69" spans="3:11">
      <c r="C69" s="87">
        <f t="shared" si="10"/>
        <v>2020</v>
      </c>
      <c r="D69" s="41">
        <v>2.1999999999999999E-2</v>
      </c>
      <c r="E69" s="85"/>
      <c r="F69" s="87">
        <f t="shared" si="11"/>
        <v>2029</v>
      </c>
      <c r="G69" s="41">
        <v>2.4E-2</v>
      </c>
      <c r="H69" s="85"/>
      <c r="I69" s="87">
        <f t="shared" si="12"/>
        <v>2038</v>
      </c>
      <c r="J69" s="41">
        <v>2.3E-2</v>
      </c>
    </row>
    <row r="70" spans="3:11">
      <c r="C70" s="87">
        <f t="shared" si="10"/>
        <v>2021</v>
      </c>
      <c r="D70" s="41">
        <v>2.4E-2</v>
      </c>
      <c r="E70" s="85"/>
      <c r="F70" s="87">
        <f t="shared" si="11"/>
        <v>2030</v>
      </c>
      <c r="G70" s="41">
        <v>2.3E-2</v>
      </c>
      <c r="H70" s="85"/>
      <c r="I70" s="87">
        <f t="shared" si="12"/>
        <v>2039</v>
      </c>
      <c r="J70" s="41">
        <v>2.3E-2</v>
      </c>
    </row>
    <row r="71" spans="3:11">
      <c r="C71" s="87">
        <f t="shared" si="10"/>
        <v>2022</v>
      </c>
      <c r="D71" s="41">
        <v>2.4E-2</v>
      </c>
      <c r="E71" s="85"/>
      <c r="F71" s="87">
        <f t="shared" si="11"/>
        <v>2031</v>
      </c>
      <c r="G71" s="41">
        <v>2.3E-2</v>
      </c>
      <c r="H71" s="85"/>
      <c r="I71" s="87">
        <f t="shared" si="12"/>
        <v>2040</v>
      </c>
      <c r="J71" s="41">
        <v>2.3E-2</v>
      </c>
    </row>
    <row r="72" spans="3:11" s="123" customFormat="1">
      <c r="C72" s="87">
        <f t="shared" si="10"/>
        <v>2023</v>
      </c>
      <c r="D72" s="41">
        <v>2.4E-2</v>
      </c>
      <c r="E72" s="86"/>
      <c r="F72" s="87">
        <f t="shared" si="11"/>
        <v>2032</v>
      </c>
      <c r="G72" s="41">
        <v>2.3E-2</v>
      </c>
      <c r="H72" s="86"/>
      <c r="I72" s="87">
        <f t="shared" si="12"/>
        <v>2041</v>
      </c>
      <c r="J72" s="41">
        <v>2.3E-2</v>
      </c>
    </row>
    <row r="73" spans="3:11" s="123" customFormat="1">
      <c r="C73" s="87">
        <f t="shared" si="10"/>
        <v>2024</v>
      </c>
      <c r="D73" s="41">
        <v>2.4E-2</v>
      </c>
      <c r="E73" s="86"/>
      <c r="F73" s="87">
        <f t="shared" si="11"/>
        <v>2033</v>
      </c>
      <c r="G73" s="41">
        <v>2.3E-2</v>
      </c>
      <c r="H73" s="86"/>
      <c r="I73" s="87">
        <f t="shared" si="12"/>
        <v>2042</v>
      </c>
      <c r="J73" s="41">
        <v>2.3E-2</v>
      </c>
    </row>
    <row r="74" spans="3:11" s="123" customFormat="1">
      <c r="C74" s="87">
        <f t="shared" si="10"/>
        <v>2025</v>
      </c>
      <c r="D74" s="41">
        <v>2.3E-2</v>
      </c>
      <c r="E74" s="86"/>
      <c r="F74" s="87">
        <f t="shared" si="11"/>
        <v>2034</v>
      </c>
      <c r="G74" s="41">
        <v>2.3E-2</v>
      </c>
      <c r="H74" s="86"/>
      <c r="I74" s="87">
        <f t="shared" si="12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X102"/>
  <sheetViews>
    <sheetView workbookViewId="0">
      <selection activeCell="L12" sqref="L12"/>
    </sheetView>
  </sheetViews>
  <sheetFormatPr defaultColWidth="9.33203125" defaultRowHeight="12.75"/>
  <cols>
    <col min="1" max="1" width="1.5" style="121" customWidth="1"/>
    <col min="2" max="2" width="10.83203125" style="121" customWidth="1"/>
    <col min="3" max="3" width="14.1640625" style="121" customWidth="1"/>
    <col min="4" max="4" width="12.33203125" style="121" customWidth="1"/>
    <col min="5" max="5" width="9.1640625" style="121" customWidth="1"/>
    <col min="6" max="6" width="9.83203125" style="121" bestFit="1" customWidth="1"/>
    <col min="7" max="7" width="9.83203125" style="121" customWidth="1"/>
    <col min="8" max="8" width="10.5" style="121" customWidth="1"/>
    <col min="9" max="10" width="12.5" style="121" customWidth="1"/>
    <col min="11" max="11" width="11.6640625" style="121" customWidth="1"/>
    <col min="12" max="15" width="9.33203125" style="121"/>
    <col min="16" max="16" width="0" style="121" hidden="1" customWidth="1"/>
    <col min="17" max="16384" width="9.33203125" style="121"/>
  </cols>
  <sheetData>
    <row r="1" spans="2:18" ht="15.75">
      <c r="B1" s="119" t="s">
        <v>59</v>
      </c>
      <c r="C1" s="120"/>
      <c r="D1" s="120"/>
      <c r="E1" s="120"/>
      <c r="F1" s="120"/>
      <c r="G1" s="120"/>
      <c r="H1" s="120"/>
      <c r="I1" s="120"/>
      <c r="J1" s="120"/>
    </row>
    <row r="2" spans="2:18" ht="15.75">
      <c r="B2" s="119" t="s">
        <v>125</v>
      </c>
      <c r="C2" s="120"/>
      <c r="D2" s="120"/>
      <c r="E2" s="120"/>
      <c r="F2" s="120"/>
      <c r="G2" s="120"/>
      <c r="H2" s="120"/>
      <c r="I2" s="120"/>
      <c r="J2" s="120"/>
    </row>
    <row r="3" spans="2:18" ht="15.75">
      <c r="B3" s="119" t="str">
        <f>TEXT($C$63,"0%")&amp;" Capacity Factor"</f>
        <v>38% Capacity Factor</v>
      </c>
      <c r="C3" s="120"/>
      <c r="D3" s="120"/>
      <c r="E3" s="120"/>
      <c r="F3" s="120"/>
      <c r="G3" s="120"/>
      <c r="H3" s="120"/>
      <c r="I3" s="120"/>
      <c r="J3" s="120"/>
    </row>
    <row r="4" spans="2:18">
      <c r="B4" s="122"/>
      <c r="C4" s="122"/>
      <c r="D4" s="122"/>
      <c r="E4" s="122"/>
      <c r="F4" s="122"/>
      <c r="G4" s="122"/>
      <c r="H4" s="122"/>
      <c r="I4" s="123"/>
      <c r="J4" s="123"/>
      <c r="K4" s="123"/>
    </row>
    <row r="5" spans="2:18" ht="51.75" customHeight="1">
      <c r="B5" s="124" t="s">
        <v>0</v>
      </c>
      <c r="C5" s="125" t="s">
        <v>10</v>
      </c>
      <c r="D5" s="125" t="s">
        <v>11</v>
      </c>
      <c r="E5" s="125" t="s">
        <v>12</v>
      </c>
      <c r="F5" s="125" t="s">
        <v>69</v>
      </c>
      <c r="G5" s="17" t="s">
        <v>13</v>
      </c>
      <c r="H5" s="125" t="s">
        <v>70</v>
      </c>
      <c r="I5" s="17" t="s">
        <v>55</v>
      </c>
      <c r="J5" s="17" t="s">
        <v>55</v>
      </c>
      <c r="K5" s="125" t="s">
        <v>71</v>
      </c>
      <c r="P5" s="125" t="s">
        <v>70</v>
      </c>
    </row>
    <row r="6" spans="2:18" ht="24" customHeight="1">
      <c r="B6" s="126"/>
      <c r="C6" s="127" t="s">
        <v>8</v>
      </c>
      <c r="D6" s="128" t="s">
        <v>9</v>
      </c>
      <c r="E6" s="128" t="s">
        <v>9</v>
      </c>
      <c r="F6" s="127" t="s">
        <v>33</v>
      </c>
      <c r="G6" s="18" t="s">
        <v>33</v>
      </c>
      <c r="H6" s="127" t="s">
        <v>33</v>
      </c>
      <c r="I6" s="127" t="s">
        <v>33</v>
      </c>
      <c r="J6" s="19" t="s">
        <v>9</v>
      </c>
      <c r="K6" s="127" t="s">
        <v>33</v>
      </c>
    </row>
    <row r="7" spans="2:18">
      <c r="C7" s="129" t="s">
        <v>1</v>
      </c>
      <c r="D7" s="129" t="s">
        <v>2</v>
      </c>
      <c r="E7" s="129" t="s">
        <v>3</v>
      </c>
      <c r="F7" s="129" t="s">
        <v>4</v>
      </c>
      <c r="G7" s="129" t="s">
        <v>5</v>
      </c>
      <c r="H7" s="129" t="s">
        <v>7</v>
      </c>
      <c r="I7" s="129" t="s">
        <v>24</v>
      </c>
      <c r="J7" s="129" t="s">
        <v>25</v>
      </c>
      <c r="K7" s="129" t="s">
        <v>25</v>
      </c>
    </row>
    <row r="8" spans="2:18" ht="6" customHeight="1">
      <c r="K8" s="123"/>
    </row>
    <row r="9" spans="2:18" ht="15.75">
      <c r="B9" s="43" t="str">
        <f>C52</f>
        <v>2017 IRP Update ID Wind Resource - 38% Capacity Factor</v>
      </c>
      <c r="C9" s="123"/>
      <c r="E9" s="123"/>
      <c r="F9" s="123"/>
      <c r="G9" s="123"/>
      <c r="H9" s="123"/>
      <c r="I9" s="123"/>
      <c r="J9" s="123"/>
      <c r="K9" s="123"/>
    </row>
    <row r="10" spans="2:18">
      <c r="B10" s="130">
        <v>2016</v>
      </c>
      <c r="C10" s="131"/>
      <c r="D10" s="132"/>
      <c r="E10" s="132"/>
      <c r="F10" s="133"/>
      <c r="G10" s="133"/>
      <c r="H10" s="176"/>
      <c r="I10" s="134"/>
      <c r="J10" s="134"/>
      <c r="K10" s="132"/>
      <c r="N10" s="135"/>
      <c r="P10" s="169">
        <f>$C$59</f>
        <v>0</v>
      </c>
    </row>
    <row r="11" spans="2:18">
      <c r="B11" s="130">
        <f t="shared" ref="B11:B36" si="0">B10+1</f>
        <v>2017</v>
      </c>
      <c r="C11" s="136"/>
      <c r="D11" s="132"/>
      <c r="E11" s="132">
        <f>$C$56</f>
        <v>37.570551305416139</v>
      </c>
      <c r="F11" s="133">
        <f t="shared" ref="F11:F36" si="1">(D11+E11)/(8.76*$C$63)</f>
        <v>11.286515052095693</v>
      </c>
      <c r="G11" s="133">
        <f>$C$58</f>
        <v>0</v>
      </c>
      <c r="H11" s="176">
        <f>$C$59</f>
        <v>0</v>
      </c>
      <c r="I11" s="134">
        <f>F11+H11+G11</f>
        <v>11.286515052095693</v>
      </c>
      <c r="J11" s="134">
        <f t="shared" ref="J11:J36" si="2">ROUND(I11*$C$63*8.76,2)</f>
        <v>37.57</v>
      </c>
      <c r="K11" s="132">
        <f>$C$57</f>
        <v>0.58600709999999989</v>
      </c>
      <c r="N11" s="135"/>
      <c r="P11" s="169">
        <f>ROUND(P10*(1+$D66),2)</f>
        <v>0</v>
      </c>
    </row>
    <row r="12" spans="2:18">
      <c r="B12" s="140">
        <f t="shared" si="0"/>
        <v>2018</v>
      </c>
      <c r="C12" s="141"/>
      <c r="D12" s="132"/>
      <c r="E12" s="132">
        <f>ROUND(E11*(1+(IFERROR(INDEX($D$66:$D$74,MATCH($B12,$C$66:$C$74,0),1),0)+IFERROR(INDEX($G$66:$G$74,MATCH($B12,$F$66:$F$74,0),1),0)+IFERROR(INDEX($J$66:$J$74,MATCH($B12,$I$66:$I$74,0),1),0))),2)</f>
        <v>38.43</v>
      </c>
      <c r="F12" s="134">
        <f t="shared" si="1"/>
        <v>11.544700793078588</v>
      </c>
      <c r="G12" s="132">
        <f>ROUND(G11*(1+(IFERROR(INDEX($D$66:$D$74,MATCH($B12,$C$66:$C$74,0),1),0)+IFERROR(INDEX($G$66:$G$74,MATCH($B12,$F$66:$F$74,0),1),0)+IFERROR(INDEX($J$66:$J$74,MATCH($B12,$I$66:$I$74,0),1),0))),2)</f>
        <v>0</v>
      </c>
      <c r="H12" s="132">
        <f>ROUND(H11*(1+(IFERROR(INDEX($D$66:$D$74,MATCH($B12,$C$66:$C$74,0),1),0)+IFERROR(INDEX($G$66:$G$74,MATCH($B12,$F$66:$F$74,0),1),0)+IFERROR(INDEX($J$66:$J$74,MATCH($B12,$I$66:$I$74,0),1),0))),2)</f>
        <v>0</v>
      </c>
      <c r="I12" s="134">
        <f t="shared" ref="I12:I36" si="3">F12+H12+G12</f>
        <v>11.544700793078588</v>
      </c>
      <c r="J12" s="134">
        <f t="shared" si="2"/>
        <v>38.43</v>
      </c>
      <c r="K12" s="132">
        <f>ROUND(K11*(1+(IFERROR(INDEX($D$66:$D$74,MATCH($B12,$C$66:$C$74,0),1),0)+IFERROR(INDEX($G$66:$G$74,MATCH($B12,$F$66:$F$74,0),1),0)+IFERROR(INDEX($J$66:$J$74,MATCH($B12,$I$66:$I$74,0),1),0))),2)</f>
        <v>0.6</v>
      </c>
      <c r="L12" s="123"/>
      <c r="N12" s="135"/>
      <c r="P12" s="169">
        <f t="shared" ref="P12:P19" si="4">ROUND(P11*(1+$D67),2)</f>
        <v>0</v>
      </c>
    </row>
    <row r="13" spans="2:18">
      <c r="B13" s="140">
        <f t="shared" si="0"/>
        <v>2019</v>
      </c>
      <c r="C13" s="141"/>
      <c r="D13" s="132"/>
      <c r="E13" s="132">
        <f t="shared" ref="D13:H36" si="5">ROUND(E12*(1+(IFERROR(INDEX($D$66:$D$74,MATCH($B13,$C$66:$C$74,0),1),0)+IFERROR(INDEX($G$66:$G$74,MATCH($B13,$F$66:$F$74,0),1),0)+IFERROR(INDEX($J$66:$J$74,MATCH($B13,$I$66:$I$74,0),1),0))),2)</f>
        <v>39.200000000000003</v>
      </c>
      <c r="F13" s="134">
        <f t="shared" si="1"/>
        <v>11.77601538091805</v>
      </c>
      <c r="G13" s="132">
        <f t="shared" si="5"/>
        <v>0</v>
      </c>
      <c r="H13" s="132">
        <f t="shared" si="5"/>
        <v>0</v>
      </c>
      <c r="I13" s="134">
        <f t="shared" si="3"/>
        <v>11.77601538091805</v>
      </c>
      <c r="J13" s="134">
        <f t="shared" si="2"/>
        <v>39.200000000000003</v>
      </c>
      <c r="K13" s="132">
        <f t="shared" ref="K13:K36" si="6">ROUND(K12*(1+(IFERROR(INDEX($D$66:$D$74,MATCH($B13,$C$66:$C$74,0),1),0)+IFERROR(INDEX($G$66:$G$74,MATCH($B13,$F$66:$F$74,0),1),0)+IFERROR(INDEX($J$66:$J$74,MATCH($B13,$I$66:$I$74,0),1),0))),2)</f>
        <v>0.61</v>
      </c>
      <c r="L13" s="123"/>
      <c r="N13" s="135"/>
      <c r="P13" s="169">
        <f t="shared" si="4"/>
        <v>0</v>
      </c>
    </row>
    <row r="14" spans="2:18">
      <c r="B14" s="140">
        <f t="shared" si="0"/>
        <v>2020</v>
      </c>
      <c r="C14" s="141"/>
      <c r="D14" s="132"/>
      <c r="E14" s="132">
        <f t="shared" si="5"/>
        <v>40.06</v>
      </c>
      <c r="F14" s="134">
        <f t="shared" si="1"/>
        <v>12.034366738764721</v>
      </c>
      <c r="G14" s="132">
        <f t="shared" si="5"/>
        <v>0</v>
      </c>
      <c r="H14" s="132">
        <f t="shared" si="5"/>
        <v>0</v>
      </c>
      <c r="I14" s="134">
        <f t="shared" si="3"/>
        <v>12.034366738764721</v>
      </c>
      <c r="J14" s="134">
        <f t="shared" si="2"/>
        <v>40.06</v>
      </c>
      <c r="K14" s="132">
        <f t="shared" si="6"/>
        <v>0.62</v>
      </c>
      <c r="L14" s="123"/>
      <c r="N14" s="135"/>
      <c r="O14" s="137"/>
      <c r="P14" s="169">
        <f t="shared" si="4"/>
        <v>0</v>
      </c>
      <c r="Q14" s="138"/>
      <c r="R14" s="139"/>
    </row>
    <row r="15" spans="2:18">
      <c r="B15" s="140">
        <f t="shared" si="0"/>
        <v>2021</v>
      </c>
      <c r="C15" s="141"/>
      <c r="D15" s="132"/>
      <c r="E15" s="132">
        <f t="shared" si="5"/>
        <v>41.02</v>
      </c>
      <c r="F15" s="134">
        <f t="shared" si="1"/>
        <v>12.32275895217496</v>
      </c>
      <c r="G15" s="132">
        <f t="shared" si="5"/>
        <v>0</v>
      </c>
      <c r="H15" s="132">
        <f t="shared" si="5"/>
        <v>0</v>
      </c>
      <c r="I15" s="134">
        <f t="shared" si="3"/>
        <v>12.32275895217496</v>
      </c>
      <c r="J15" s="134">
        <f t="shared" si="2"/>
        <v>41.02</v>
      </c>
      <c r="K15" s="132">
        <f t="shared" si="6"/>
        <v>0.63</v>
      </c>
      <c r="L15" s="123"/>
      <c r="N15" s="138"/>
      <c r="O15" s="138"/>
      <c r="P15" s="169">
        <f t="shared" si="4"/>
        <v>0</v>
      </c>
      <c r="Q15" s="138"/>
      <c r="R15" s="139"/>
    </row>
    <row r="16" spans="2:18">
      <c r="B16" s="140">
        <f t="shared" si="0"/>
        <v>2022</v>
      </c>
      <c r="C16" s="141"/>
      <c r="D16" s="132"/>
      <c r="E16" s="132">
        <f t="shared" si="5"/>
        <v>42</v>
      </c>
      <c r="F16" s="134">
        <f t="shared" si="1"/>
        <v>12.61715933669791</v>
      </c>
      <c r="G16" s="132">
        <f t="shared" si="5"/>
        <v>0</v>
      </c>
      <c r="H16" s="132">
        <f t="shared" si="5"/>
        <v>0</v>
      </c>
      <c r="I16" s="134">
        <f t="shared" si="3"/>
        <v>12.61715933669791</v>
      </c>
      <c r="J16" s="134">
        <f t="shared" si="2"/>
        <v>42</v>
      </c>
      <c r="K16" s="132">
        <f t="shared" si="6"/>
        <v>0.65</v>
      </c>
      <c r="L16" s="123"/>
      <c r="N16" s="135"/>
      <c r="P16" s="169">
        <f t="shared" si="4"/>
        <v>0</v>
      </c>
    </row>
    <row r="17" spans="2:16">
      <c r="B17" s="140">
        <f t="shared" si="0"/>
        <v>2023</v>
      </c>
      <c r="C17" s="141"/>
      <c r="D17" s="132"/>
      <c r="E17" s="132">
        <f t="shared" si="5"/>
        <v>43.01</v>
      </c>
      <c r="F17" s="134">
        <f t="shared" si="1"/>
        <v>12.920571977889932</v>
      </c>
      <c r="G17" s="132">
        <f t="shared" si="5"/>
        <v>0</v>
      </c>
      <c r="H17" s="132">
        <f t="shared" si="5"/>
        <v>0</v>
      </c>
      <c r="I17" s="134">
        <f t="shared" si="3"/>
        <v>12.920571977889932</v>
      </c>
      <c r="J17" s="134">
        <f t="shared" si="2"/>
        <v>43.01</v>
      </c>
      <c r="K17" s="132">
        <f t="shared" si="6"/>
        <v>0.67</v>
      </c>
      <c r="L17" s="123"/>
      <c r="N17" s="135"/>
      <c r="O17" s="137"/>
      <c r="P17" s="169">
        <f t="shared" si="4"/>
        <v>0</v>
      </c>
    </row>
    <row r="18" spans="2:16">
      <c r="B18" s="140">
        <f t="shared" si="0"/>
        <v>2024</v>
      </c>
      <c r="C18" s="141"/>
      <c r="D18" s="132"/>
      <c r="E18" s="132">
        <f t="shared" si="5"/>
        <v>44.04</v>
      </c>
      <c r="F18" s="134">
        <f t="shared" si="1"/>
        <v>13.229992790194665</v>
      </c>
      <c r="G18" s="132">
        <f t="shared" si="5"/>
        <v>0</v>
      </c>
      <c r="H18" s="132">
        <f t="shared" si="5"/>
        <v>0</v>
      </c>
      <c r="I18" s="134">
        <f t="shared" si="3"/>
        <v>13.229992790194665</v>
      </c>
      <c r="J18" s="134">
        <f t="shared" si="2"/>
        <v>44.04</v>
      </c>
      <c r="K18" s="132">
        <f t="shared" si="6"/>
        <v>0.69</v>
      </c>
      <c r="L18" s="123"/>
      <c r="N18" s="135"/>
      <c r="O18" s="137"/>
      <c r="P18" s="169">
        <f t="shared" si="4"/>
        <v>0</v>
      </c>
    </row>
    <row r="19" spans="2:16">
      <c r="B19" s="140">
        <f t="shared" si="0"/>
        <v>2025</v>
      </c>
      <c r="C19" s="141"/>
      <c r="D19" s="132"/>
      <c r="E19" s="132">
        <f t="shared" si="5"/>
        <v>45.05</v>
      </c>
      <c r="F19" s="134">
        <f t="shared" si="1"/>
        <v>13.533405431386687</v>
      </c>
      <c r="G19" s="132">
        <f t="shared" si="5"/>
        <v>0</v>
      </c>
      <c r="H19" s="132">
        <f t="shared" si="5"/>
        <v>0</v>
      </c>
      <c r="I19" s="134">
        <f t="shared" si="3"/>
        <v>13.533405431386687</v>
      </c>
      <c r="J19" s="134">
        <f t="shared" si="2"/>
        <v>45.05</v>
      </c>
      <c r="K19" s="132">
        <f t="shared" si="6"/>
        <v>0.71</v>
      </c>
      <c r="L19" s="123"/>
      <c r="N19" s="135"/>
      <c r="O19" s="137"/>
      <c r="P19" s="169">
        <f t="shared" si="4"/>
        <v>0</v>
      </c>
    </row>
    <row r="20" spans="2:16">
      <c r="B20" s="140">
        <f t="shared" si="0"/>
        <v>2026</v>
      </c>
      <c r="C20" s="141"/>
      <c r="D20" s="132"/>
      <c r="E20" s="132">
        <f t="shared" si="5"/>
        <v>46.09</v>
      </c>
      <c r="F20" s="134">
        <f t="shared" si="1"/>
        <v>13.845830329247779</v>
      </c>
      <c r="G20" s="132">
        <f t="shared" si="5"/>
        <v>0</v>
      </c>
      <c r="H20" s="132">
        <f t="shared" si="5"/>
        <v>0</v>
      </c>
      <c r="I20" s="134">
        <f t="shared" si="3"/>
        <v>13.845830329247779</v>
      </c>
      <c r="J20" s="134">
        <f t="shared" si="2"/>
        <v>46.09</v>
      </c>
      <c r="K20" s="132">
        <f t="shared" si="6"/>
        <v>0.73</v>
      </c>
      <c r="L20" s="123"/>
      <c r="N20" s="135"/>
      <c r="O20" s="137"/>
      <c r="P20" s="169">
        <f>ROUND(P19*(1+$G66),2)</f>
        <v>0</v>
      </c>
    </row>
    <row r="21" spans="2:16">
      <c r="B21" s="140">
        <f t="shared" si="0"/>
        <v>2027</v>
      </c>
      <c r="C21" s="141"/>
      <c r="D21" s="132"/>
      <c r="E21" s="132">
        <f t="shared" si="5"/>
        <v>47.15</v>
      </c>
      <c r="F21" s="134">
        <f t="shared" si="1"/>
        <v>14.164263398221582</v>
      </c>
      <c r="G21" s="132">
        <f t="shared" si="5"/>
        <v>0</v>
      </c>
      <c r="H21" s="132">
        <f t="shared" si="5"/>
        <v>0</v>
      </c>
      <c r="I21" s="134">
        <f t="shared" si="3"/>
        <v>14.164263398221582</v>
      </c>
      <c r="J21" s="134">
        <f t="shared" si="2"/>
        <v>47.15</v>
      </c>
      <c r="K21" s="132">
        <f t="shared" si="6"/>
        <v>0.75</v>
      </c>
      <c r="L21" s="123"/>
      <c r="N21" s="135"/>
      <c r="O21" s="137"/>
      <c r="P21" s="169">
        <f t="shared" ref="P21:P28" si="7">ROUND(P20*(1+$G67),2)</f>
        <v>0</v>
      </c>
    </row>
    <row r="22" spans="2:16">
      <c r="B22" s="140">
        <f t="shared" si="0"/>
        <v>2028</v>
      </c>
      <c r="C22" s="141"/>
      <c r="D22" s="132"/>
      <c r="E22" s="132">
        <f t="shared" si="5"/>
        <v>48.28</v>
      </c>
      <c r="F22" s="134">
        <f t="shared" si="1"/>
        <v>14.503725066089883</v>
      </c>
      <c r="G22" s="132">
        <f t="shared" si="5"/>
        <v>0</v>
      </c>
      <c r="H22" s="132">
        <f t="shared" si="5"/>
        <v>0</v>
      </c>
      <c r="I22" s="134">
        <f t="shared" si="3"/>
        <v>14.503725066089883</v>
      </c>
      <c r="J22" s="134">
        <f t="shared" si="2"/>
        <v>48.28</v>
      </c>
      <c r="K22" s="132">
        <f t="shared" si="6"/>
        <v>0.77</v>
      </c>
      <c r="L22" s="123"/>
      <c r="N22" s="135"/>
      <c r="O22" s="137"/>
      <c r="P22" s="169">
        <f t="shared" si="7"/>
        <v>0</v>
      </c>
    </row>
    <row r="23" spans="2:16">
      <c r="B23" s="140">
        <f t="shared" si="0"/>
        <v>2029</v>
      </c>
      <c r="C23" s="141"/>
      <c r="D23" s="132"/>
      <c r="E23" s="132">
        <f t="shared" si="5"/>
        <v>49.44</v>
      </c>
      <c r="F23" s="134">
        <f t="shared" si="1"/>
        <v>14.852198990627253</v>
      </c>
      <c r="G23" s="132">
        <f t="shared" si="5"/>
        <v>0</v>
      </c>
      <c r="H23" s="132">
        <f t="shared" si="5"/>
        <v>0</v>
      </c>
      <c r="I23" s="134">
        <f t="shared" si="3"/>
        <v>14.852198990627253</v>
      </c>
      <c r="J23" s="134">
        <f t="shared" si="2"/>
        <v>49.44</v>
      </c>
      <c r="K23" s="132">
        <f t="shared" si="6"/>
        <v>0.79</v>
      </c>
      <c r="L23" s="123"/>
      <c r="N23" s="135"/>
      <c r="O23" s="137"/>
      <c r="P23" s="169">
        <f t="shared" si="7"/>
        <v>0</v>
      </c>
    </row>
    <row r="24" spans="2:16">
      <c r="B24" s="140">
        <f t="shared" si="0"/>
        <v>2030</v>
      </c>
      <c r="C24" s="141"/>
      <c r="D24" s="132"/>
      <c r="E24" s="132">
        <f t="shared" si="5"/>
        <v>50.58</v>
      </c>
      <c r="F24" s="134">
        <f t="shared" si="1"/>
        <v>15.194664744051911</v>
      </c>
      <c r="G24" s="132">
        <f t="shared" si="5"/>
        <v>0</v>
      </c>
      <c r="H24" s="132">
        <f t="shared" si="5"/>
        <v>0</v>
      </c>
      <c r="I24" s="134">
        <f t="shared" si="3"/>
        <v>15.194664744051911</v>
      </c>
      <c r="J24" s="134">
        <f t="shared" si="2"/>
        <v>50.58</v>
      </c>
      <c r="K24" s="132">
        <f t="shared" si="6"/>
        <v>0.81</v>
      </c>
      <c r="L24" s="123"/>
      <c r="N24" s="135"/>
      <c r="O24" s="137"/>
      <c r="P24" s="169">
        <f t="shared" si="7"/>
        <v>0</v>
      </c>
    </row>
    <row r="25" spans="2:16">
      <c r="B25" s="140">
        <f t="shared" si="0"/>
        <v>2031</v>
      </c>
      <c r="C25" s="141"/>
      <c r="D25" s="132"/>
      <c r="E25" s="132">
        <f t="shared" si="5"/>
        <v>51.74</v>
      </c>
      <c r="F25" s="134">
        <f t="shared" si="1"/>
        <v>15.543138668589283</v>
      </c>
      <c r="G25" s="132">
        <f t="shared" si="5"/>
        <v>0</v>
      </c>
      <c r="H25" s="132">
        <f t="shared" si="5"/>
        <v>0</v>
      </c>
      <c r="I25" s="134">
        <f t="shared" si="3"/>
        <v>15.543138668589283</v>
      </c>
      <c r="J25" s="134">
        <f t="shared" si="2"/>
        <v>51.74</v>
      </c>
      <c r="K25" s="132">
        <f t="shared" si="6"/>
        <v>0.83</v>
      </c>
      <c r="L25" s="123"/>
      <c r="N25" s="135"/>
      <c r="O25" s="137"/>
      <c r="P25" s="169">
        <f t="shared" si="7"/>
        <v>0</v>
      </c>
    </row>
    <row r="26" spans="2:16">
      <c r="B26" s="140">
        <f t="shared" si="0"/>
        <v>2032</v>
      </c>
      <c r="C26" s="141"/>
      <c r="D26" s="132"/>
      <c r="E26" s="132">
        <f t="shared" si="5"/>
        <v>52.93</v>
      </c>
      <c r="F26" s="134">
        <f t="shared" si="1"/>
        <v>15.900624849795724</v>
      </c>
      <c r="G26" s="132">
        <f t="shared" si="5"/>
        <v>0</v>
      </c>
      <c r="H26" s="132">
        <f t="shared" si="5"/>
        <v>0</v>
      </c>
      <c r="I26" s="134">
        <f t="shared" si="3"/>
        <v>15.900624849795724</v>
      </c>
      <c r="J26" s="134">
        <f t="shared" si="2"/>
        <v>52.93</v>
      </c>
      <c r="K26" s="132">
        <f t="shared" si="6"/>
        <v>0.85</v>
      </c>
      <c r="L26" s="123"/>
      <c r="N26" s="135"/>
      <c r="O26" s="137"/>
      <c r="P26" s="169">
        <f t="shared" si="7"/>
        <v>0</v>
      </c>
    </row>
    <row r="27" spans="2:16">
      <c r="B27" s="140">
        <f t="shared" si="0"/>
        <v>2033</v>
      </c>
      <c r="C27" s="131">
        <f>$C$55</f>
        <v>1420.0408201737057</v>
      </c>
      <c r="D27" s="132">
        <f>C27*$C$62</f>
        <v>100.90797696748666</v>
      </c>
      <c r="E27" s="132">
        <f t="shared" si="5"/>
        <v>54.15</v>
      </c>
      <c r="F27" s="134">
        <f t="shared" si="1"/>
        <v>46.580742900590806</v>
      </c>
      <c r="G27" s="132">
        <f t="shared" si="5"/>
        <v>0</v>
      </c>
      <c r="H27" s="132">
        <f t="shared" si="5"/>
        <v>0</v>
      </c>
      <c r="I27" s="134">
        <f t="shared" si="3"/>
        <v>46.580742900590806</v>
      </c>
      <c r="J27" s="134">
        <f t="shared" si="2"/>
        <v>155.06</v>
      </c>
      <c r="K27" s="132">
        <f t="shared" si="6"/>
        <v>0.87</v>
      </c>
      <c r="L27" s="123"/>
      <c r="P27" s="169">
        <f t="shared" si="7"/>
        <v>0</v>
      </c>
    </row>
    <row r="28" spans="2:16">
      <c r="B28" s="140">
        <f t="shared" si="0"/>
        <v>2034</v>
      </c>
      <c r="C28" s="141"/>
      <c r="D28" s="132">
        <f t="shared" si="5"/>
        <v>103.23</v>
      </c>
      <c r="E28" s="132">
        <f t="shared" si="5"/>
        <v>55.4</v>
      </c>
      <c r="F28" s="134">
        <f t="shared" si="1"/>
        <v>47.65380918048546</v>
      </c>
      <c r="G28" s="132">
        <f t="shared" si="5"/>
        <v>0</v>
      </c>
      <c r="H28" s="132">
        <f t="shared" si="5"/>
        <v>0</v>
      </c>
      <c r="I28" s="134">
        <f t="shared" si="3"/>
        <v>47.65380918048546</v>
      </c>
      <c r="J28" s="134">
        <f t="shared" si="2"/>
        <v>158.63</v>
      </c>
      <c r="K28" s="132">
        <f t="shared" si="6"/>
        <v>0.89</v>
      </c>
      <c r="L28" s="123"/>
      <c r="P28" s="169">
        <f t="shared" si="7"/>
        <v>0</v>
      </c>
    </row>
    <row r="29" spans="2:16">
      <c r="B29" s="140">
        <f t="shared" si="0"/>
        <v>2035</v>
      </c>
      <c r="C29" s="141"/>
      <c r="D29" s="132">
        <f t="shared" si="5"/>
        <v>105.5</v>
      </c>
      <c r="E29" s="132">
        <f t="shared" si="5"/>
        <v>56.62</v>
      </c>
      <c r="F29" s="134">
        <f t="shared" si="1"/>
        <v>48.702235039653935</v>
      </c>
      <c r="G29" s="132">
        <f t="shared" si="5"/>
        <v>0</v>
      </c>
      <c r="H29" s="132">
        <f t="shared" si="5"/>
        <v>0</v>
      </c>
      <c r="I29" s="134">
        <f t="shared" si="3"/>
        <v>48.702235039653935</v>
      </c>
      <c r="J29" s="134">
        <f t="shared" si="2"/>
        <v>162.12</v>
      </c>
      <c r="K29" s="132">
        <f t="shared" si="6"/>
        <v>0.91</v>
      </c>
      <c r="L29" s="123"/>
      <c r="P29" s="169">
        <f t="shared" ref="P29:P36" si="8">ROUND(P28*(1+$J66),2)</f>
        <v>0</v>
      </c>
    </row>
    <row r="30" spans="2:16">
      <c r="B30" s="140">
        <f t="shared" si="0"/>
        <v>2036</v>
      </c>
      <c r="C30" s="141"/>
      <c r="D30" s="132">
        <f t="shared" si="5"/>
        <v>107.82</v>
      </c>
      <c r="E30" s="132">
        <f t="shared" si="5"/>
        <v>57.87</v>
      </c>
      <c r="F30" s="134">
        <f t="shared" si="1"/>
        <v>49.774693583273255</v>
      </c>
      <c r="G30" s="132">
        <f t="shared" si="5"/>
        <v>0</v>
      </c>
      <c r="H30" s="132">
        <f t="shared" si="5"/>
        <v>0</v>
      </c>
      <c r="I30" s="134">
        <f t="shared" si="3"/>
        <v>49.774693583273255</v>
      </c>
      <c r="J30" s="134">
        <f t="shared" si="2"/>
        <v>165.69</v>
      </c>
      <c r="K30" s="132">
        <f t="shared" si="6"/>
        <v>0.93</v>
      </c>
      <c r="L30" s="123"/>
      <c r="P30" s="169">
        <f t="shared" si="8"/>
        <v>0</v>
      </c>
    </row>
    <row r="31" spans="2:16">
      <c r="B31" s="140">
        <f t="shared" si="0"/>
        <v>2037</v>
      </c>
      <c r="C31" s="141"/>
      <c r="D31" s="132">
        <f t="shared" si="5"/>
        <v>110.19</v>
      </c>
      <c r="E31" s="132">
        <f t="shared" si="5"/>
        <v>59.14</v>
      </c>
      <c r="F31" s="134">
        <f t="shared" si="1"/>
        <v>50.86818072578707</v>
      </c>
      <c r="G31" s="132">
        <f t="shared" si="5"/>
        <v>0</v>
      </c>
      <c r="H31" s="132">
        <f t="shared" si="5"/>
        <v>0</v>
      </c>
      <c r="I31" s="134">
        <f t="shared" si="3"/>
        <v>50.86818072578707</v>
      </c>
      <c r="J31" s="134">
        <f t="shared" si="2"/>
        <v>169.33</v>
      </c>
      <c r="K31" s="132">
        <f t="shared" si="6"/>
        <v>0.95</v>
      </c>
      <c r="L31" s="123"/>
      <c r="P31" s="169">
        <f t="shared" si="8"/>
        <v>0</v>
      </c>
    </row>
    <row r="32" spans="2:16">
      <c r="B32" s="140">
        <f t="shared" si="0"/>
        <v>2038</v>
      </c>
      <c r="C32" s="141"/>
      <c r="D32" s="132">
        <f t="shared" si="5"/>
        <v>112.72</v>
      </c>
      <c r="E32" s="132">
        <f t="shared" si="5"/>
        <v>60.5</v>
      </c>
      <c r="F32" s="134">
        <f t="shared" si="1"/>
        <v>52.03677000720981</v>
      </c>
      <c r="G32" s="132">
        <f t="shared" si="5"/>
        <v>0</v>
      </c>
      <c r="H32" s="132">
        <f t="shared" si="5"/>
        <v>0</v>
      </c>
      <c r="I32" s="134">
        <f t="shared" si="3"/>
        <v>52.03677000720981</v>
      </c>
      <c r="J32" s="134">
        <f t="shared" si="2"/>
        <v>173.22</v>
      </c>
      <c r="K32" s="132">
        <f t="shared" si="6"/>
        <v>0.97</v>
      </c>
      <c r="L32" s="123"/>
      <c r="P32" s="169">
        <f t="shared" si="8"/>
        <v>0</v>
      </c>
    </row>
    <row r="33" spans="2:16">
      <c r="B33" s="140">
        <f t="shared" si="0"/>
        <v>2039</v>
      </c>
      <c r="C33" s="141"/>
      <c r="D33" s="132">
        <f t="shared" si="5"/>
        <v>115.31</v>
      </c>
      <c r="E33" s="132">
        <f t="shared" si="5"/>
        <v>61.89</v>
      </c>
      <c r="F33" s="134">
        <f t="shared" si="1"/>
        <v>53.23239605863975</v>
      </c>
      <c r="G33" s="132">
        <f t="shared" si="5"/>
        <v>0</v>
      </c>
      <c r="H33" s="132">
        <f t="shared" si="5"/>
        <v>0</v>
      </c>
      <c r="I33" s="134">
        <f t="shared" si="3"/>
        <v>53.23239605863975</v>
      </c>
      <c r="J33" s="134">
        <f t="shared" si="2"/>
        <v>177.2</v>
      </c>
      <c r="K33" s="132">
        <f t="shared" si="6"/>
        <v>0.99</v>
      </c>
      <c r="L33" s="123"/>
      <c r="P33" s="169">
        <f t="shared" si="8"/>
        <v>0</v>
      </c>
    </row>
    <row r="34" spans="2:16">
      <c r="B34" s="140">
        <f t="shared" si="0"/>
        <v>2040</v>
      </c>
      <c r="C34" s="141"/>
      <c r="D34" s="132">
        <f t="shared" si="5"/>
        <v>117.96</v>
      </c>
      <c r="E34" s="132">
        <f t="shared" si="5"/>
        <v>63.31</v>
      </c>
      <c r="F34" s="134">
        <f t="shared" si="1"/>
        <v>54.455058880076905</v>
      </c>
      <c r="G34" s="132">
        <f t="shared" si="5"/>
        <v>0</v>
      </c>
      <c r="H34" s="132">
        <f t="shared" si="5"/>
        <v>0</v>
      </c>
      <c r="I34" s="134">
        <f t="shared" si="3"/>
        <v>54.455058880076905</v>
      </c>
      <c r="J34" s="134">
        <f t="shared" si="2"/>
        <v>181.27</v>
      </c>
      <c r="K34" s="132">
        <f t="shared" si="6"/>
        <v>1.01</v>
      </c>
      <c r="L34" s="123"/>
      <c r="P34" s="169">
        <f t="shared" si="8"/>
        <v>0</v>
      </c>
    </row>
    <row r="35" spans="2:16">
      <c r="B35" s="140">
        <f t="shared" si="0"/>
        <v>2041</v>
      </c>
      <c r="C35" s="141"/>
      <c r="D35" s="132">
        <f t="shared" si="5"/>
        <v>120.67</v>
      </c>
      <c r="E35" s="132">
        <f t="shared" si="5"/>
        <v>64.77</v>
      </c>
      <c r="F35" s="134">
        <f t="shared" si="1"/>
        <v>55.707762557077629</v>
      </c>
      <c r="G35" s="132">
        <f t="shared" si="5"/>
        <v>0</v>
      </c>
      <c r="H35" s="132">
        <f t="shared" si="5"/>
        <v>0</v>
      </c>
      <c r="I35" s="134">
        <f t="shared" si="3"/>
        <v>55.707762557077629</v>
      </c>
      <c r="J35" s="134">
        <f t="shared" si="2"/>
        <v>185.44</v>
      </c>
      <c r="K35" s="132">
        <f t="shared" si="6"/>
        <v>1.03</v>
      </c>
      <c r="L35" s="123"/>
      <c r="P35" s="169">
        <f t="shared" si="8"/>
        <v>0</v>
      </c>
    </row>
    <row r="36" spans="2:16">
      <c r="B36" s="140">
        <f t="shared" si="0"/>
        <v>2042</v>
      </c>
      <c r="C36" s="141"/>
      <c r="D36" s="132">
        <f t="shared" si="5"/>
        <v>123.45</v>
      </c>
      <c r="E36" s="132">
        <f t="shared" si="5"/>
        <v>66.260000000000005</v>
      </c>
      <c r="F36" s="134">
        <f t="shared" si="1"/>
        <v>56.990507089641916</v>
      </c>
      <c r="G36" s="132">
        <f t="shared" si="5"/>
        <v>0</v>
      </c>
      <c r="H36" s="132">
        <f t="shared" si="5"/>
        <v>0</v>
      </c>
      <c r="I36" s="134">
        <f t="shared" si="3"/>
        <v>56.990507089641916</v>
      </c>
      <c r="J36" s="134">
        <f t="shared" si="2"/>
        <v>189.71</v>
      </c>
      <c r="K36" s="132">
        <f t="shared" si="6"/>
        <v>1.05</v>
      </c>
      <c r="L36" s="123"/>
      <c r="P36" s="169">
        <f t="shared" si="8"/>
        <v>0</v>
      </c>
    </row>
    <row r="37" spans="2:16">
      <c r="B37" s="140"/>
      <c r="C37" s="136"/>
      <c r="D37" s="132"/>
      <c r="E37" s="132"/>
      <c r="F37" s="133"/>
      <c r="G37" s="132"/>
      <c r="H37" s="132"/>
      <c r="I37" s="134"/>
      <c r="J37" s="134"/>
      <c r="K37" s="143"/>
    </row>
    <row r="38" spans="2:16" hidden="1">
      <c r="B38" s="130"/>
      <c r="C38" s="136"/>
      <c r="D38" s="132"/>
      <c r="E38" s="132"/>
      <c r="F38" s="133"/>
      <c r="G38" s="132"/>
      <c r="H38" s="132"/>
      <c r="I38" s="134"/>
      <c r="J38" s="134"/>
      <c r="K38" s="143"/>
    </row>
    <row r="39" spans="2:16" hidden="1">
      <c r="B39" s="130"/>
      <c r="C39" s="136"/>
      <c r="D39" s="132"/>
      <c r="E39" s="132"/>
      <c r="F39" s="133"/>
      <c r="G39" s="132"/>
      <c r="H39" s="132"/>
      <c r="I39" s="134"/>
      <c r="J39" s="134"/>
      <c r="K39" s="143"/>
    </row>
    <row r="40" spans="2:16" hidden="1">
      <c r="B40" s="130"/>
      <c r="C40" s="136"/>
      <c r="D40" s="132"/>
      <c r="E40" s="132"/>
      <c r="F40" s="133"/>
      <c r="G40" s="132"/>
      <c r="H40" s="132"/>
      <c r="I40" s="134"/>
      <c r="J40" s="134"/>
      <c r="K40" s="143"/>
    </row>
    <row r="42" spans="2:16" ht="14.25">
      <c r="B42" s="144" t="s">
        <v>27</v>
      </c>
      <c r="C42" s="145"/>
      <c r="D42" s="145"/>
      <c r="E42" s="145"/>
      <c r="F42" s="145"/>
      <c r="G42" s="145"/>
      <c r="H42" s="145"/>
    </row>
    <row r="44" spans="2:16">
      <c r="B44" s="121" t="s">
        <v>72</v>
      </c>
      <c r="C44" s="146" t="s">
        <v>73</v>
      </c>
      <c r="D44" s="147" t="s">
        <v>117</v>
      </c>
    </row>
    <row r="45" spans="2:16">
      <c r="C45" s="146" t="str">
        <f>C7</f>
        <v>(a)</v>
      </c>
      <c r="D45" s="121" t="s">
        <v>74</v>
      </c>
    </row>
    <row r="46" spans="2:16">
      <c r="C46" s="146" t="str">
        <f>D7</f>
        <v>(b)</v>
      </c>
      <c r="D46" s="134" t="str">
        <f>"= "&amp;C7&amp;" x "&amp;C62</f>
        <v>= (a) x 0.0710599128799291</v>
      </c>
    </row>
    <row r="47" spans="2:16">
      <c r="C47" s="146" t="str">
        <f>F7</f>
        <v>(d)</v>
      </c>
      <c r="D47" s="134" t="str">
        <f>"= ("&amp;$D$7&amp;" + "&amp;$E$7&amp;") /  (8.76 x "&amp;TEXT(C63,"0.0%")&amp;")"</f>
        <v>= ((b) + (c)) /  (8.76 x 38.0%)</v>
      </c>
    </row>
    <row r="48" spans="2:16">
      <c r="C48" s="146" t="str">
        <f>I7</f>
        <v>(g)</v>
      </c>
      <c r="D48" s="134" t="str">
        <f>"= "&amp;$F$7&amp;" + "&amp;$H$7</f>
        <v>= (d) + (f)</v>
      </c>
    </row>
    <row r="49" spans="2:24">
      <c r="C49" s="146" t="str">
        <f>K7</f>
        <v>(h)</v>
      </c>
      <c r="D49" s="85" t="str">
        <f>D44</f>
        <v>Plant Costs  - 2017 IRP Update - Table 5.4 &amp; 5.5</v>
      </c>
    </row>
    <row r="50" spans="2:24">
      <c r="C50" s="146"/>
      <c r="D50" s="134"/>
    </row>
    <row r="51" spans="2:24" ht="13.5" thickBot="1"/>
    <row r="52" spans="2:24" ht="13.5" thickBot="1">
      <c r="C52" s="42" t="str">
        <f>B2&amp;" - "&amp;B3</f>
        <v>2017 IRP Update ID Wind Resource - 38% Capacity Factor</v>
      </c>
      <c r="D52" s="148"/>
      <c r="E52" s="148"/>
      <c r="F52" s="148"/>
      <c r="G52" s="148"/>
      <c r="H52" s="148"/>
      <c r="I52" s="149"/>
      <c r="J52" s="149"/>
      <c r="K52" s="150"/>
    </row>
    <row r="53" spans="2:24" ht="13.5" thickBot="1">
      <c r="C53" s="151" t="s">
        <v>75</v>
      </c>
      <c r="D53" s="152" t="s">
        <v>76</v>
      </c>
      <c r="E53" s="152"/>
      <c r="F53" s="152"/>
      <c r="G53" s="152"/>
      <c r="H53" s="153"/>
      <c r="I53" s="149"/>
      <c r="J53" s="149"/>
      <c r="K53" s="150"/>
    </row>
    <row r="55" spans="2:24">
      <c r="B55" s="85" t="s">
        <v>124</v>
      </c>
      <c r="C55" s="185">
        <v>1420.0408201737057</v>
      </c>
      <c r="D55" s="121" t="s">
        <v>74</v>
      </c>
      <c r="H55" s="121" t="s">
        <v>9</v>
      </c>
    </row>
    <row r="56" spans="2:24">
      <c r="B56" s="85" t="s">
        <v>111</v>
      </c>
      <c r="C56" s="154">
        <v>37.570551305416139</v>
      </c>
      <c r="D56" s="121" t="s">
        <v>77</v>
      </c>
      <c r="H56" s="121" t="s">
        <v>9</v>
      </c>
    </row>
    <row r="57" spans="2:24">
      <c r="B57" s="85" t="s">
        <v>111</v>
      </c>
      <c r="C57" s="159">
        <v>0.58600709999999989</v>
      </c>
      <c r="D57" s="121" t="s">
        <v>82</v>
      </c>
      <c r="H57" s="121" t="s">
        <v>79</v>
      </c>
    </row>
    <row r="58" spans="2:24">
      <c r="B58" s="85" t="s">
        <v>111</v>
      </c>
      <c r="C58" s="154">
        <v>0</v>
      </c>
      <c r="D58" s="121" t="s">
        <v>78</v>
      </c>
      <c r="H58" s="121" t="s">
        <v>79</v>
      </c>
      <c r="K58" s="123"/>
      <c r="L58" s="155"/>
      <c r="M58" s="52"/>
      <c r="N58" s="156"/>
      <c r="O58" s="52"/>
      <c r="P58" s="156"/>
      <c r="Q58" s="52"/>
      <c r="R58" s="123"/>
      <c r="S58" s="123"/>
      <c r="T58" s="123"/>
      <c r="U58" s="123"/>
      <c r="V58" s="123"/>
      <c r="W58" s="123"/>
      <c r="X58" s="123"/>
    </row>
    <row r="59" spans="2:24">
      <c r="B59" s="85" t="s">
        <v>111</v>
      </c>
      <c r="C59" s="167"/>
      <c r="D59" s="121" t="s">
        <v>80</v>
      </c>
      <c r="H59" s="121" t="s">
        <v>79</v>
      </c>
      <c r="K59" s="157"/>
      <c r="L59" s="157"/>
      <c r="M59" s="158"/>
      <c r="N59" s="159"/>
      <c r="O59" s="156"/>
      <c r="P59" s="160"/>
      <c r="Q59" s="123"/>
      <c r="R59" s="123"/>
      <c r="S59" s="123"/>
      <c r="T59" s="123"/>
      <c r="U59" s="123"/>
      <c r="V59" s="123"/>
      <c r="W59" s="123"/>
      <c r="X59" s="123"/>
    </row>
    <row r="60" spans="2:24">
      <c r="K60" s="157"/>
      <c r="L60" s="157"/>
      <c r="M60" s="157"/>
      <c r="N60" s="123"/>
      <c r="O60" s="156"/>
      <c r="P60" s="160"/>
      <c r="Q60" s="123"/>
      <c r="R60" s="123"/>
      <c r="S60" s="123"/>
      <c r="T60" s="123"/>
      <c r="U60" s="123"/>
      <c r="V60" s="123"/>
      <c r="W60" s="123"/>
      <c r="X60" s="123"/>
    </row>
    <row r="61" spans="2:24">
      <c r="C61" s="161"/>
      <c r="K61" s="157"/>
      <c r="L61" s="157"/>
      <c r="M61" s="157"/>
      <c r="N61" s="123"/>
      <c r="O61" s="157"/>
      <c r="P61" s="160"/>
      <c r="S61" s="123"/>
      <c r="T61" s="123"/>
      <c r="U61" s="123"/>
      <c r="V61" s="123"/>
      <c r="W61" s="123"/>
      <c r="X61" s="123"/>
    </row>
    <row r="62" spans="2:24">
      <c r="C62" s="162">
        <v>7.1059912879929146E-2</v>
      </c>
      <c r="D62" s="121" t="s">
        <v>38</v>
      </c>
      <c r="K62" s="163"/>
      <c r="L62" s="164"/>
      <c r="M62" s="164"/>
      <c r="O62" s="165"/>
    </row>
    <row r="63" spans="2:24">
      <c r="C63" s="166">
        <v>0.38</v>
      </c>
      <c r="D63" s="121" t="s">
        <v>39</v>
      </c>
    </row>
    <row r="64" spans="2:24" ht="13.5" thickBot="1">
      <c r="D64" s="160"/>
    </row>
    <row r="65" spans="3:11" ht="13.5" thickBot="1">
      <c r="C65" s="40" t="str">
        <f>"Company Official Inflation Forecast Dated "&amp;TEXT('Table 4'!$G$5,"mmmm dd, yyyy")</f>
        <v>Company Official Inflation Forecast Dated March 29, 2019</v>
      </c>
      <c r="D65" s="148"/>
      <c r="E65" s="148"/>
      <c r="F65" s="148"/>
      <c r="G65" s="148"/>
      <c r="H65" s="148"/>
      <c r="I65" s="148"/>
      <c r="J65" s="148"/>
      <c r="K65" s="150"/>
    </row>
    <row r="66" spans="3:11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85"/>
      <c r="I66" s="87">
        <f>F74+1</f>
        <v>2035</v>
      </c>
      <c r="J66" s="41">
        <v>2.1999999999999999E-2</v>
      </c>
    </row>
    <row r="67" spans="3:11">
      <c r="C67" s="87">
        <f t="shared" ref="C67:C74" si="9">C66+1</f>
        <v>2018</v>
      </c>
      <c r="D67" s="41">
        <v>2.3E-2</v>
      </c>
      <c r="E67" s="85"/>
      <c r="F67" s="87">
        <f t="shared" ref="F67:F74" si="10">F66+1</f>
        <v>2027</v>
      </c>
      <c r="G67" s="41">
        <v>2.3E-2</v>
      </c>
      <c r="H67" s="85"/>
      <c r="I67" s="87">
        <f t="shared" ref="I67:I74" si="11">I66+1</f>
        <v>2036</v>
      </c>
      <c r="J67" s="41">
        <v>2.1999999999999999E-2</v>
      </c>
    </row>
    <row r="68" spans="3:11">
      <c r="C68" s="87">
        <f t="shared" si="9"/>
        <v>2019</v>
      </c>
      <c r="D68" s="41">
        <v>0.02</v>
      </c>
      <c r="E68" s="85"/>
      <c r="F68" s="87">
        <f t="shared" si="10"/>
        <v>2028</v>
      </c>
      <c r="G68" s="41">
        <v>2.4E-2</v>
      </c>
      <c r="H68" s="85"/>
      <c r="I68" s="87">
        <f t="shared" si="11"/>
        <v>2037</v>
      </c>
      <c r="J68" s="41">
        <v>2.1999999999999999E-2</v>
      </c>
    </row>
    <row r="69" spans="3:11">
      <c r="C69" s="87">
        <f t="shared" si="9"/>
        <v>2020</v>
      </c>
      <c r="D69" s="41">
        <v>2.1999999999999999E-2</v>
      </c>
      <c r="E69" s="85"/>
      <c r="F69" s="87">
        <f t="shared" si="10"/>
        <v>2029</v>
      </c>
      <c r="G69" s="41">
        <v>2.4E-2</v>
      </c>
      <c r="H69" s="85"/>
      <c r="I69" s="87">
        <f t="shared" si="11"/>
        <v>2038</v>
      </c>
      <c r="J69" s="41">
        <v>2.3E-2</v>
      </c>
    </row>
    <row r="70" spans="3:11">
      <c r="C70" s="87">
        <f t="shared" si="9"/>
        <v>2021</v>
      </c>
      <c r="D70" s="41">
        <v>2.4E-2</v>
      </c>
      <c r="E70" s="85"/>
      <c r="F70" s="87">
        <f t="shared" si="10"/>
        <v>2030</v>
      </c>
      <c r="G70" s="41">
        <v>2.3E-2</v>
      </c>
      <c r="H70" s="85"/>
      <c r="I70" s="87">
        <f t="shared" si="11"/>
        <v>2039</v>
      </c>
      <c r="J70" s="41">
        <v>2.3E-2</v>
      </c>
    </row>
    <row r="71" spans="3:11">
      <c r="C71" s="87">
        <f t="shared" si="9"/>
        <v>2022</v>
      </c>
      <c r="D71" s="41">
        <v>2.4E-2</v>
      </c>
      <c r="E71" s="85"/>
      <c r="F71" s="87">
        <f t="shared" si="10"/>
        <v>2031</v>
      </c>
      <c r="G71" s="41">
        <v>2.3E-2</v>
      </c>
      <c r="H71" s="85"/>
      <c r="I71" s="87">
        <f t="shared" si="11"/>
        <v>2040</v>
      </c>
      <c r="J71" s="41">
        <v>2.3E-2</v>
      </c>
    </row>
    <row r="72" spans="3:11" s="123" customFormat="1">
      <c r="C72" s="87">
        <f t="shared" si="9"/>
        <v>2023</v>
      </c>
      <c r="D72" s="41">
        <v>2.4E-2</v>
      </c>
      <c r="E72" s="86"/>
      <c r="F72" s="87">
        <f t="shared" si="10"/>
        <v>2032</v>
      </c>
      <c r="G72" s="41">
        <v>2.3E-2</v>
      </c>
      <c r="H72" s="86"/>
      <c r="I72" s="87">
        <f t="shared" si="11"/>
        <v>2041</v>
      </c>
      <c r="J72" s="41">
        <v>2.3E-2</v>
      </c>
    </row>
    <row r="73" spans="3:11" s="123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2.3E-2</v>
      </c>
      <c r="H73" s="86"/>
      <c r="I73" s="87">
        <f t="shared" si="11"/>
        <v>2042</v>
      </c>
      <c r="J73" s="41">
        <v>2.3E-2</v>
      </c>
    </row>
    <row r="74" spans="3:11" s="123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86"/>
      <c r="I74" s="87">
        <f t="shared" si="11"/>
        <v>2043</v>
      </c>
      <c r="J74" s="41">
        <v>2.3E-2</v>
      </c>
    </row>
    <row r="75" spans="3:11" s="123" customFormat="1"/>
    <row r="76" spans="3:11" s="123" customFormat="1"/>
    <row r="93" spans="3:4">
      <c r="C93" s="156"/>
      <c r="D93" s="160"/>
    </row>
    <row r="94" spans="3:4">
      <c r="C94" s="156"/>
      <c r="D94" s="160"/>
    </row>
    <row r="95" spans="3:4">
      <c r="C95" s="156"/>
      <c r="D95" s="160"/>
    </row>
    <row r="96" spans="3:4">
      <c r="C96" s="156"/>
      <c r="D96" s="160"/>
    </row>
    <row r="97" spans="3:4">
      <c r="C97" s="156"/>
      <c r="D97" s="160"/>
    </row>
    <row r="98" spans="3:4">
      <c r="C98" s="156"/>
      <c r="D98" s="160"/>
    </row>
    <row r="99" spans="3:4">
      <c r="C99" s="156"/>
      <c r="D99" s="160"/>
    </row>
    <row r="100" spans="3:4">
      <c r="C100" s="156"/>
      <c r="D100" s="160"/>
    </row>
    <row r="101" spans="3:4">
      <c r="C101" s="156"/>
      <c r="D101" s="160"/>
    </row>
    <row r="102" spans="3:4">
      <c r="C102" s="156"/>
      <c r="D102" s="160"/>
    </row>
  </sheetData>
  <printOptions horizontalCentered="1"/>
  <pageMargins left="0.8" right="0.3" top="0.4" bottom="0.4" header="0.5" footer="0.2"/>
  <pageSetup scale="75" orientation="portrait" r:id="rId1"/>
  <headerFooter alignWithMargins="0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58</vt:i4>
      </vt:variant>
    </vt:vector>
  </HeadingPairs>
  <TitlesOfParts>
    <vt:vector size="83" baseType="lpstr">
      <vt:lpstr>Table 1</vt:lpstr>
      <vt:lpstr>Table 2</vt:lpstr>
      <vt:lpstr>Table 4</vt:lpstr>
      <vt:lpstr>Table 5</vt:lpstr>
      <vt:lpstr>Table 3 TransCost D2 </vt:lpstr>
      <vt:lpstr>Table 3 UT Wind 2030</vt:lpstr>
      <vt:lpstr>Table 3 DJ Wind 2030</vt:lpstr>
      <vt:lpstr>Table 3 ID Wind 2030</vt:lpstr>
      <vt:lpstr>Table 3 ID Wind 2033</vt:lpstr>
      <vt:lpstr>Table 3 UT Wind 2036</vt:lpstr>
      <vt:lpstr>Table 3 WW Wind 2035</vt:lpstr>
      <vt:lpstr>Table 3 YK Wind 2035</vt:lpstr>
      <vt:lpstr>Table 3 OR Wind 2035</vt:lpstr>
      <vt:lpstr>Table 3 YK Solar 2030</vt:lpstr>
      <vt:lpstr>Table 3 YK Solar 2032</vt:lpstr>
      <vt:lpstr>Table 3 YK Solar 2033</vt:lpstr>
      <vt:lpstr>Table 3 UT Solar 2033 ST</vt:lpstr>
      <vt:lpstr>Table 3 UT Solar 2035 ST</vt:lpstr>
      <vt:lpstr>Table 3 UT Solar 2035 FT</vt:lpstr>
      <vt:lpstr>Table 3 OR Solar 2030</vt:lpstr>
      <vt:lpstr>Table 3 OR Solar 2031</vt:lpstr>
      <vt:lpstr>Table 3 OR Solar 2032</vt:lpstr>
      <vt:lpstr>Table 3 OR Solar 2033</vt:lpstr>
      <vt:lpstr>Table 3 EV2020 Wind_2020</vt:lpstr>
      <vt:lpstr>Table 3 EV2020 Wind_2021</vt:lpstr>
      <vt:lpstr>_200_SCCT_UtahN</vt:lpstr>
      <vt:lpstr>_200_SCCT_WYNE</vt:lpstr>
      <vt:lpstr>'Table 3 TransCost D2 '!_30_Geo_West</vt:lpstr>
      <vt:lpstr>_30_Geo_West</vt:lpstr>
      <vt:lpstr>'Table 3 TransCost D2 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'Table 1'!Print_Area</vt:lpstr>
      <vt:lpstr>'Table 2'!Print_Area</vt:lpstr>
      <vt:lpstr>'Table 3 DJ Wind 2030'!Print_Area</vt:lpstr>
      <vt:lpstr>'Table 3 EV2020 Wind_2020'!Print_Area</vt:lpstr>
      <vt:lpstr>'Table 3 EV2020 Wind_2021'!Print_Area</vt:lpstr>
      <vt:lpstr>'Table 3 ID Wind 2030'!Print_Area</vt:lpstr>
      <vt:lpstr>'Table 3 ID Wind 2033'!Print_Area</vt:lpstr>
      <vt:lpstr>'Table 3 OR Solar 2030'!Print_Area</vt:lpstr>
      <vt:lpstr>'Table 3 OR Solar 2031'!Print_Area</vt:lpstr>
      <vt:lpstr>'Table 3 OR Solar 2032'!Print_Area</vt:lpstr>
      <vt:lpstr>'Table 3 OR Solar 2033'!Print_Area</vt:lpstr>
      <vt:lpstr>'Table 3 OR Wind 2035'!Print_Area</vt:lpstr>
      <vt:lpstr>'Table 3 TransCost D2 '!Print_Area</vt:lpstr>
      <vt:lpstr>'Table 3 UT Solar 2033 ST'!Print_Area</vt:lpstr>
      <vt:lpstr>'Table 3 UT Solar 2035 FT'!Print_Area</vt:lpstr>
      <vt:lpstr>'Table 3 UT Solar 2035 ST'!Print_Area</vt:lpstr>
      <vt:lpstr>'Table 3 UT Wind 2030'!Print_Area</vt:lpstr>
      <vt:lpstr>'Table 3 UT Wind 2036'!Print_Area</vt:lpstr>
      <vt:lpstr>'Table 3 WW Wind 2035'!Print_Area</vt:lpstr>
      <vt:lpstr>'Table 3 YK Solar 2030'!Print_Area</vt:lpstr>
      <vt:lpstr>'Table 3 YK Solar 2032'!Print_Area</vt:lpstr>
      <vt:lpstr>'Table 3 YK Solar 2033'!Print_Area</vt:lpstr>
      <vt:lpstr>'Table 3 YK Wind 2035'!Print_Area</vt:lpstr>
      <vt:lpstr>'Table 4'!Print_Area</vt:lpstr>
      <vt:lpstr>'Table 5'!Print_Area</vt:lpstr>
      <vt:lpstr>'Table 2'!Print_Titles</vt:lpstr>
      <vt:lpstr>'Table 2'!Study_Cap_Adj</vt:lpstr>
      <vt:lpstr>'Table 3 TransCost D2 '!Study_Cap_Adj</vt:lpstr>
      <vt:lpstr>Study_Cap_Adj</vt:lpstr>
      <vt:lpstr>'Table 2'!Study_CF</vt:lpstr>
      <vt:lpstr>Study_CF</vt:lpstr>
      <vt:lpstr>'Table 2'!Study_MW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2018-02-07T18:22:02Z</cp:lastPrinted>
  <dcterms:created xsi:type="dcterms:W3CDTF">2001-03-19T15:45:46Z</dcterms:created>
  <dcterms:modified xsi:type="dcterms:W3CDTF">2019-10-10T20:24:29Z</dcterms:modified>
</cp:coreProperties>
</file>