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37\"/>
    </mc:Choice>
  </mc:AlternateContent>
  <bookViews>
    <workbookView xWindow="0" yWindow="0" windowWidth="19125" windowHeight="11520"/>
  </bookViews>
  <sheets>
    <sheet name="Table 1" sheetId="25" r:id="rId1"/>
    <sheet name="Table 2" sheetId="66" r:id="rId2"/>
    <sheet name="Table 4" sheetId="28" r:id="rId3"/>
    <sheet name="Table 5" sheetId="31" r:id="rId4"/>
    <sheet name="Table 3 TransCost D2 " sheetId="47" state="hidden" r:id="rId5"/>
    <sheet name="Table 3 UT Wind 2030" sheetId="63" state="hidden" r:id="rId6"/>
    <sheet name="Table 3 DJ Wind 2030" sheetId="42" state="hidden" r:id="rId7"/>
    <sheet name="Table 3 ID Wind 2030" sheetId="64" state="hidden" r:id="rId8"/>
    <sheet name="Table 3 ID Wind 2033" sheetId="44" state="hidden" r:id="rId9"/>
    <sheet name="Table 3 UT Wind 2036" sheetId="50" state="hidden" r:id="rId10"/>
    <sheet name="Table 3 WW Wind 2035" sheetId="52" state="hidden" r:id="rId11"/>
    <sheet name="Table 3 YK Wind 2035" sheetId="53" state="hidden" r:id="rId12"/>
    <sheet name="Table 3 OR Wind 2035" sheetId="54" state="hidden" r:id="rId13"/>
    <sheet name="Table 3 YK Solar 2030" sheetId="41" state="hidden" r:id="rId14"/>
    <sheet name="Table 3 YK Solar 2032" sheetId="56" state="hidden" r:id="rId15"/>
    <sheet name="Table 3 YK Solar 2033" sheetId="57" state="hidden" r:id="rId16"/>
    <sheet name="Table 3 UT Solar 2033 ST" sheetId="40" state="hidden" r:id="rId17"/>
    <sheet name="Table 3 UT Solar 2035 ST" sheetId="62" state="hidden" r:id="rId18"/>
    <sheet name="Table 3 UT Solar 2035 FT" sheetId="55" state="hidden" r:id="rId19"/>
    <sheet name="Table 3 OR Solar 2030" sheetId="58" state="hidden" r:id="rId20"/>
    <sheet name="Table 3 OR Solar 2031" sheetId="59" state="hidden" r:id="rId21"/>
    <sheet name="Table 3 OR Solar 2032" sheetId="60" state="hidden" r:id="rId22"/>
    <sheet name="Table 3 OR Solar 2033" sheetId="61" state="hidden" r:id="rId23"/>
    <sheet name="Table 3 EV2020 Wind_2020" sheetId="43" state="hidden" r:id="rId24"/>
    <sheet name="Table 3 EV2020 Wind_2021" sheetId="49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00_SCCT_UtahN" localSheetId="1">'[1]Table 1'!$I$19</definedName>
    <definedName name="_200_SCCT_UtahN">'Table 1'!$I$19</definedName>
    <definedName name="_200_SCCT_WYNE">'Table 1'!$I$21</definedName>
    <definedName name="_30_Geo_West" localSheetId="1">'[1]Table 1'!$I$17</definedName>
    <definedName name="_30_Geo_West" localSheetId="4">'Table 1'!$I$17</definedName>
    <definedName name="_30_Geo_West">'Table 1'!$I$17</definedName>
    <definedName name="_436_CCCT_WestMain" localSheetId="1">'[1]Table 1'!$I$18</definedName>
    <definedName name="_436_CCCT_WestMain" localSheetId="4">'Table 1'!$I$18</definedName>
    <definedName name="_436_CCCT_WestMain">'Table 1'!$I$18</definedName>
    <definedName name="_477_CCCT_WestMain" localSheetId="1">'Table 1'!$I$18</definedName>
    <definedName name="_477_CCCT_WestMain">'[2]Table 1'!$I$18</definedName>
    <definedName name="_477_CCCT_WYNE">'Table 1'!$I$20</definedName>
    <definedName name="_635_CCCT_UtahS" localSheetId="1">'Table 1'!$I$19</definedName>
    <definedName name="_635_CCCT_UtahS">'[2]Table 1'!$I$19</definedName>
    <definedName name="_635_CCCT_WyoNE" localSheetId="1">'Table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">'[1]Table 1'!#REF!</definedName>
    <definedName name="_Percent_Last_CCCT">'[3]Table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>'Table 1'!$I$39</definedName>
    <definedName name="Discount_Rate_2015_IRP" localSheetId="23">'[5]Table 7 to 8'!$AE$43</definedName>
    <definedName name="Discount_Rate_2015_IRP" localSheetId="24">'[5]Table 7 to 8'!$AE$43</definedName>
    <definedName name="Discount_Rate_2015_IRP" localSheetId="7">'[5]Table 7 to 8'!$AE$43</definedName>
    <definedName name="Discount_Rate_2015_IRP" localSheetId="8">'[5]Table 7 to 8'!$AE$43</definedName>
    <definedName name="Discount_Rate_2015_IRP" localSheetId="19">'[5]Table 7 to 8'!$AE$43</definedName>
    <definedName name="Discount_Rate_2015_IRP" localSheetId="20">'[5]Table 7 to 8'!$AE$43</definedName>
    <definedName name="Discount_Rate_2015_IRP" localSheetId="21">'[5]Table 7 to 8'!$AE$43</definedName>
    <definedName name="Discount_Rate_2015_IRP" localSheetId="22">'[5]Table 7 to 8'!$AE$43</definedName>
    <definedName name="Discount_Rate_2015_IRP" localSheetId="12">'[5]Table 7 to 8'!$AE$43</definedName>
    <definedName name="Discount_Rate_2015_IRP" localSheetId="4">'[5]Table 7 to 8'!$AE$43</definedName>
    <definedName name="Discount_Rate_2015_IRP" localSheetId="16">'[5]Table 7 to 8'!$AE$43</definedName>
    <definedName name="Discount_Rate_2015_IRP" localSheetId="18">'[5]Table 7 to 8'!$AE$43</definedName>
    <definedName name="Discount_Rate_2015_IRP" localSheetId="17">'[5]Table 7 to 8'!$AE$43</definedName>
    <definedName name="Discount_Rate_2015_IRP" localSheetId="5">'[5]Table 7 to 8'!$AE$43</definedName>
    <definedName name="Discount_Rate_2015_IRP" localSheetId="9">'[5]Table 7 to 8'!$AE$43</definedName>
    <definedName name="Discount_Rate_2015_IRP" localSheetId="10">'[5]Table 7 to 8'!$AE$43</definedName>
    <definedName name="Discount_Rate_2015_IRP" localSheetId="13">'[5]Table 7 to 8'!$AE$43</definedName>
    <definedName name="Discount_Rate_2015_IRP" localSheetId="14">'[5]Table 7 to 8'!$AE$43</definedName>
    <definedName name="Discount_Rate_2015_IRP" localSheetId="15">'[5]Table 7 to 8'!$AE$43</definedName>
    <definedName name="Discount_Rate_2015_IRP" localSheetId="11">'[5]Table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6">'[7]OFPC Source'!$J$8:$M$295</definedName>
    <definedName name="Market" localSheetId="23">'[7]OFPC Source'!$J$8:$M$295</definedName>
    <definedName name="Market" localSheetId="24">'[7]OFPC Source'!$J$8:$M$295</definedName>
    <definedName name="Market" localSheetId="7">'[7]OFPC Source'!$J$8:$M$295</definedName>
    <definedName name="Market" localSheetId="8">'[7]OFPC Source'!$J$8:$M$295</definedName>
    <definedName name="Market" localSheetId="19">'[7]OFPC Source'!$J$8:$M$295</definedName>
    <definedName name="Market" localSheetId="20">'[7]OFPC Source'!$J$8:$M$295</definedName>
    <definedName name="Market" localSheetId="21">'[7]OFPC Source'!$J$8:$M$295</definedName>
    <definedName name="Market" localSheetId="22">'[7]OFPC Source'!$J$8:$M$295</definedName>
    <definedName name="Market" localSheetId="12">'[7]OFPC Source'!$J$8:$M$295</definedName>
    <definedName name="Market" localSheetId="4">'[7]OFPC Source'!$J$8:$M$295</definedName>
    <definedName name="Market" localSheetId="16">'[7]OFPC Source'!$J$8:$M$295</definedName>
    <definedName name="Market" localSheetId="18">'[7]OFPC Source'!$J$8:$M$295</definedName>
    <definedName name="Market" localSheetId="17">'[7]OFPC Source'!$J$8:$M$295</definedName>
    <definedName name="Market" localSheetId="5">'[7]OFPC Source'!$J$8:$M$295</definedName>
    <definedName name="Market" localSheetId="9">'[7]OFPC Source'!$J$8:$M$295</definedName>
    <definedName name="Market" localSheetId="10">'[7]OFPC Source'!$J$8:$M$295</definedName>
    <definedName name="Market" localSheetId="13">'[7]OFPC Source'!$J$8:$M$295</definedName>
    <definedName name="Market" localSheetId="14">'[7]OFPC Source'!$J$8:$M$295</definedName>
    <definedName name="Market" localSheetId="15">'[7]OFPC Source'!$J$8:$M$295</definedName>
    <definedName name="Market" localSheetId="11">'[7]OFPC Source'!$J$8:$M$295</definedName>
    <definedName name="Market">'[6]OFPC Source'!$J$8:$M$295</definedName>
    <definedName name="MidC_Flat" localSheetId="1">[8]Market_Price!#REF!</definedName>
    <definedName name="MidC_Flat">[8]Market_Price!#REF!</definedName>
    <definedName name="OR_AC_price" localSheetId="1">#REF!</definedName>
    <definedName name="OR_AC_price">#REF!</definedName>
    <definedName name="_xlnm.Print_Area" localSheetId="0">'Table 1'!$A$1:$H$57</definedName>
    <definedName name="_xlnm.Print_Area" localSheetId="1">'Table 2'!$B$1:$P$36</definedName>
    <definedName name="_xlnm.Print_Area" localSheetId="6">'Table 3 DJ Wind 2030'!$A$1:$K$74</definedName>
    <definedName name="_xlnm.Print_Area" localSheetId="23">'Table 3 EV2020 Wind_2020'!$A$1:$M$74</definedName>
    <definedName name="_xlnm.Print_Area" localSheetId="24">'Table 3 EV2020 Wind_2021'!$A$1:$M$74</definedName>
    <definedName name="_xlnm.Print_Area" localSheetId="7">'Table 3 ID Wind 2030'!$A$1:$K$74</definedName>
    <definedName name="_xlnm.Print_Area" localSheetId="8">'Table 3 ID Wind 2033'!$A$1:$K$74</definedName>
    <definedName name="_xlnm.Print_Area" localSheetId="19">'Table 3 OR Solar 2030'!$A$1:$K$74</definedName>
    <definedName name="_xlnm.Print_Area" localSheetId="20">'Table 3 OR Solar 2031'!$A$1:$K$74</definedName>
    <definedName name="_xlnm.Print_Area" localSheetId="21">'Table 3 OR Solar 2032'!$A$1:$K$74</definedName>
    <definedName name="_xlnm.Print_Area" localSheetId="22">'Table 3 OR Solar 2033'!$A$1:$K$74</definedName>
    <definedName name="_xlnm.Print_Area" localSheetId="12">'Table 3 OR Wind 2035'!$A$1:$K$74</definedName>
    <definedName name="_xlnm.Print_Area" localSheetId="4">'Table 3 TransCost D2 '!$A$1:$K$49</definedName>
    <definedName name="_xlnm.Print_Area" localSheetId="16">'Table 3 UT Solar 2033 ST'!$A$1:$K$74</definedName>
    <definedName name="_xlnm.Print_Area" localSheetId="18">'Table 3 UT Solar 2035 FT'!$A$1:$K$74</definedName>
    <definedName name="_xlnm.Print_Area" localSheetId="17">'Table 3 UT Solar 2035 ST'!$A$1:$K$74</definedName>
    <definedName name="_xlnm.Print_Area" localSheetId="5">'Table 3 UT Wind 2030'!$A$1:$K$74</definedName>
    <definedName name="_xlnm.Print_Area" localSheetId="9">'Table 3 UT Wind 2036'!$A$1:$K$74</definedName>
    <definedName name="_xlnm.Print_Area" localSheetId="10">'Table 3 WW Wind 2035'!$A$1:$K$74</definedName>
    <definedName name="_xlnm.Print_Area" localSheetId="13">'Table 3 YK Solar 2030'!$A$1:$K$74</definedName>
    <definedName name="_xlnm.Print_Area" localSheetId="14">'Table 3 YK Solar 2032'!$A$1:$K$74</definedName>
    <definedName name="_xlnm.Print_Area" localSheetId="15">'Table 3 YK Solar 2033'!$A$1:$K$74</definedName>
    <definedName name="_xlnm.Print_Area" localSheetId="11">'Table 3 YK Wind 2035'!$A$1:$K$74</definedName>
    <definedName name="_xlnm.Print_Area" localSheetId="2">'Table 4'!$A$1:$E$44</definedName>
    <definedName name="_xlnm.Print_Area" localSheetId="3">'Table 5'!$A$1:$H$266</definedName>
    <definedName name="_xlnm.Print_Titles" localSheetId="1">'Table 2'!$1:$9</definedName>
    <definedName name="RenewableMarketShape" localSheetId="6">'[7]OFPC Source'!$P$5:$U$28</definedName>
    <definedName name="RenewableMarketShape" localSheetId="23">'[7]OFPC Source'!$P$5:$U$28</definedName>
    <definedName name="RenewableMarketShape" localSheetId="24">'[7]OFPC Source'!$P$5:$U$28</definedName>
    <definedName name="RenewableMarketShape" localSheetId="7">'[7]OFPC Source'!$P$5:$U$28</definedName>
    <definedName name="RenewableMarketShape" localSheetId="8">'[7]OFPC Source'!$P$5:$U$28</definedName>
    <definedName name="RenewableMarketShape" localSheetId="19">'[7]OFPC Source'!$P$5:$U$28</definedName>
    <definedName name="RenewableMarketShape" localSheetId="20">'[7]OFPC Source'!$P$5:$U$28</definedName>
    <definedName name="RenewableMarketShape" localSheetId="21">'[7]OFPC Source'!$P$5:$U$28</definedName>
    <definedName name="RenewableMarketShape" localSheetId="22">'[7]OFPC Source'!$P$5:$U$28</definedName>
    <definedName name="RenewableMarketShape" localSheetId="12">'[7]OFPC Source'!$P$5:$U$28</definedName>
    <definedName name="RenewableMarketShape" localSheetId="4">'[7]OFPC Source'!$P$5:$U$28</definedName>
    <definedName name="RenewableMarketShape" localSheetId="16">'[7]OFPC Source'!$P$5:$U$28</definedName>
    <definedName name="RenewableMarketShape" localSheetId="18">'[7]OFPC Source'!$P$5:$U$28</definedName>
    <definedName name="RenewableMarketShape" localSheetId="17">'[7]OFPC Source'!$P$5:$U$28</definedName>
    <definedName name="RenewableMarketShape" localSheetId="5">'[7]OFPC Source'!$P$5:$U$28</definedName>
    <definedName name="RenewableMarketShape" localSheetId="9">'[7]OFPC Source'!$P$5:$U$28</definedName>
    <definedName name="RenewableMarketShape" localSheetId="10">'[7]OFPC Source'!$P$5:$U$28</definedName>
    <definedName name="RenewableMarketShape" localSheetId="13">'[7]OFPC Source'!$P$5:$U$28</definedName>
    <definedName name="RenewableMarketShape" localSheetId="14">'[7]OFPC Source'!$P$5:$U$28</definedName>
    <definedName name="RenewableMarketShape" localSheetId="15">'[7]OFPC Source'!$P$5:$U$28</definedName>
    <definedName name="RenewableMarketShape" localSheetId="11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6">'[7]OFPC Source'!$U$47</definedName>
    <definedName name="Solar_HLH" localSheetId="23">'[7]OFPC Source'!$U$47</definedName>
    <definedName name="Solar_HLH" localSheetId="24">'[7]OFPC Source'!$U$47</definedName>
    <definedName name="Solar_HLH" localSheetId="7">'[7]OFPC Source'!$U$47</definedName>
    <definedName name="Solar_HLH" localSheetId="8">'[7]OFPC Source'!$U$47</definedName>
    <definedName name="Solar_HLH" localSheetId="19">'[7]OFPC Source'!$U$47</definedName>
    <definedName name="Solar_HLH" localSheetId="20">'[7]OFPC Source'!$U$47</definedName>
    <definedName name="Solar_HLH" localSheetId="21">'[7]OFPC Source'!$U$47</definedName>
    <definedName name="Solar_HLH" localSheetId="22">'[7]OFPC Source'!$U$47</definedName>
    <definedName name="Solar_HLH" localSheetId="12">'[7]OFPC Source'!$U$47</definedName>
    <definedName name="Solar_HLH" localSheetId="4">'[7]OFPC Source'!$U$47</definedName>
    <definedName name="Solar_HLH" localSheetId="16">'[7]OFPC Source'!$U$47</definedName>
    <definedName name="Solar_HLH" localSheetId="18">'[7]OFPC Source'!$U$47</definedName>
    <definedName name="Solar_HLH" localSheetId="17">'[7]OFPC Source'!$U$47</definedName>
    <definedName name="Solar_HLH" localSheetId="5">'[7]OFPC Source'!$U$47</definedName>
    <definedName name="Solar_HLH" localSheetId="9">'[7]OFPC Source'!$U$47</definedName>
    <definedName name="Solar_HLH" localSheetId="10">'[7]OFPC Source'!$U$47</definedName>
    <definedName name="Solar_HLH" localSheetId="13">'[7]OFPC Source'!$U$47</definedName>
    <definedName name="Solar_HLH" localSheetId="14">'[7]OFPC Source'!$U$47</definedName>
    <definedName name="Solar_HLH" localSheetId="15">'[7]OFPC Source'!$U$47</definedName>
    <definedName name="Solar_HLH" localSheetId="11">'[7]OFPC Source'!$U$47</definedName>
    <definedName name="Solar_HLH">'[6]OFPC Source'!$U$48</definedName>
    <definedName name="Solar_LLH" localSheetId="6">'[7]OFPC Source'!$V$47</definedName>
    <definedName name="Solar_LLH" localSheetId="23">'[7]OFPC Source'!$V$47</definedName>
    <definedName name="Solar_LLH" localSheetId="24">'[7]OFPC Source'!$V$47</definedName>
    <definedName name="Solar_LLH" localSheetId="7">'[7]OFPC Source'!$V$47</definedName>
    <definedName name="Solar_LLH" localSheetId="8">'[7]OFPC Source'!$V$47</definedName>
    <definedName name="Solar_LLH" localSheetId="19">'[7]OFPC Source'!$V$47</definedName>
    <definedName name="Solar_LLH" localSheetId="20">'[7]OFPC Source'!$V$47</definedName>
    <definedName name="Solar_LLH" localSheetId="21">'[7]OFPC Source'!$V$47</definedName>
    <definedName name="Solar_LLH" localSheetId="22">'[7]OFPC Source'!$V$47</definedName>
    <definedName name="Solar_LLH" localSheetId="12">'[7]OFPC Source'!$V$47</definedName>
    <definedName name="Solar_LLH" localSheetId="4">'[7]OFPC Source'!$V$47</definedName>
    <definedName name="Solar_LLH" localSheetId="16">'[7]OFPC Source'!$V$47</definedName>
    <definedName name="Solar_LLH" localSheetId="18">'[7]OFPC Source'!$V$47</definedName>
    <definedName name="Solar_LLH" localSheetId="17">'[7]OFPC Source'!$V$47</definedName>
    <definedName name="Solar_LLH" localSheetId="5">'[7]OFPC Source'!$V$47</definedName>
    <definedName name="Solar_LLH" localSheetId="9">'[7]OFPC Source'!$V$47</definedName>
    <definedName name="Solar_LLH" localSheetId="10">'[7]OFPC Source'!$V$47</definedName>
    <definedName name="Solar_LLH" localSheetId="13">'[7]OFPC Source'!$V$47</definedName>
    <definedName name="Solar_LLH" localSheetId="14">'[7]OFPC Source'!$V$47</definedName>
    <definedName name="Solar_LLH" localSheetId="15">'[7]OFPC Source'!$V$47</definedName>
    <definedName name="Solar_LLH" localSheetId="11">'[7]OFPC Source'!$V$47</definedName>
    <definedName name="Solar_LLH">'[6]OFPC Source'!$V$48</definedName>
    <definedName name="Solar_Tracking_integr_cost">'[9]Table 10'!$B$45</definedName>
    <definedName name="Study_Cap_Adj" localSheetId="1">'Table 1'!$I$8</definedName>
    <definedName name="Study_Cap_Adj" localSheetId="4">'Table 1'!$I$8</definedName>
    <definedName name="Study_Cap_Adj">'Table 1'!$I$8</definedName>
    <definedName name="Study_CF" localSheetId="1">'Table 5'!$M$7</definedName>
    <definedName name="Study_CF">'Table 5'!$M$7</definedName>
    <definedName name="Study_MW" localSheetId="1">'Table 5'!$M$6</definedName>
    <definedName name="Study_MW">'Table 5'!$M$6</definedName>
    <definedName name="Study_Name" localSheetId="6">[4]ImportData!$D$7</definedName>
    <definedName name="Study_Name" localSheetId="23">[4]ImportData!$D$7</definedName>
    <definedName name="Study_Name" localSheetId="24">[4]ImportData!$D$7</definedName>
    <definedName name="Study_Name" localSheetId="7">[4]ImportData!$D$7</definedName>
    <definedName name="Study_Name" localSheetId="8">[4]ImportData!$D$7</definedName>
    <definedName name="Study_Name" localSheetId="19">[4]ImportData!$D$7</definedName>
    <definedName name="Study_Name" localSheetId="20">[4]ImportData!$D$7</definedName>
    <definedName name="Study_Name" localSheetId="21">[4]ImportData!$D$7</definedName>
    <definedName name="Study_Name" localSheetId="22">[4]ImportData!$D$7</definedName>
    <definedName name="Study_Name" localSheetId="12">[4]ImportData!$D$7</definedName>
    <definedName name="Study_Name" localSheetId="4">[4]ImportData!$D$7</definedName>
    <definedName name="Study_Name" localSheetId="16">[4]ImportData!$D$7</definedName>
    <definedName name="Study_Name" localSheetId="18">[4]ImportData!$D$7</definedName>
    <definedName name="Study_Name" localSheetId="17">[4]ImportData!$D$7</definedName>
    <definedName name="Study_Name" localSheetId="5">[4]ImportData!$D$7</definedName>
    <definedName name="Study_Name" localSheetId="9">[4]ImportData!$D$7</definedName>
    <definedName name="Study_Name" localSheetId="10">[4]ImportData!$D$7</definedName>
    <definedName name="Study_Name" localSheetId="13">[4]ImportData!$D$7</definedName>
    <definedName name="Study_Name" localSheetId="14">[4]ImportData!$D$7</definedName>
    <definedName name="Study_Name" localSheetId="15">[4]ImportData!$D$7</definedName>
    <definedName name="Study_Name" localSheetId="11">[4]ImportData!$D$7</definedName>
    <definedName name="ValuationDate" localSheetId="1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B38" i="25" l="1"/>
  <c r="B22" i="66" l="1"/>
  <c r="B21" i="66"/>
  <c r="B20" i="66"/>
  <c r="B19" i="66"/>
  <c r="B18" i="66"/>
  <c r="B17" i="66"/>
  <c r="B16" i="66"/>
  <c r="B15" i="66"/>
  <c r="B14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A9" i="31" l="1"/>
  <c r="R6" i="31" l="1"/>
  <c r="H12" i="52" l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L13" i="31" l="1"/>
  <c r="M14" i="31"/>
  <c r="B13" i="31"/>
  <c r="L14" i="31" l="1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1" i="64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D49" i="64"/>
  <c r="C49" i="64"/>
  <c r="D48" i="64"/>
  <c r="C48" i="64"/>
  <c r="C47" i="64"/>
  <c r="C46" i="64"/>
  <c r="C45" i="64"/>
  <c r="H11" i="64"/>
  <c r="G11" i="64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P12" i="64"/>
  <c r="P13" i="64" s="1"/>
  <c r="F11" i="64"/>
  <c r="I11" i="64" s="1"/>
  <c r="J11" i="64" s="1"/>
  <c r="B3" i="64"/>
  <c r="C52" i="64" s="1"/>
  <c r="B9" i="64" s="1"/>
  <c r="C69" i="64"/>
  <c r="C70" i="64" l="1"/>
  <c r="F12" i="64"/>
  <c r="I12" i="64" s="1"/>
  <c r="J12" i="64" s="1"/>
  <c r="F13" i="64" l="1"/>
  <c r="I13" i="64" s="1"/>
  <c r="J13" i="64" s="1"/>
  <c r="P14" i="64"/>
  <c r="C71" i="64"/>
  <c r="C72" i="64" l="1"/>
  <c r="P15" i="64"/>
  <c r="F14" i="64"/>
  <c r="I14" i="64" s="1"/>
  <c r="J14" i="64" s="1"/>
  <c r="P16" i="64" l="1"/>
  <c r="F15" i="64"/>
  <c r="I15" i="64" s="1"/>
  <c r="J15" i="64" s="1"/>
  <c r="C73" i="64"/>
  <c r="C74" i="64" l="1"/>
  <c r="F16" i="64"/>
  <c r="I16" i="64" s="1"/>
  <c r="J16" i="64" s="1"/>
  <c r="P17" i="64"/>
  <c r="C67" i="63"/>
  <c r="C68" i="63" s="1"/>
  <c r="H11" i="63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B3" i="63"/>
  <c r="C52" i="63" s="1"/>
  <c r="B9" i="63" s="1"/>
  <c r="G11" i="63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K11" i="63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E12" i="63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D47" i="63"/>
  <c r="P11" i="63"/>
  <c r="D46" i="63"/>
  <c r="D24" i="63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F17" i="64"/>
  <c r="I17" i="64" s="1"/>
  <c r="J17" i="64" s="1"/>
  <c r="P18" i="64"/>
  <c r="F66" i="64"/>
  <c r="C69" i="63"/>
  <c r="F18" i="64" l="1"/>
  <c r="I18" i="64" s="1"/>
  <c r="J18" i="64" s="1"/>
  <c r="P19" i="64"/>
  <c r="F67" i="64"/>
  <c r="P12" i="63"/>
  <c r="P13" i="63" s="1"/>
  <c r="C70" i="63"/>
  <c r="F68" i="64" l="1"/>
  <c r="F19" i="64"/>
  <c r="I19" i="64" s="1"/>
  <c r="J19" i="64" s="1"/>
  <c r="P20" i="64"/>
  <c r="F12" i="63"/>
  <c r="I12" i="63" s="1"/>
  <c r="J12" i="63" s="1"/>
  <c r="C71" i="63"/>
  <c r="P14" i="63"/>
  <c r="F20" i="64" l="1"/>
  <c r="I20" i="64" s="1"/>
  <c r="J20" i="64" s="1"/>
  <c r="P21" i="64"/>
  <c r="F69" i="64"/>
  <c r="P15" i="63"/>
  <c r="F13" i="63"/>
  <c r="I13" i="63" s="1"/>
  <c r="J13" i="63" s="1"/>
  <c r="C72" i="63"/>
  <c r="P22" i="64" l="1"/>
  <c r="F70" i="64"/>
  <c r="F21" i="64"/>
  <c r="I21" i="64" s="1"/>
  <c r="J21" i="64" s="1"/>
  <c r="P16" i="63"/>
  <c r="C73" i="63"/>
  <c r="F14" i="63"/>
  <c r="I14" i="63" s="1"/>
  <c r="J14" i="63" s="1"/>
  <c r="F22" i="64" l="1"/>
  <c r="I22" i="64" s="1"/>
  <c r="J22" i="64" s="1"/>
  <c r="P23" i="64"/>
  <c r="F71" i="64"/>
  <c r="F15" i="63"/>
  <c r="I15" i="63" s="1"/>
  <c r="J15" i="63" s="1"/>
  <c r="C74" i="63"/>
  <c r="P17" i="63"/>
  <c r="P24" i="64" l="1"/>
  <c r="P18" i="63"/>
  <c r="F72" i="64"/>
  <c r="F23" i="64"/>
  <c r="I23" i="64" s="1"/>
  <c r="J23" i="64" s="1"/>
  <c r="F66" i="63"/>
  <c r="F16" i="63"/>
  <c r="I16" i="63" s="1"/>
  <c r="J16" i="63" s="1"/>
  <c r="P25" i="64" l="1"/>
  <c r="F73" i="64"/>
  <c r="F24" i="64"/>
  <c r="I24" i="64" s="1"/>
  <c r="J24" i="64" s="1"/>
  <c r="F67" i="63"/>
  <c r="F17" i="63"/>
  <c r="I17" i="63" s="1"/>
  <c r="J17" i="63" s="1"/>
  <c r="P19" i="63"/>
  <c r="P20" i="63" l="1"/>
  <c r="F74" i="64"/>
  <c r="P26" i="64"/>
  <c r="F25" i="64"/>
  <c r="I25" i="64" s="1"/>
  <c r="J25" i="64" s="1"/>
  <c r="F68" i="63"/>
  <c r="F18" i="63"/>
  <c r="I18" i="63" s="1"/>
  <c r="J18" i="63" s="1"/>
  <c r="I66" i="64" l="1"/>
  <c r="P27" i="64"/>
  <c r="F26" i="64"/>
  <c r="I26" i="64" s="1"/>
  <c r="J26" i="64" s="1"/>
  <c r="F19" i="63"/>
  <c r="I19" i="63" s="1"/>
  <c r="J19" i="63" s="1"/>
  <c r="P21" i="63"/>
  <c r="F69" i="63"/>
  <c r="F27" i="64" l="1"/>
  <c r="I27" i="64" s="1"/>
  <c r="J27" i="64" s="1"/>
  <c r="P28" i="64"/>
  <c r="I67" i="64"/>
  <c r="F70" i="63"/>
  <c r="P22" i="63"/>
  <c r="F20" i="63"/>
  <c r="I20" i="63" s="1"/>
  <c r="J20" i="63" s="1"/>
  <c r="F28" i="64" l="1"/>
  <c r="I28" i="64" s="1"/>
  <c r="J28" i="64" s="1"/>
  <c r="I68" i="64"/>
  <c r="P29" i="64"/>
  <c r="F71" i="63"/>
  <c r="F21" i="63"/>
  <c r="I21" i="63" s="1"/>
  <c r="J21" i="63" s="1"/>
  <c r="P23" i="63"/>
  <c r="P24" i="63" l="1"/>
  <c r="F29" i="64"/>
  <c r="I29" i="64" s="1"/>
  <c r="J29" i="64" s="1"/>
  <c r="P30" i="64"/>
  <c r="I69" i="64"/>
  <c r="F72" i="63"/>
  <c r="F22" i="63"/>
  <c r="I22" i="63" s="1"/>
  <c r="J22" i="63" s="1"/>
  <c r="F24" i="63" l="1"/>
  <c r="I24" i="63" s="1"/>
  <c r="J24" i="63" s="1"/>
  <c r="F30" i="64"/>
  <c r="I30" i="64" s="1"/>
  <c r="J30" i="64" s="1"/>
  <c r="I70" i="64"/>
  <c r="P31" i="64"/>
  <c r="F23" i="63"/>
  <c r="I23" i="63" s="1"/>
  <c r="J23" i="63" s="1"/>
  <c r="P25" i="63"/>
  <c r="F73" i="63"/>
  <c r="F32" i="64" l="1"/>
  <c r="P32" i="64"/>
  <c r="F25" i="63"/>
  <c r="I25" i="63" s="1"/>
  <c r="J25" i="63" s="1"/>
  <c r="F31" i="64"/>
  <c r="I31" i="64" s="1"/>
  <c r="J31" i="64" s="1"/>
  <c r="I71" i="64"/>
  <c r="F74" i="63"/>
  <c r="P26" i="63"/>
  <c r="F26" i="63" l="1"/>
  <c r="I26" i="63" s="1"/>
  <c r="J26" i="63" s="1"/>
  <c r="P33" i="64"/>
  <c r="I72" i="64"/>
  <c r="I32" i="64"/>
  <c r="J32" i="64" s="1"/>
  <c r="I66" i="63"/>
  <c r="P27" i="63"/>
  <c r="F34" i="64" l="1"/>
  <c r="P34" i="64"/>
  <c r="P28" i="63"/>
  <c r="F27" i="63"/>
  <c r="I27" i="63" s="1"/>
  <c r="J27" i="63" s="1"/>
  <c r="F33" i="64"/>
  <c r="I33" i="64" s="1"/>
  <c r="J33" i="64" s="1"/>
  <c r="I73" i="64"/>
  <c r="I67" i="63"/>
  <c r="P35" i="64" l="1"/>
  <c r="I34" i="64"/>
  <c r="J34" i="64" s="1"/>
  <c r="F28" i="63"/>
  <c r="I28" i="63" s="1"/>
  <c r="J28" i="63" s="1"/>
  <c r="F35" i="64"/>
  <c r="I74" i="64"/>
  <c r="I68" i="63"/>
  <c r="P29" i="63"/>
  <c r="P36" i="64" l="1"/>
  <c r="P30" i="63"/>
  <c r="F36" i="64"/>
  <c r="F29" i="63"/>
  <c r="I29" i="63" s="1"/>
  <c r="J29" i="63" s="1"/>
  <c r="I35" i="64"/>
  <c r="J35" i="64" s="1"/>
  <c r="I69" i="63"/>
  <c r="P31" i="63" l="1"/>
  <c r="I36" i="64"/>
  <c r="J36" i="64" s="1"/>
  <c r="I70" i="63"/>
  <c r="P32" i="63" l="1"/>
  <c r="F30" i="63"/>
  <c r="I30" i="63" s="1"/>
  <c r="J30" i="63" s="1"/>
  <c r="I71" i="63"/>
  <c r="P33" i="63" l="1"/>
  <c r="F31" i="63"/>
  <c r="I31" i="63" s="1"/>
  <c r="J31" i="63" s="1"/>
  <c r="I72" i="63"/>
  <c r="F32" i="63" l="1"/>
  <c r="I32" i="63" s="1"/>
  <c r="J32" i="63" s="1"/>
  <c r="I73" i="63"/>
  <c r="P34" i="63"/>
  <c r="P35" i="63" l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J264" i="31" l="1"/>
  <c r="D44" i="49"/>
  <c r="C67" i="62" l="1"/>
  <c r="C68" i="62" s="1"/>
  <c r="D11" i="62"/>
  <c r="D29" i="62"/>
  <c r="D30" i="62" s="1"/>
  <c r="D31" i="62" s="1"/>
  <c r="D32" i="62" s="1"/>
  <c r="D33" i="62" s="1"/>
  <c r="D34" i="62" s="1"/>
  <c r="D35" i="62" s="1"/>
  <c r="D36" i="62" s="1"/>
  <c r="K11" i="62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E11" i="62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B11" i="62"/>
  <c r="B12" i="62" s="1"/>
  <c r="B3" i="62"/>
  <c r="C52" i="62" s="1"/>
  <c r="B9" i="62" s="1"/>
  <c r="D46" i="62" l="1"/>
  <c r="F11" i="62"/>
  <c r="I11" i="62" s="1"/>
  <c r="J11" i="62" s="1"/>
  <c r="C69" i="62"/>
  <c r="C70" i="62" l="1"/>
  <c r="D12" i="62"/>
  <c r="C71" i="62" l="1"/>
  <c r="D13" i="62"/>
  <c r="F12" i="62"/>
  <c r="I12" i="62" s="1"/>
  <c r="J12" i="62" s="1"/>
  <c r="F13" i="62" l="1"/>
  <c r="I13" i="62" s="1"/>
  <c r="J13" i="62" s="1"/>
  <c r="D14" i="62"/>
  <c r="C72" i="62"/>
  <c r="D15" i="62" l="1"/>
  <c r="F14" i="62"/>
  <c r="I14" i="62" s="1"/>
  <c r="J14" i="62" s="1"/>
  <c r="C73" i="62"/>
  <c r="D16" i="62" l="1"/>
  <c r="F15" i="62"/>
  <c r="I15" i="62" s="1"/>
  <c r="J15" i="62" s="1"/>
  <c r="C74" i="62"/>
  <c r="D17" i="62" l="1"/>
  <c r="F16" i="62"/>
  <c r="I16" i="62" s="1"/>
  <c r="J16" i="62" s="1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F67" i="62" l="1"/>
  <c r="F17" i="62"/>
  <c r="I17" i="62" s="1"/>
  <c r="J17" i="62" s="1"/>
  <c r="D18" i="62"/>
  <c r="F68" i="62" l="1"/>
  <c r="D19" i="62"/>
  <c r="F18" i="62"/>
  <c r="I18" i="62" s="1"/>
  <c r="J18" i="62" s="1"/>
  <c r="C27" i="61"/>
  <c r="C67" i="61"/>
  <c r="B3" i="61"/>
  <c r="C52" i="61" s="1"/>
  <c r="B9" i="61" s="1"/>
  <c r="K11" i="6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1" i="6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C49" i="61"/>
  <c r="D48" i="61"/>
  <c r="C48" i="61"/>
  <c r="C47" i="61"/>
  <c r="D46" i="61"/>
  <c r="C46" i="61"/>
  <c r="C45" i="61"/>
  <c r="D49" i="61"/>
  <c r="H11" i="61"/>
  <c r="G11" i="6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K11" i="60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C49" i="59"/>
  <c r="D48" i="59"/>
  <c r="C48" i="59"/>
  <c r="C47" i="59"/>
  <c r="D46" i="59"/>
  <c r="C46" i="59"/>
  <c r="C45" i="59"/>
  <c r="D49" i="59"/>
  <c r="H11" i="59"/>
  <c r="G11" i="59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K11" i="57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K11" i="56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K11" i="41"/>
  <c r="K12" i="41" s="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E11" i="41"/>
  <c r="E12" i="41" s="1"/>
  <c r="E13" i="41" s="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C24" i="4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B3" i="55"/>
  <c r="C52" i="55" s="1"/>
  <c r="B9" i="55" s="1"/>
  <c r="D46" i="55"/>
  <c r="G11" i="55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K11" i="55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1" i="55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11" i="40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K11" i="40"/>
  <c r="K12" i="40" s="1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C27" i="40"/>
  <c r="B3" i="54"/>
  <c r="C52" i="54" s="1"/>
  <c r="B9" i="54" s="1"/>
  <c r="D46" i="54"/>
  <c r="G11" i="54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K11" i="54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1" i="54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29" i="54" s="1"/>
  <c r="E30" i="54" s="1"/>
  <c r="E31" i="54" s="1"/>
  <c r="E32" i="54" s="1"/>
  <c r="E33" i="54" s="1"/>
  <c r="E34" i="54" s="1"/>
  <c r="E35" i="54" s="1"/>
  <c r="E36" i="54" s="1"/>
  <c r="C29" i="54"/>
  <c r="D29" i="54" s="1"/>
  <c r="D30" i="54" s="1"/>
  <c r="D31" i="54" s="1"/>
  <c r="D32" i="54" s="1"/>
  <c r="D33" i="54" s="1"/>
  <c r="D34" i="54" s="1"/>
  <c r="D35" i="54" s="1"/>
  <c r="D36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1" i="52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E36" i="52" s="1"/>
  <c r="C29" i="52"/>
  <c r="D29" i="52" s="1"/>
  <c r="D30" i="52" s="1"/>
  <c r="D31" i="52" s="1"/>
  <c r="D32" i="52" s="1"/>
  <c r="D33" i="52" s="1"/>
  <c r="D34" i="52" s="1"/>
  <c r="D35" i="52" s="1"/>
  <c r="D36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1" i="44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E11" i="44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C27" i="44"/>
  <c r="C30" i="50"/>
  <c r="D47" i="50"/>
  <c r="D46" i="50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1" i="50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E11" i="50"/>
  <c r="C24" i="42"/>
  <c r="C68" i="50"/>
  <c r="C67" i="50"/>
  <c r="H11" i="50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C15" i="49"/>
  <c r="C69" i="49"/>
  <c r="C70" i="49" s="1"/>
  <c r="C67" i="49"/>
  <c r="C68" i="49" s="1"/>
  <c r="D47" i="49"/>
  <c r="D46" i="49"/>
  <c r="H11" i="49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E11" i="49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F11" i="58" l="1"/>
  <c r="E12" i="58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F11" i="60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34" i="60" s="1"/>
  <c r="E35" i="60" s="1"/>
  <c r="E36" i="60" s="1"/>
  <c r="F11" i="50"/>
  <c r="E12" i="50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F11" i="53"/>
  <c r="E12" i="53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F11" i="56"/>
  <c r="E12" i="56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E29" i="56" s="1"/>
  <c r="E30" i="56" s="1"/>
  <c r="E31" i="56" s="1"/>
  <c r="E32" i="56" s="1"/>
  <c r="E33" i="56" s="1"/>
  <c r="E34" i="56" s="1"/>
  <c r="E35" i="56" s="1"/>
  <c r="E36" i="56" s="1"/>
  <c r="F11" i="57"/>
  <c r="I11" i="57" s="1"/>
  <c r="J11" i="57" s="1"/>
  <c r="E12" i="57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E31" i="57" s="1"/>
  <c r="E32" i="57" s="1"/>
  <c r="E33" i="57" s="1"/>
  <c r="E34" i="57" s="1"/>
  <c r="E35" i="57" s="1"/>
  <c r="E36" i="57" s="1"/>
  <c r="D27" i="40"/>
  <c r="D28" i="40" s="1"/>
  <c r="D29" i="40" s="1"/>
  <c r="D30" i="40" s="1"/>
  <c r="D31" i="40" s="1"/>
  <c r="D32" i="40" s="1"/>
  <c r="D33" i="40" s="1"/>
  <c r="D34" i="40" s="1"/>
  <c r="D35" i="40" s="1"/>
  <c r="D36" i="40" s="1"/>
  <c r="B3" i="50"/>
  <c r="C52" i="50" s="1"/>
  <c r="B9" i="50" s="1"/>
  <c r="P12" i="54"/>
  <c r="B3" i="58"/>
  <c r="C52" i="58" s="1"/>
  <c r="B9" i="58" s="1"/>
  <c r="P11" i="52"/>
  <c r="F12" i="59"/>
  <c r="P11" i="50"/>
  <c r="P12" i="50" s="1"/>
  <c r="P11" i="53"/>
  <c r="P12" i="53" s="1"/>
  <c r="P13" i="53" s="1"/>
  <c r="D20" i="62"/>
  <c r="F19" i="62"/>
  <c r="I19" i="62" s="1"/>
  <c r="J19" i="62" s="1"/>
  <c r="F69" i="62"/>
  <c r="F11" i="49"/>
  <c r="J11" i="49" s="1"/>
  <c r="K11" i="49" s="1"/>
  <c r="B3" i="56"/>
  <c r="C52" i="56" s="1"/>
  <c r="B9" i="56" s="1"/>
  <c r="D27" i="61"/>
  <c r="D28" i="61" s="1"/>
  <c r="D29" i="61" s="1"/>
  <c r="D30" i="61" s="1"/>
  <c r="D31" i="61" s="1"/>
  <c r="D32" i="61" s="1"/>
  <c r="D33" i="61" s="1"/>
  <c r="D34" i="61" s="1"/>
  <c r="D35" i="61" s="1"/>
  <c r="D36" i="61" s="1"/>
  <c r="D29" i="53"/>
  <c r="D30" i="53" s="1"/>
  <c r="D31" i="53" s="1"/>
  <c r="D32" i="53" s="1"/>
  <c r="D33" i="53" s="1"/>
  <c r="D34" i="53" s="1"/>
  <c r="D35" i="53" s="1"/>
  <c r="D36" i="53" s="1"/>
  <c r="I11" i="53"/>
  <c r="J11" i="53" s="1"/>
  <c r="D47" i="55"/>
  <c r="B3" i="59"/>
  <c r="C52" i="59" s="1"/>
  <c r="B9" i="59" s="1"/>
  <c r="B3" i="60"/>
  <c r="C52" i="60" s="1"/>
  <c r="B9" i="60" s="1"/>
  <c r="D15" i="49"/>
  <c r="D16" i="49" s="1"/>
  <c r="D17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28" i="49" s="1"/>
  <c r="D29" i="49" s="1"/>
  <c r="B3" i="53"/>
  <c r="C52" i="53" s="1"/>
  <c r="B9" i="53" s="1"/>
  <c r="D24" i="42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I11" i="50"/>
  <c r="J11" i="50" s="1"/>
  <c r="B3" i="49"/>
  <c r="C52" i="49" s="1"/>
  <c r="B9" i="49" s="1"/>
  <c r="D30" i="50"/>
  <c r="D31" i="50" s="1"/>
  <c r="D32" i="50" s="1"/>
  <c r="D33" i="50" s="1"/>
  <c r="D34" i="50" s="1"/>
  <c r="D35" i="50" s="1"/>
  <c r="D36" i="50" s="1"/>
  <c r="D27" i="44"/>
  <c r="D28" i="44" s="1"/>
  <c r="D29" i="44" s="1"/>
  <c r="D30" i="44" s="1"/>
  <c r="D31" i="44" s="1"/>
  <c r="D32" i="44" s="1"/>
  <c r="D33" i="44" s="1"/>
  <c r="D34" i="44" s="1"/>
  <c r="D35" i="44" s="1"/>
  <c r="D36" i="44" s="1"/>
  <c r="D47" i="54"/>
  <c r="D27" i="57"/>
  <c r="D28" i="57" s="1"/>
  <c r="D29" i="57" s="1"/>
  <c r="D30" i="57" s="1"/>
  <c r="D31" i="57" s="1"/>
  <c r="D32" i="57" s="1"/>
  <c r="D33" i="57" s="1"/>
  <c r="D34" i="57" s="1"/>
  <c r="D35" i="57" s="1"/>
  <c r="D36" i="57" s="1"/>
  <c r="D29" i="55"/>
  <c r="D30" i="55" s="1"/>
  <c r="D31" i="55" s="1"/>
  <c r="D32" i="55" s="1"/>
  <c r="D33" i="55" s="1"/>
  <c r="D34" i="55" s="1"/>
  <c r="D35" i="55" s="1"/>
  <c r="D36" i="55" s="1"/>
  <c r="D26" i="60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26" i="56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25" i="59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F11" i="61"/>
  <c r="I11" i="61" s="1"/>
  <c r="J11" i="61" s="1"/>
  <c r="C68" i="61"/>
  <c r="D47" i="61"/>
  <c r="I11" i="60"/>
  <c r="J11" i="60" s="1"/>
  <c r="C69" i="60"/>
  <c r="C69" i="59"/>
  <c r="F11" i="59"/>
  <c r="I11" i="59" s="1"/>
  <c r="J11" i="59" s="1"/>
  <c r="I11" i="58"/>
  <c r="J11" i="58" s="1"/>
  <c r="C70" i="58"/>
  <c r="C70" i="57"/>
  <c r="C70" i="56"/>
  <c r="F11" i="55"/>
  <c r="I11" i="55" s="1"/>
  <c r="J11" i="55" s="1"/>
  <c r="C69" i="55"/>
  <c r="F12" i="54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F12" i="57" l="1"/>
  <c r="I12" i="57" s="1"/>
  <c r="J12" i="57" s="1"/>
  <c r="I12" i="54"/>
  <c r="J12" i="54" s="1"/>
  <c r="I12" i="59"/>
  <c r="J12" i="59" s="1"/>
  <c r="P13" i="54"/>
  <c r="F12" i="61"/>
  <c r="D21" i="62"/>
  <c r="F20" i="62"/>
  <c r="I20" i="62" s="1"/>
  <c r="J20" i="62" s="1"/>
  <c r="F70" i="62"/>
  <c r="C69" i="61"/>
  <c r="C70" i="60"/>
  <c r="C70" i="59"/>
  <c r="F12" i="58"/>
  <c r="I12" i="58" s="1"/>
  <c r="J12" i="58" s="1"/>
  <c r="C71" i="58"/>
  <c r="C71" i="57"/>
  <c r="F12" i="56"/>
  <c r="I12" i="56" s="1"/>
  <c r="J12" i="56" s="1"/>
  <c r="C71" i="56"/>
  <c r="I11" i="56"/>
  <c r="J11" i="56" s="1"/>
  <c r="D12" i="55"/>
  <c r="C70" i="55"/>
  <c r="C70" i="54"/>
  <c r="C70" i="53"/>
  <c r="F12" i="53"/>
  <c r="I12" i="53" s="1"/>
  <c r="J12" i="53" s="1"/>
  <c r="C69" i="52"/>
  <c r="P12" i="52"/>
  <c r="F12" i="50"/>
  <c r="I12" i="50" s="1"/>
  <c r="J12" i="50" s="1"/>
  <c r="C70" i="50"/>
  <c r="P13" i="50"/>
  <c r="B16" i="49"/>
  <c r="C72" i="49"/>
  <c r="F13" i="57" l="1"/>
  <c r="I13" i="57" s="1"/>
  <c r="J13" i="57" s="1"/>
  <c r="I12" i="61"/>
  <c r="J12" i="61" s="1"/>
  <c r="P14" i="54"/>
  <c r="P14" i="50"/>
  <c r="F21" i="62"/>
  <c r="I21" i="62" s="1"/>
  <c r="J21" i="62" s="1"/>
  <c r="D22" i="62"/>
  <c r="F71" i="62"/>
  <c r="C70" i="61"/>
  <c r="F12" i="60"/>
  <c r="I12" i="60" s="1"/>
  <c r="J12" i="60" s="1"/>
  <c r="C71" i="60"/>
  <c r="C71" i="59"/>
  <c r="F13" i="59"/>
  <c r="I13" i="59" s="1"/>
  <c r="J13" i="59" s="1"/>
  <c r="F13" i="58"/>
  <c r="I13" i="58" s="1"/>
  <c r="J13" i="58" s="1"/>
  <c r="C72" i="58"/>
  <c r="F14" i="57"/>
  <c r="I14" i="57" s="1"/>
  <c r="J14" i="57" s="1"/>
  <c r="C72" i="57"/>
  <c r="C72" i="56"/>
  <c r="F13" i="56"/>
  <c r="I13" i="56" s="1"/>
  <c r="J13" i="56" s="1"/>
  <c r="D13" i="55"/>
  <c r="F12" i="55"/>
  <c r="I12" i="55" s="1"/>
  <c r="J12" i="55" s="1"/>
  <c r="C71" i="55"/>
  <c r="F13" i="54"/>
  <c r="I13" i="54" s="1"/>
  <c r="J13" i="54" s="1"/>
  <c r="C71" i="54"/>
  <c r="P14" i="53"/>
  <c r="F13" i="53"/>
  <c r="I13" i="53" s="1"/>
  <c r="J13" i="53" s="1"/>
  <c r="C71" i="53"/>
  <c r="P13" i="52"/>
  <c r="C70" i="52"/>
  <c r="F12" i="52"/>
  <c r="I12" i="52" s="1"/>
  <c r="J12" i="52" s="1"/>
  <c r="C71" i="50"/>
  <c r="F13" i="50"/>
  <c r="I13" i="50" s="1"/>
  <c r="J13" i="50" s="1"/>
  <c r="F12" i="49"/>
  <c r="J12" i="49" s="1"/>
  <c r="K12" i="49" s="1"/>
  <c r="B17" i="49"/>
  <c r="C73" i="49"/>
  <c r="P15" i="54" l="1"/>
  <c r="F72" i="62"/>
  <c r="D23" i="62"/>
  <c r="F22" i="62"/>
  <c r="I22" i="62" s="1"/>
  <c r="J22" i="62" s="1"/>
  <c r="F13" i="61"/>
  <c r="I13" i="61" s="1"/>
  <c r="J13" i="61" s="1"/>
  <c r="C71" i="61"/>
  <c r="C72" i="60"/>
  <c r="F13" i="60"/>
  <c r="I13" i="60" s="1"/>
  <c r="J13" i="60" s="1"/>
  <c r="C72" i="59"/>
  <c r="F14" i="59"/>
  <c r="I14" i="59" s="1"/>
  <c r="J14" i="59" s="1"/>
  <c r="C24" i="58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F14" i="58"/>
  <c r="I14" i="58" s="1"/>
  <c r="J14" i="58" s="1"/>
  <c r="C73" i="58"/>
  <c r="F15" i="57"/>
  <c r="I15" i="57" s="1"/>
  <c r="J15" i="57" s="1"/>
  <c r="C73" i="57"/>
  <c r="C73" i="56"/>
  <c r="F14" i="56"/>
  <c r="I14" i="56" s="1"/>
  <c r="J14" i="56" s="1"/>
  <c r="C72" i="55"/>
  <c r="F13" i="55"/>
  <c r="I13" i="55" s="1"/>
  <c r="J13" i="55" s="1"/>
  <c r="D14" i="55"/>
  <c r="F14" i="54"/>
  <c r="I14" i="54" s="1"/>
  <c r="J14" i="54" s="1"/>
  <c r="C72" i="54"/>
  <c r="P15" i="53"/>
  <c r="C72" i="53"/>
  <c r="F14" i="53"/>
  <c r="I14" i="53" s="1"/>
  <c r="J14" i="53" s="1"/>
  <c r="F13" i="52"/>
  <c r="I13" i="52" s="1"/>
  <c r="J13" i="52" s="1"/>
  <c r="P14" i="52"/>
  <c r="C71" i="52"/>
  <c r="C72" i="50"/>
  <c r="P15" i="50"/>
  <c r="F14" i="50"/>
  <c r="I14" i="50" s="1"/>
  <c r="J14" i="50" s="1"/>
  <c r="F13" i="49"/>
  <c r="J13" i="49" s="1"/>
  <c r="K13" i="49" s="1"/>
  <c r="C74" i="49"/>
  <c r="B18" i="49"/>
  <c r="P16" i="54" l="1"/>
  <c r="P16" i="53"/>
  <c r="F73" i="62"/>
  <c r="D24" i="62"/>
  <c r="F23" i="62"/>
  <c r="I23" i="62" s="1"/>
  <c r="J23" i="62" s="1"/>
  <c r="F14" i="61"/>
  <c r="I14" i="61" s="1"/>
  <c r="J14" i="61" s="1"/>
  <c r="C72" i="61"/>
  <c r="F14" i="60"/>
  <c r="I14" i="60" s="1"/>
  <c r="J14" i="60" s="1"/>
  <c r="C73" i="60"/>
  <c r="F15" i="59"/>
  <c r="I15" i="59" s="1"/>
  <c r="J15" i="59" s="1"/>
  <c r="C73" i="59"/>
  <c r="C74" i="58"/>
  <c r="F15" i="58"/>
  <c r="I15" i="58" s="1"/>
  <c r="J15" i="58" s="1"/>
  <c r="F16" i="57"/>
  <c r="I16" i="57" s="1"/>
  <c r="J16" i="57" s="1"/>
  <c r="C74" i="57"/>
  <c r="C74" i="56"/>
  <c r="F15" i="56"/>
  <c r="I15" i="56" s="1"/>
  <c r="J15" i="56" s="1"/>
  <c r="C73" i="55"/>
  <c r="D15" i="55"/>
  <c r="F14" i="55"/>
  <c r="I14" i="55" s="1"/>
  <c r="J14" i="55" s="1"/>
  <c r="C73" i="54"/>
  <c r="F15" i="54"/>
  <c r="I15" i="54" s="1"/>
  <c r="J15" i="54" s="1"/>
  <c r="C73" i="53"/>
  <c r="F15" i="53"/>
  <c r="I15" i="53" s="1"/>
  <c r="J15" i="53" s="1"/>
  <c r="C72" i="52"/>
  <c r="F14" i="52"/>
  <c r="I14" i="52" s="1"/>
  <c r="J14" i="52" s="1"/>
  <c r="P15" i="52"/>
  <c r="F15" i="50"/>
  <c r="I15" i="50" s="1"/>
  <c r="J15" i="50" s="1"/>
  <c r="P16" i="50"/>
  <c r="C73" i="50"/>
  <c r="F66" i="49"/>
  <c r="F14" i="49"/>
  <c r="J14" i="49" s="1"/>
  <c r="K14" i="49" s="1"/>
  <c r="B19" i="49"/>
  <c r="P17" i="54" l="1"/>
  <c r="P17" i="53"/>
  <c r="F74" i="62"/>
  <c r="F24" i="62"/>
  <c r="I24" i="62" s="1"/>
  <c r="J24" i="62" s="1"/>
  <c r="D25" i="62"/>
  <c r="C73" i="61"/>
  <c r="F15" i="61"/>
  <c r="I15" i="61" s="1"/>
  <c r="J15" i="61" s="1"/>
  <c r="F15" i="60"/>
  <c r="I15" i="60" s="1"/>
  <c r="J15" i="60" s="1"/>
  <c r="C74" i="60"/>
  <c r="C74" i="59"/>
  <c r="F16" i="59"/>
  <c r="I16" i="59" s="1"/>
  <c r="J16" i="59" s="1"/>
  <c r="F16" i="58"/>
  <c r="I16" i="58" s="1"/>
  <c r="J16" i="58" s="1"/>
  <c r="F66" i="58"/>
  <c r="F66" i="57"/>
  <c r="F17" i="57"/>
  <c r="I17" i="57" s="1"/>
  <c r="J17" i="57" s="1"/>
  <c r="F66" i="56"/>
  <c r="F16" i="56"/>
  <c r="I16" i="56" s="1"/>
  <c r="J16" i="56" s="1"/>
  <c r="C74" i="55"/>
  <c r="F15" i="55"/>
  <c r="I15" i="55" s="1"/>
  <c r="J15" i="55" s="1"/>
  <c r="D16" i="55"/>
  <c r="C74" i="54"/>
  <c r="F16" i="54"/>
  <c r="I16" i="54" s="1"/>
  <c r="J16" i="54" s="1"/>
  <c r="F16" i="53"/>
  <c r="I16" i="53" s="1"/>
  <c r="J16" i="53" s="1"/>
  <c r="C74" i="53"/>
  <c r="C73" i="52"/>
  <c r="F15" i="52"/>
  <c r="I15" i="52" s="1"/>
  <c r="J15" i="52" s="1"/>
  <c r="P16" i="52"/>
  <c r="C74" i="50"/>
  <c r="F16" i="50"/>
  <c r="I16" i="50" s="1"/>
  <c r="J16" i="50" s="1"/>
  <c r="P17" i="50"/>
  <c r="F67" i="49"/>
  <c r="B20" i="49"/>
  <c r="F15" i="49"/>
  <c r="J15" i="49" s="1"/>
  <c r="K15" i="49" s="1"/>
  <c r="P18" i="54" l="1"/>
  <c r="P19" i="54" s="1"/>
  <c r="P18" i="53"/>
  <c r="P17" i="52"/>
  <c r="F25" i="62"/>
  <c r="I25" i="62" s="1"/>
  <c r="J25" i="62" s="1"/>
  <c r="D26" i="62"/>
  <c r="I66" i="62"/>
  <c r="F16" i="61"/>
  <c r="I16" i="61" s="1"/>
  <c r="J16" i="61" s="1"/>
  <c r="C74" i="61"/>
  <c r="F16" i="60"/>
  <c r="I16" i="60" s="1"/>
  <c r="J16" i="60" s="1"/>
  <c r="F66" i="60"/>
  <c r="F66" i="59"/>
  <c r="F17" i="59"/>
  <c r="I17" i="59" s="1"/>
  <c r="J17" i="59" s="1"/>
  <c r="F17" i="58"/>
  <c r="I17" i="58" s="1"/>
  <c r="J17" i="58" s="1"/>
  <c r="F67" i="58"/>
  <c r="F67" i="57"/>
  <c r="F18" i="57"/>
  <c r="I18" i="57" s="1"/>
  <c r="J18" i="57" s="1"/>
  <c r="F67" i="56"/>
  <c r="F17" i="56"/>
  <c r="I17" i="56" s="1"/>
  <c r="J17" i="56" s="1"/>
  <c r="F66" i="55"/>
  <c r="D17" i="55"/>
  <c r="F16" i="55"/>
  <c r="I16" i="55" s="1"/>
  <c r="J16" i="55" s="1"/>
  <c r="F17" i="54"/>
  <c r="I17" i="54" s="1"/>
  <c r="J17" i="54" s="1"/>
  <c r="F66" i="54"/>
  <c r="F17" i="53"/>
  <c r="I17" i="53" s="1"/>
  <c r="J17" i="53" s="1"/>
  <c r="F66" i="53"/>
  <c r="C74" i="52"/>
  <c r="F16" i="52"/>
  <c r="I16" i="52" s="1"/>
  <c r="J16" i="52" s="1"/>
  <c r="P18" i="50"/>
  <c r="F66" i="50"/>
  <c r="F17" i="50"/>
  <c r="I17" i="50" s="1"/>
  <c r="J17" i="50" s="1"/>
  <c r="B21" i="49"/>
  <c r="F16" i="49"/>
  <c r="J16" i="49" s="1"/>
  <c r="K16" i="49" s="1"/>
  <c r="F68" i="49"/>
  <c r="P19" i="50" l="1"/>
  <c r="F26" i="62"/>
  <c r="I26" i="62" s="1"/>
  <c r="J26" i="62" s="1"/>
  <c r="D27" i="62"/>
  <c r="D28" i="62" s="1"/>
  <c r="I67" i="62"/>
  <c r="F17" i="61"/>
  <c r="I17" i="61" s="1"/>
  <c r="J17" i="61" s="1"/>
  <c r="F66" i="61"/>
  <c r="F17" i="60"/>
  <c r="I17" i="60" s="1"/>
  <c r="J17" i="60" s="1"/>
  <c r="F67" i="60"/>
  <c r="F18" i="59"/>
  <c r="I18" i="59" s="1"/>
  <c r="J18" i="59" s="1"/>
  <c r="F67" i="59"/>
  <c r="F68" i="58"/>
  <c r="F18" i="58"/>
  <c r="I18" i="58" s="1"/>
  <c r="J18" i="58" s="1"/>
  <c r="F19" i="57"/>
  <c r="I19" i="57" s="1"/>
  <c r="J19" i="57" s="1"/>
  <c r="F68" i="57"/>
  <c r="F68" i="56"/>
  <c r="F18" i="56"/>
  <c r="I18" i="56" s="1"/>
  <c r="J18" i="56" s="1"/>
  <c r="F17" i="55"/>
  <c r="I17" i="55" s="1"/>
  <c r="J17" i="55" s="1"/>
  <c r="D18" i="55"/>
  <c r="F67" i="55"/>
  <c r="F18" i="54"/>
  <c r="I18" i="54" s="1"/>
  <c r="J18" i="54" s="1"/>
  <c r="P20" i="54"/>
  <c r="F67" i="54"/>
  <c r="F67" i="53"/>
  <c r="F18" i="53"/>
  <c r="I18" i="53" s="1"/>
  <c r="J18" i="53" s="1"/>
  <c r="P19" i="53"/>
  <c r="F66" i="52"/>
  <c r="F17" i="52"/>
  <c r="I17" i="52" s="1"/>
  <c r="J17" i="52" s="1"/>
  <c r="P18" i="52"/>
  <c r="F18" i="50"/>
  <c r="I18" i="50" s="1"/>
  <c r="J18" i="50" s="1"/>
  <c r="F67" i="50"/>
  <c r="F17" i="49"/>
  <c r="J17" i="49" s="1"/>
  <c r="K17" i="49" s="1"/>
  <c r="F69" i="49"/>
  <c r="B22" i="49"/>
  <c r="F27" i="62" l="1"/>
  <c r="I27" i="62" s="1"/>
  <c r="J27" i="62" s="1"/>
  <c r="P19" i="52"/>
  <c r="I68" i="62"/>
  <c r="F28" i="62"/>
  <c r="I28" i="62" s="1"/>
  <c r="J28" i="62" s="1"/>
  <c r="F18" i="61"/>
  <c r="I18" i="61" s="1"/>
  <c r="J18" i="61" s="1"/>
  <c r="F67" i="61"/>
  <c r="F18" i="60"/>
  <c r="I18" i="60" s="1"/>
  <c r="J18" i="60" s="1"/>
  <c r="F68" i="60"/>
  <c r="F68" i="59"/>
  <c r="F19" i="59"/>
  <c r="I19" i="59" s="1"/>
  <c r="J19" i="59" s="1"/>
  <c r="F69" i="58"/>
  <c r="F19" i="58"/>
  <c r="I19" i="58" s="1"/>
  <c r="J19" i="58" s="1"/>
  <c r="F20" i="57"/>
  <c r="I20" i="57" s="1"/>
  <c r="J20" i="57" s="1"/>
  <c r="F69" i="57"/>
  <c r="F69" i="56"/>
  <c r="F19" i="56"/>
  <c r="I19" i="56" s="1"/>
  <c r="J19" i="56" s="1"/>
  <c r="F68" i="55"/>
  <c r="D19" i="55"/>
  <c r="F18" i="55"/>
  <c r="I18" i="55" s="1"/>
  <c r="J18" i="55" s="1"/>
  <c r="F68" i="54"/>
  <c r="F19" i="54"/>
  <c r="I19" i="54" s="1"/>
  <c r="J19" i="54" s="1"/>
  <c r="F19" i="53"/>
  <c r="I19" i="53" s="1"/>
  <c r="J19" i="53" s="1"/>
  <c r="P20" i="53"/>
  <c r="F68" i="53"/>
  <c r="F18" i="52"/>
  <c r="I18" i="52" s="1"/>
  <c r="J18" i="52" s="1"/>
  <c r="F67" i="52"/>
  <c r="F68" i="50"/>
  <c r="F19" i="50"/>
  <c r="I19" i="50" s="1"/>
  <c r="J19" i="50" s="1"/>
  <c r="P20" i="50"/>
  <c r="F18" i="49"/>
  <c r="J18" i="49" s="1"/>
  <c r="K18" i="49" s="1"/>
  <c r="F70" i="49"/>
  <c r="B23" i="49"/>
  <c r="P20" i="52" l="1"/>
  <c r="P21" i="50"/>
  <c r="I69" i="62"/>
  <c r="F29" i="62"/>
  <c r="I29" i="62" s="1"/>
  <c r="J29" i="62" s="1"/>
  <c r="F19" i="61"/>
  <c r="I19" i="61" s="1"/>
  <c r="J19" i="61" s="1"/>
  <c r="F68" i="61"/>
  <c r="F69" i="60"/>
  <c r="F19" i="60"/>
  <c r="I19" i="60" s="1"/>
  <c r="J19" i="60" s="1"/>
  <c r="F20" i="59"/>
  <c r="I20" i="59" s="1"/>
  <c r="J20" i="59" s="1"/>
  <c r="F69" i="59"/>
  <c r="F70" i="58"/>
  <c r="F20" i="58"/>
  <c r="I20" i="58" s="1"/>
  <c r="J20" i="58" s="1"/>
  <c r="F70" i="57"/>
  <c r="F21" i="57"/>
  <c r="I21" i="57" s="1"/>
  <c r="J21" i="57" s="1"/>
  <c r="F20" i="56"/>
  <c r="I20" i="56" s="1"/>
  <c r="J20" i="56" s="1"/>
  <c r="F70" i="56"/>
  <c r="F19" i="55"/>
  <c r="I19" i="55" s="1"/>
  <c r="J19" i="55" s="1"/>
  <c r="D20" i="55"/>
  <c r="F69" i="55"/>
  <c r="F69" i="54"/>
  <c r="P21" i="54"/>
  <c r="F20" i="54"/>
  <c r="I20" i="54" s="1"/>
  <c r="J20" i="54" s="1"/>
  <c r="F69" i="53"/>
  <c r="F20" i="53"/>
  <c r="I20" i="53" s="1"/>
  <c r="J20" i="53" s="1"/>
  <c r="P21" i="53"/>
  <c r="F19" i="52"/>
  <c r="I19" i="52" s="1"/>
  <c r="J19" i="52" s="1"/>
  <c r="F68" i="52"/>
  <c r="F20" i="50"/>
  <c r="I20" i="50" s="1"/>
  <c r="J20" i="50" s="1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F19" i="49"/>
  <c r="J19" i="49" s="1"/>
  <c r="K19" i="49" s="1"/>
  <c r="P22" i="54" l="1"/>
  <c r="P22" i="50"/>
  <c r="F30" i="62"/>
  <c r="I30" i="62" s="1"/>
  <c r="J30" i="62" s="1"/>
  <c r="I70" i="62"/>
  <c r="F20" i="61"/>
  <c r="I20" i="61" s="1"/>
  <c r="J20" i="61" s="1"/>
  <c r="F69" i="61"/>
  <c r="F70" i="60"/>
  <c r="F20" i="60"/>
  <c r="I20" i="60" s="1"/>
  <c r="J20" i="60" s="1"/>
  <c r="F21" i="59"/>
  <c r="I21" i="59" s="1"/>
  <c r="J21" i="59" s="1"/>
  <c r="F70" i="59"/>
  <c r="F21" i="58"/>
  <c r="I21" i="58" s="1"/>
  <c r="J21" i="58" s="1"/>
  <c r="F71" i="58"/>
  <c r="F22" i="57"/>
  <c r="I22" i="57" s="1"/>
  <c r="J22" i="57" s="1"/>
  <c r="F71" i="57"/>
  <c r="F71" i="56"/>
  <c r="F21" i="56"/>
  <c r="I21" i="56" s="1"/>
  <c r="J21" i="56" s="1"/>
  <c r="D21" i="55"/>
  <c r="F20" i="55"/>
  <c r="I20" i="55" s="1"/>
  <c r="J20" i="55" s="1"/>
  <c r="F70" i="55"/>
  <c r="F21" i="54"/>
  <c r="I21" i="54" s="1"/>
  <c r="J21" i="54" s="1"/>
  <c r="F70" i="54"/>
  <c r="P22" i="53"/>
  <c r="F70" i="53"/>
  <c r="F21" i="53"/>
  <c r="I21" i="53" s="1"/>
  <c r="J21" i="53" s="1"/>
  <c r="F69" i="52"/>
  <c r="F20" i="52"/>
  <c r="I20" i="52" s="1"/>
  <c r="J20" i="52" s="1"/>
  <c r="P21" i="52"/>
  <c r="F70" i="50"/>
  <c r="F21" i="50"/>
  <c r="I21" i="50" s="1"/>
  <c r="J21" i="50" s="1"/>
  <c r="F72" i="49"/>
  <c r="F20" i="49"/>
  <c r="J20" i="49" s="1"/>
  <c r="K20" i="49" s="1"/>
  <c r="P22" i="52" l="1"/>
  <c r="P23" i="53"/>
  <c r="P23" i="54"/>
  <c r="I71" i="62"/>
  <c r="F31" i="62"/>
  <c r="I31" i="62" s="1"/>
  <c r="J31" i="62" s="1"/>
  <c r="F70" i="61"/>
  <c r="F21" i="61"/>
  <c r="I21" i="61" s="1"/>
  <c r="J21" i="61" s="1"/>
  <c r="F21" i="60"/>
  <c r="I21" i="60" s="1"/>
  <c r="J21" i="60" s="1"/>
  <c r="F71" i="60"/>
  <c r="F71" i="59"/>
  <c r="F22" i="59"/>
  <c r="I22" i="59" s="1"/>
  <c r="J22" i="59" s="1"/>
  <c r="F22" i="58"/>
  <c r="I22" i="58" s="1"/>
  <c r="J22" i="58" s="1"/>
  <c r="F72" i="58"/>
  <c r="F23" i="57"/>
  <c r="I23" i="57" s="1"/>
  <c r="J23" i="57" s="1"/>
  <c r="F72" i="57"/>
  <c r="F72" i="56"/>
  <c r="F22" i="56"/>
  <c r="I22" i="56" s="1"/>
  <c r="J22" i="56" s="1"/>
  <c r="F71" i="55"/>
  <c r="F21" i="55"/>
  <c r="I21" i="55" s="1"/>
  <c r="J21" i="55" s="1"/>
  <c r="D22" i="55"/>
  <c r="F71" i="54"/>
  <c r="F22" i="54"/>
  <c r="I22" i="54" s="1"/>
  <c r="J22" i="54" s="1"/>
  <c r="F22" i="53"/>
  <c r="I22" i="53" s="1"/>
  <c r="J22" i="53" s="1"/>
  <c r="F71" i="53"/>
  <c r="F70" i="52"/>
  <c r="F21" i="52"/>
  <c r="I21" i="52" s="1"/>
  <c r="J21" i="52" s="1"/>
  <c r="P23" i="50"/>
  <c r="F71" i="50"/>
  <c r="F22" i="50"/>
  <c r="I22" i="50" s="1"/>
  <c r="J22" i="50" s="1"/>
  <c r="F21" i="49"/>
  <c r="J21" i="49" s="1"/>
  <c r="K21" i="49" s="1"/>
  <c r="F73" i="49"/>
  <c r="P24" i="54" l="1"/>
  <c r="P25" i="54" s="1"/>
  <c r="P24" i="53"/>
  <c r="F33" i="62"/>
  <c r="F32" i="62"/>
  <c r="I32" i="62" s="1"/>
  <c r="J32" i="62" s="1"/>
  <c r="I72" i="62"/>
  <c r="F22" i="61"/>
  <c r="I22" i="61" s="1"/>
  <c r="J22" i="61" s="1"/>
  <c r="F71" i="61"/>
  <c r="F22" i="60"/>
  <c r="I22" i="60" s="1"/>
  <c r="J22" i="60" s="1"/>
  <c r="F72" i="60"/>
  <c r="F23" i="59"/>
  <c r="I23" i="59" s="1"/>
  <c r="J23" i="59" s="1"/>
  <c r="F72" i="59"/>
  <c r="F23" i="58"/>
  <c r="I23" i="58" s="1"/>
  <c r="J23" i="58" s="1"/>
  <c r="F73" i="58"/>
  <c r="F73" i="57"/>
  <c r="F24" i="57"/>
  <c r="I24" i="57" s="1"/>
  <c r="J24" i="57" s="1"/>
  <c r="F73" i="56"/>
  <c r="F23" i="56"/>
  <c r="I23" i="56" s="1"/>
  <c r="J23" i="56" s="1"/>
  <c r="D23" i="55"/>
  <c r="F22" i="55"/>
  <c r="I22" i="55" s="1"/>
  <c r="J22" i="55" s="1"/>
  <c r="F72" i="55"/>
  <c r="F72" i="54"/>
  <c r="F23" i="54"/>
  <c r="I23" i="54" s="1"/>
  <c r="J23" i="54" s="1"/>
  <c r="F72" i="53"/>
  <c r="F23" i="53"/>
  <c r="I23" i="53" s="1"/>
  <c r="J23" i="53" s="1"/>
  <c r="F22" i="52"/>
  <c r="I22" i="52" s="1"/>
  <c r="J22" i="52" s="1"/>
  <c r="P23" i="52"/>
  <c r="F71" i="52"/>
  <c r="F72" i="50"/>
  <c r="F23" i="50"/>
  <c r="I23" i="50" s="1"/>
  <c r="J23" i="50" s="1"/>
  <c r="P24" i="50"/>
  <c r="F74" i="49"/>
  <c r="F22" i="49"/>
  <c r="J22" i="49" s="1"/>
  <c r="K22" i="49" s="1"/>
  <c r="I33" i="62" l="1"/>
  <c r="J33" i="62" s="1"/>
  <c r="P25" i="53"/>
  <c r="I73" i="62"/>
  <c r="F23" i="61"/>
  <c r="I23" i="61" s="1"/>
  <c r="J23" i="61" s="1"/>
  <c r="F72" i="61"/>
  <c r="F23" i="60"/>
  <c r="I23" i="60" s="1"/>
  <c r="J23" i="60" s="1"/>
  <c r="F73" i="60"/>
  <c r="F25" i="59"/>
  <c r="F24" i="59"/>
  <c r="I24" i="59" s="1"/>
  <c r="J24" i="59" s="1"/>
  <c r="F73" i="59"/>
  <c r="F24" i="58"/>
  <c r="I24" i="58" s="1"/>
  <c r="J24" i="58" s="1"/>
  <c r="F74" i="58"/>
  <c r="F74" i="57"/>
  <c r="F25" i="57"/>
  <c r="I25" i="57" s="1"/>
  <c r="J25" i="57" s="1"/>
  <c r="F74" i="56"/>
  <c r="F24" i="56"/>
  <c r="I24" i="56" s="1"/>
  <c r="J24" i="56" s="1"/>
  <c r="F23" i="55"/>
  <c r="I23" i="55" s="1"/>
  <c r="J23" i="55" s="1"/>
  <c r="D24" i="55"/>
  <c r="F73" i="55"/>
  <c r="F73" i="54"/>
  <c r="P26" i="54"/>
  <c r="F24" i="54"/>
  <c r="I24" i="54" s="1"/>
  <c r="J24" i="54" s="1"/>
  <c r="F73" i="53"/>
  <c r="F24" i="53"/>
  <c r="I24" i="53" s="1"/>
  <c r="J24" i="53" s="1"/>
  <c r="F72" i="52"/>
  <c r="P24" i="52"/>
  <c r="F23" i="52"/>
  <c r="I23" i="52" s="1"/>
  <c r="J23" i="52" s="1"/>
  <c r="P25" i="50"/>
  <c r="F73" i="50"/>
  <c r="F24" i="50"/>
  <c r="I24" i="50" s="1"/>
  <c r="J24" i="50" s="1"/>
  <c r="F23" i="49"/>
  <c r="J23" i="49" s="1"/>
  <c r="K23" i="49" s="1"/>
  <c r="I66" i="49"/>
  <c r="I25" i="59" l="1"/>
  <c r="J25" i="59" s="1"/>
  <c r="P25" i="52"/>
  <c r="P26" i="53"/>
  <c r="F34" i="62"/>
  <c r="I34" i="62" s="1"/>
  <c r="J34" i="62" s="1"/>
  <c r="I74" i="62"/>
  <c r="F73" i="61"/>
  <c r="F24" i="61"/>
  <c r="I24" i="61" s="1"/>
  <c r="J24" i="61" s="1"/>
  <c r="F24" i="60"/>
  <c r="I24" i="60" s="1"/>
  <c r="J24" i="60" s="1"/>
  <c r="F74" i="60"/>
  <c r="F74" i="59"/>
  <c r="F25" i="58"/>
  <c r="I25" i="58" s="1"/>
  <c r="J25" i="58" s="1"/>
  <c r="I66" i="58"/>
  <c r="I66" i="57"/>
  <c r="F26" i="57"/>
  <c r="I26" i="57" s="1"/>
  <c r="J26" i="57" s="1"/>
  <c r="F25" i="56"/>
  <c r="I25" i="56" s="1"/>
  <c r="J25" i="56" s="1"/>
  <c r="I66" i="56"/>
  <c r="F74" i="55"/>
  <c r="D25" i="55"/>
  <c r="F24" i="55"/>
  <c r="I24" i="55" s="1"/>
  <c r="J24" i="55" s="1"/>
  <c r="F25" i="54"/>
  <c r="I25" i="54" s="1"/>
  <c r="J25" i="54" s="1"/>
  <c r="F74" i="54"/>
  <c r="F25" i="53"/>
  <c r="I25" i="53" s="1"/>
  <c r="J25" i="53" s="1"/>
  <c r="F74" i="53"/>
  <c r="F73" i="52"/>
  <c r="F24" i="52"/>
  <c r="I24" i="52" s="1"/>
  <c r="J24" i="52" s="1"/>
  <c r="F74" i="50"/>
  <c r="F25" i="50"/>
  <c r="I25" i="50" s="1"/>
  <c r="J25" i="50" s="1"/>
  <c r="P26" i="50"/>
  <c r="F24" i="49"/>
  <c r="J24" i="49" s="1"/>
  <c r="K24" i="49" s="1"/>
  <c r="I67" i="49"/>
  <c r="G30" i="49" l="1"/>
  <c r="E30" i="49"/>
  <c r="L30" i="49"/>
  <c r="H30" i="49"/>
  <c r="D30" i="49"/>
  <c r="F27" i="59"/>
  <c r="P27" i="50"/>
  <c r="F27" i="50"/>
  <c r="P27" i="54"/>
  <c r="F28" i="57"/>
  <c r="F36" i="62"/>
  <c r="F35" i="62"/>
  <c r="I35" i="62" s="1"/>
  <c r="J35" i="62" s="1"/>
  <c r="F27" i="57"/>
  <c r="I27" i="57" s="1"/>
  <c r="J27" i="57" s="1"/>
  <c r="F74" i="61"/>
  <c r="F25" i="61"/>
  <c r="I25" i="61" s="1"/>
  <c r="J25" i="61" s="1"/>
  <c r="I66" i="60"/>
  <c r="F25" i="60"/>
  <c r="I25" i="60" s="1"/>
  <c r="J25" i="60" s="1"/>
  <c r="F26" i="59"/>
  <c r="I26" i="59" s="1"/>
  <c r="J26" i="59" s="1"/>
  <c r="I66" i="59"/>
  <c r="F26" i="58"/>
  <c r="I26" i="58" s="1"/>
  <c r="J26" i="58" s="1"/>
  <c r="I67" i="58"/>
  <c r="F27" i="58"/>
  <c r="I27" i="58" s="1"/>
  <c r="J27" i="58" s="1"/>
  <c r="I67" i="57"/>
  <c r="F27" i="56"/>
  <c r="I27" i="56" s="1"/>
  <c r="J27" i="56" s="1"/>
  <c r="F26" i="56"/>
  <c r="I26" i="56" s="1"/>
  <c r="J26" i="56" s="1"/>
  <c r="I67" i="56"/>
  <c r="F25" i="55"/>
  <c r="I25" i="55" s="1"/>
  <c r="J25" i="55" s="1"/>
  <c r="D26" i="55"/>
  <c r="I66" i="55"/>
  <c r="I66" i="54"/>
  <c r="F26" i="54"/>
  <c r="I26" i="54" s="1"/>
  <c r="J26" i="54" s="1"/>
  <c r="I66" i="53"/>
  <c r="P27" i="53"/>
  <c r="F26" i="53"/>
  <c r="I26" i="53" s="1"/>
  <c r="J26" i="53" s="1"/>
  <c r="F25" i="52"/>
  <c r="I25" i="52" s="1"/>
  <c r="J25" i="52" s="1"/>
  <c r="P26" i="52"/>
  <c r="F74" i="52"/>
  <c r="F26" i="50"/>
  <c r="I26" i="50" s="1"/>
  <c r="J26" i="50" s="1"/>
  <c r="I66" i="50"/>
  <c r="I68" i="49"/>
  <c r="F25" i="49"/>
  <c r="J25" i="49" s="1"/>
  <c r="K25" i="49" s="1"/>
  <c r="H31" i="49" l="1"/>
  <c r="L31" i="49"/>
  <c r="E31" i="49"/>
  <c r="D31" i="49"/>
  <c r="G31" i="49"/>
  <c r="P28" i="54"/>
  <c r="I27" i="50"/>
  <c r="J27" i="50" s="1"/>
  <c r="I36" i="62"/>
  <c r="J36" i="62" s="1"/>
  <c r="I28" i="57"/>
  <c r="J28" i="57" s="1"/>
  <c r="F26" i="55"/>
  <c r="I26" i="55" s="1"/>
  <c r="J26" i="55" s="1"/>
  <c r="D27" i="55"/>
  <c r="D28" i="55" s="1"/>
  <c r="F28" i="59"/>
  <c r="I66" i="61"/>
  <c r="F26" i="61"/>
  <c r="I26" i="61" s="1"/>
  <c r="J26" i="61" s="1"/>
  <c r="I67" i="60"/>
  <c r="F26" i="60"/>
  <c r="I26" i="60" s="1"/>
  <c r="J26" i="60" s="1"/>
  <c r="I67" i="59"/>
  <c r="I27" i="59"/>
  <c r="J27" i="59" s="1"/>
  <c r="F28" i="58"/>
  <c r="I28" i="58" s="1"/>
  <c r="J28" i="58" s="1"/>
  <c r="I68" i="58"/>
  <c r="I68" i="57"/>
  <c r="I68" i="56"/>
  <c r="F28" i="56"/>
  <c r="I28" i="56" s="1"/>
  <c r="J28" i="56" s="1"/>
  <c r="I67" i="55"/>
  <c r="I67" i="54"/>
  <c r="F27" i="54"/>
  <c r="I27" i="54" s="1"/>
  <c r="J27" i="54" s="1"/>
  <c r="F27" i="53"/>
  <c r="I27" i="53" s="1"/>
  <c r="J27" i="53" s="1"/>
  <c r="P28" i="53"/>
  <c r="I67" i="53"/>
  <c r="I66" i="52"/>
  <c r="F26" i="52"/>
  <c r="I26" i="52" s="1"/>
  <c r="J26" i="52" s="1"/>
  <c r="P27" i="52"/>
  <c r="I67" i="50"/>
  <c r="P28" i="50"/>
  <c r="I69" i="49"/>
  <c r="F26" i="49"/>
  <c r="J26" i="49" s="1"/>
  <c r="K26" i="49" s="1"/>
  <c r="D32" i="49" l="1"/>
  <c r="E32" i="49"/>
  <c r="L32" i="49"/>
  <c r="G32" i="49"/>
  <c r="H32" i="49"/>
  <c r="F29" i="57"/>
  <c r="I29" i="57" s="1"/>
  <c r="J29" i="57" s="1"/>
  <c r="F27" i="55"/>
  <c r="I27" i="55" s="1"/>
  <c r="J27" i="55" s="1"/>
  <c r="F28" i="61"/>
  <c r="P29" i="54"/>
  <c r="I28" i="59"/>
  <c r="J28" i="59" s="1"/>
  <c r="I67" i="61"/>
  <c r="F27" i="61"/>
  <c r="I27" i="61" s="1"/>
  <c r="J27" i="61" s="1"/>
  <c r="I68" i="60"/>
  <c r="F27" i="60"/>
  <c r="I27" i="60" s="1"/>
  <c r="J27" i="60" s="1"/>
  <c r="I68" i="59"/>
  <c r="F29" i="58"/>
  <c r="I29" i="58" s="1"/>
  <c r="J29" i="58" s="1"/>
  <c r="I69" i="58"/>
  <c r="I69" i="57"/>
  <c r="F29" i="56"/>
  <c r="I29" i="56" s="1"/>
  <c r="J29" i="56" s="1"/>
  <c r="I69" i="56"/>
  <c r="F29" i="55"/>
  <c r="I68" i="55"/>
  <c r="F28" i="55"/>
  <c r="I28" i="55" s="1"/>
  <c r="J28" i="55" s="1"/>
  <c r="F28" i="54"/>
  <c r="I28" i="54" s="1"/>
  <c r="J28" i="54" s="1"/>
  <c r="I68" i="54"/>
  <c r="I68" i="53"/>
  <c r="F28" i="53"/>
  <c r="I28" i="53" s="1"/>
  <c r="J28" i="53" s="1"/>
  <c r="P29" i="53"/>
  <c r="I67" i="52"/>
  <c r="P28" i="52"/>
  <c r="F27" i="52"/>
  <c r="I27" i="52" s="1"/>
  <c r="J27" i="52" s="1"/>
  <c r="F28" i="50"/>
  <c r="I28" i="50" s="1"/>
  <c r="J28" i="50" s="1"/>
  <c r="I68" i="50"/>
  <c r="P29" i="50"/>
  <c r="I70" i="49"/>
  <c r="F27" i="49"/>
  <c r="J27" i="49" s="1"/>
  <c r="K27" i="49" s="1"/>
  <c r="D33" i="49" l="1"/>
  <c r="G33" i="49"/>
  <c r="L33" i="49"/>
  <c r="H33" i="49"/>
  <c r="E33" i="49"/>
  <c r="F30" i="57"/>
  <c r="I30" i="57" s="1"/>
  <c r="J30" i="57" s="1"/>
  <c r="P29" i="52"/>
  <c r="P30" i="53"/>
  <c r="F29" i="52"/>
  <c r="P30" i="54"/>
  <c r="I68" i="61"/>
  <c r="I28" i="61"/>
  <c r="J28" i="61" s="1"/>
  <c r="F28" i="60"/>
  <c r="I28" i="60" s="1"/>
  <c r="J28" i="60" s="1"/>
  <c r="I69" i="60"/>
  <c r="I69" i="59"/>
  <c r="F29" i="59"/>
  <c r="I29" i="59" s="1"/>
  <c r="J29" i="59" s="1"/>
  <c r="I70" i="58"/>
  <c r="F30" i="58"/>
  <c r="I30" i="58" s="1"/>
  <c r="J30" i="58" s="1"/>
  <c r="I70" i="57"/>
  <c r="I70" i="56"/>
  <c r="F30" i="56"/>
  <c r="I30" i="56" s="1"/>
  <c r="J30" i="56" s="1"/>
  <c r="I69" i="55"/>
  <c r="I29" i="55"/>
  <c r="J29" i="55" s="1"/>
  <c r="F29" i="54"/>
  <c r="I29" i="54" s="1"/>
  <c r="J29" i="54" s="1"/>
  <c r="I69" i="54"/>
  <c r="I69" i="53"/>
  <c r="F29" i="53"/>
  <c r="I29" i="53" s="1"/>
  <c r="J29" i="53" s="1"/>
  <c r="F30" i="53"/>
  <c r="I68" i="52"/>
  <c r="F28" i="52"/>
  <c r="I28" i="52" s="1"/>
  <c r="J28" i="52" s="1"/>
  <c r="F29" i="50"/>
  <c r="I29" i="50" s="1"/>
  <c r="J29" i="50" s="1"/>
  <c r="I69" i="50"/>
  <c r="P30" i="50"/>
  <c r="I71" i="49"/>
  <c r="F28" i="49"/>
  <c r="J28" i="49" s="1"/>
  <c r="K28" i="49" s="1"/>
  <c r="D34" i="49" l="1"/>
  <c r="H34" i="49"/>
  <c r="L34" i="49"/>
  <c r="G34" i="49"/>
  <c r="E34" i="49"/>
  <c r="F31" i="57"/>
  <c r="I31" i="57" s="1"/>
  <c r="J31" i="57" s="1"/>
  <c r="P31" i="53"/>
  <c r="I30" i="53"/>
  <c r="J30" i="53" s="1"/>
  <c r="I29" i="52"/>
  <c r="J29" i="52" s="1"/>
  <c r="P31" i="50"/>
  <c r="F29" i="61"/>
  <c r="I29" i="61" s="1"/>
  <c r="J29" i="61" s="1"/>
  <c r="I69" i="61"/>
  <c r="I70" i="60"/>
  <c r="F29" i="60"/>
  <c r="I29" i="60" s="1"/>
  <c r="J29" i="60" s="1"/>
  <c r="I70" i="59"/>
  <c r="F30" i="59"/>
  <c r="I30" i="59" s="1"/>
  <c r="J30" i="59" s="1"/>
  <c r="I71" i="58"/>
  <c r="F31" i="58"/>
  <c r="I31" i="58" s="1"/>
  <c r="J31" i="58" s="1"/>
  <c r="I71" i="57"/>
  <c r="I71" i="56"/>
  <c r="F31" i="56"/>
  <c r="I31" i="56" s="1"/>
  <c r="J31" i="56" s="1"/>
  <c r="I70" i="55"/>
  <c r="F31" i="55"/>
  <c r="F30" i="55"/>
  <c r="I30" i="55" s="1"/>
  <c r="J30" i="55" s="1"/>
  <c r="I70" i="54"/>
  <c r="F30" i="54"/>
  <c r="I30" i="54" s="1"/>
  <c r="J30" i="54" s="1"/>
  <c r="P31" i="54"/>
  <c r="I70" i="53"/>
  <c r="P30" i="52"/>
  <c r="I69" i="52"/>
  <c r="F30" i="50"/>
  <c r="I30" i="50" s="1"/>
  <c r="J30" i="50" s="1"/>
  <c r="I70" i="50"/>
  <c r="F29" i="49"/>
  <c r="J29" i="49" s="1"/>
  <c r="K29" i="49" s="1"/>
  <c r="I72" i="49"/>
  <c r="D35" i="49" l="1"/>
  <c r="G35" i="49"/>
  <c r="L35" i="49"/>
  <c r="H35" i="49"/>
  <c r="E35" i="49"/>
  <c r="P32" i="53"/>
  <c r="F31" i="53"/>
  <c r="I31" i="53" s="1"/>
  <c r="J31" i="53" s="1"/>
  <c r="P31" i="52"/>
  <c r="F31" i="52"/>
  <c r="I31" i="55"/>
  <c r="J31" i="55" s="1"/>
  <c r="I70" i="61"/>
  <c r="F30" i="61"/>
  <c r="I30" i="61" s="1"/>
  <c r="J30" i="61" s="1"/>
  <c r="I71" i="60"/>
  <c r="F30" i="60"/>
  <c r="I30" i="60" s="1"/>
  <c r="J30" i="60" s="1"/>
  <c r="F31" i="59"/>
  <c r="I31" i="59" s="1"/>
  <c r="J31" i="59" s="1"/>
  <c r="I71" i="59"/>
  <c r="F32" i="58"/>
  <c r="I32" i="58" s="1"/>
  <c r="J32" i="58" s="1"/>
  <c r="I72" i="58"/>
  <c r="F32" i="57"/>
  <c r="I32" i="57" s="1"/>
  <c r="J32" i="57" s="1"/>
  <c r="I72" i="57"/>
  <c r="F32" i="56"/>
  <c r="I32" i="56" s="1"/>
  <c r="J32" i="56" s="1"/>
  <c r="I72" i="56"/>
  <c r="I71" i="55"/>
  <c r="F31" i="54"/>
  <c r="I31" i="54" s="1"/>
  <c r="J31" i="54" s="1"/>
  <c r="P32" i="54"/>
  <c r="I71" i="54"/>
  <c r="I71" i="53"/>
  <c r="I70" i="52"/>
  <c r="F30" i="52"/>
  <c r="I30" i="52" s="1"/>
  <c r="J30" i="52" s="1"/>
  <c r="I71" i="50"/>
  <c r="P32" i="50"/>
  <c r="F31" i="50"/>
  <c r="I31" i="50" s="1"/>
  <c r="J31" i="50" s="1"/>
  <c r="I73" i="49"/>
  <c r="D36" i="49" s="1"/>
  <c r="F30" i="49"/>
  <c r="J30" i="49" s="1"/>
  <c r="K30" i="49" s="1"/>
  <c r="H36" i="49" l="1"/>
  <c r="L36" i="49"/>
  <c r="G36" i="49"/>
  <c r="E36" i="49"/>
  <c r="F33" i="57"/>
  <c r="I33" i="57" s="1"/>
  <c r="J33" i="57" s="1"/>
  <c r="P33" i="53"/>
  <c r="I31" i="52"/>
  <c r="J31" i="52" s="1"/>
  <c r="F32" i="52"/>
  <c r="P32" i="52"/>
  <c r="P33" i="54"/>
  <c r="P33" i="50"/>
  <c r="P34" i="50" s="1"/>
  <c r="F31" i="61"/>
  <c r="I31" i="61" s="1"/>
  <c r="J31" i="61" s="1"/>
  <c r="I71" i="61"/>
  <c r="I72" i="60"/>
  <c r="F31" i="60"/>
  <c r="I31" i="60" s="1"/>
  <c r="J31" i="60" s="1"/>
  <c r="I72" i="59"/>
  <c r="F32" i="59"/>
  <c r="I32" i="59" s="1"/>
  <c r="J32" i="59" s="1"/>
  <c r="F33" i="58"/>
  <c r="I33" i="58" s="1"/>
  <c r="J33" i="58" s="1"/>
  <c r="I73" i="58"/>
  <c r="I73" i="57"/>
  <c r="F33" i="56"/>
  <c r="I33" i="56" s="1"/>
  <c r="J33" i="56" s="1"/>
  <c r="I73" i="56"/>
  <c r="I72" i="55"/>
  <c r="F32" i="55"/>
  <c r="I32" i="55" s="1"/>
  <c r="J32" i="55" s="1"/>
  <c r="F32" i="54"/>
  <c r="I32" i="54" s="1"/>
  <c r="J32" i="54" s="1"/>
  <c r="I72" i="54"/>
  <c r="I72" i="53"/>
  <c r="F32" i="53"/>
  <c r="I32" i="53" s="1"/>
  <c r="J32" i="53" s="1"/>
  <c r="I71" i="52"/>
  <c r="F32" i="50"/>
  <c r="I32" i="50" s="1"/>
  <c r="J32" i="50" s="1"/>
  <c r="I72" i="50"/>
  <c r="F31" i="49"/>
  <c r="J31" i="49" s="1"/>
  <c r="K31" i="49" s="1"/>
  <c r="I74" i="49"/>
  <c r="P34" i="53" l="1"/>
  <c r="F34" i="55"/>
  <c r="P34" i="54"/>
  <c r="F32" i="61"/>
  <c r="I32" i="61" s="1"/>
  <c r="J32" i="61" s="1"/>
  <c r="I72" i="61"/>
  <c r="F32" i="60"/>
  <c r="I32" i="60" s="1"/>
  <c r="J32" i="60" s="1"/>
  <c r="F33" i="60"/>
  <c r="I33" i="60" s="1"/>
  <c r="J33" i="60" s="1"/>
  <c r="I73" i="60"/>
  <c r="F33" i="59"/>
  <c r="I33" i="59" s="1"/>
  <c r="J33" i="59" s="1"/>
  <c r="I73" i="59"/>
  <c r="F34" i="58"/>
  <c r="I34" i="58" s="1"/>
  <c r="J34" i="58" s="1"/>
  <c r="I74" i="58"/>
  <c r="I74" i="57"/>
  <c r="F34" i="57"/>
  <c r="I34" i="57" s="1"/>
  <c r="J34" i="57" s="1"/>
  <c r="F34" i="56"/>
  <c r="I34" i="56" s="1"/>
  <c r="J34" i="56" s="1"/>
  <c r="I74" i="56"/>
  <c r="I73" i="55"/>
  <c r="F33" i="55"/>
  <c r="I33" i="55" s="1"/>
  <c r="J33" i="55" s="1"/>
  <c r="I73" i="54"/>
  <c r="F33" i="54"/>
  <c r="I33" i="54" s="1"/>
  <c r="J33" i="54" s="1"/>
  <c r="F33" i="53"/>
  <c r="I33" i="53" s="1"/>
  <c r="J33" i="53" s="1"/>
  <c r="I73" i="53"/>
  <c r="I32" i="52"/>
  <c r="J32" i="52" s="1"/>
  <c r="P33" i="52"/>
  <c r="I72" i="52"/>
  <c r="P35" i="50"/>
  <c r="I73" i="50"/>
  <c r="F33" i="50"/>
  <c r="I33" i="50" s="1"/>
  <c r="J33" i="50" s="1"/>
  <c r="F32" i="49"/>
  <c r="J32" i="49" s="1"/>
  <c r="K32" i="49" s="1"/>
  <c r="P35" i="53" l="1"/>
  <c r="P36" i="53" s="1"/>
  <c r="P35" i="54"/>
  <c r="I34" i="55"/>
  <c r="J34" i="55" s="1"/>
  <c r="I73" i="61"/>
  <c r="F33" i="61"/>
  <c r="I33" i="61" s="1"/>
  <c r="J33" i="61" s="1"/>
  <c r="F34" i="60"/>
  <c r="I34" i="60" s="1"/>
  <c r="J34" i="60" s="1"/>
  <c r="I74" i="60"/>
  <c r="I74" i="59"/>
  <c r="F34" i="59"/>
  <c r="I34" i="59" s="1"/>
  <c r="J34" i="59" s="1"/>
  <c r="F35" i="58"/>
  <c r="I35" i="58" s="1"/>
  <c r="J35" i="58" s="1"/>
  <c r="F35" i="57"/>
  <c r="I35" i="57" s="1"/>
  <c r="J35" i="57" s="1"/>
  <c r="F35" i="56"/>
  <c r="I35" i="56" s="1"/>
  <c r="J35" i="56" s="1"/>
  <c r="I74" i="55"/>
  <c r="F34" i="54"/>
  <c r="I34" i="54" s="1"/>
  <c r="J34" i="54" s="1"/>
  <c r="I74" i="54"/>
  <c r="I74" i="53"/>
  <c r="F34" i="53"/>
  <c r="I34" i="53" s="1"/>
  <c r="J34" i="53" s="1"/>
  <c r="F34" i="52"/>
  <c r="P34" i="52"/>
  <c r="F33" i="52"/>
  <c r="I33" i="52" s="1"/>
  <c r="J33" i="52" s="1"/>
  <c r="I73" i="52"/>
  <c r="F34" i="50"/>
  <c r="I34" i="50" s="1"/>
  <c r="J34" i="50" s="1"/>
  <c r="P36" i="50"/>
  <c r="I74" i="50"/>
  <c r="F33" i="49"/>
  <c r="J33" i="49" s="1"/>
  <c r="K33" i="49" s="1"/>
  <c r="F36" i="56" l="1"/>
  <c r="I36" i="56" s="1"/>
  <c r="J36" i="56" s="1"/>
  <c r="P36" i="54"/>
  <c r="F36" i="57"/>
  <c r="I36" i="57" s="1"/>
  <c r="J36" i="57" s="1"/>
  <c r="F34" i="61"/>
  <c r="I34" i="61" s="1"/>
  <c r="J34" i="61" s="1"/>
  <c r="I74" i="61"/>
  <c r="F35" i="60"/>
  <c r="I35" i="60" s="1"/>
  <c r="J35" i="60" s="1"/>
  <c r="F35" i="59"/>
  <c r="I35" i="59" s="1"/>
  <c r="J35" i="59" s="1"/>
  <c r="F36" i="58"/>
  <c r="I36" i="58" s="1"/>
  <c r="J36" i="58" s="1"/>
  <c r="F36" i="55"/>
  <c r="F35" i="55"/>
  <c r="I35" i="55" s="1"/>
  <c r="J35" i="55" s="1"/>
  <c r="F36" i="54"/>
  <c r="F35" i="54"/>
  <c r="I35" i="54" s="1"/>
  <c r="J35" i="54" s="1"/>
  <c r="F35" i="53"/>
  <c r="I35" i="53" s="1"/>
  <c r="J35" i="53" s="1"/>
  <c r="I34" i="52"/>
  <c r="J34" i="52" s="1"/>
  <c r="P35" i="52"/>
  <c r="I74" i="52"/>
  <c r="F35" i="50"/>
  <c r="I35" i="50" s="1"/>
  <c r="J35" i="50" s="1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F36" i="61"/>
  <c r="F35" i="61"/>
  <c r="I35" i="61" s="1"/>
  <c r="J35" i="61" s="1"/>
  <c r="F36" i="60"/>
  <c r="I36" i="60" s="1"/>
  <c r="J36" i="60" s="1"/>
  <c r="F36" i="59"/>
  <c r="I36" i="59" s="1"/>
  <c r="J36" i="59" s="1"/>
  <c r="I36" i="55"/>
  <c r="J36" i="55" s="1"/>
  <c r="F36" i="52"/>
  <c r="P36" i="52"/>
  <c r="F35" i="52"/>
  <c r="I35" i="52" s="1"/>
  <c r="J35" i="52" s="1"/>
  <c r="F36" i="49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C14" i="43"/>
  <c r="B11" i="43" l="1"/>
  <c r="B12" i="43"/>
  <c r="B13" i="43" s="1"/>
  <c r="H11" i="43" l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G11" i="43" l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E11" i="43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C65" i="62" l="1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X5" i="25"/>
  <c r="B52" i="25" l="1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E12" i="47" l="1"/>
  <c r="C48" i="47"/>
  <c r="C10" i="25"/>
  <c r="E13" i="47" l="1"/>
  <c r="C49" i="47"/>
  <c r="E14" i="47" l="1"/>
  <c r="F41" i="47"/>
  <c r="E15" i="47" l="1"/>
  <c r="F42" i="47"/>
  <c r="E16" i="47" l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F45" i="47"/>
  <c r="F11" i="44"/>
  <c r="I11" i="44" s="1"/>
  <c r="J11" i="44" s="1"/>
  <c r="F11" i="43"/>
  <c r="J11" i="43" s="1"/>
  <c r="C71" i="44"/>
  <c r="P12" i="44"/>
  <c r="B16" i="44"/>
  <c r="C70" i="43"/>
  <c r="K11" i="43" l="1"/>
  <c r="E19" i="47"/>
  <c r="F46" i="47"/>
  <c r="F12" i="43"/>
  <c r="J12" i="43" s="1"/>
  <c r="C72" i="44"/>
  <c r="B17" i="44"/>
  <c r="P13" i="44"/>
  <c r="C71" i="43"/>
  <c r="B14" i="43"/>
  <c r="F13" i="43"/>
  <c r="J13" i="43" s="1"/>
  <c r="K12" i="43" l="1"/>
  <c r="E20" i="47"/>
  <c r="F47" i="47"/>
  <c r="F12" i="44"/>
  <c r="I12" i="44" s="1"/>
  <c r="J12" i="44" s="1"/>
  <c r="C73" i="44"/>
  <c r="F13" i="44"/>
  <c r="P14" i="44"/>
  <c r="B18" i="44"/>
  <c r="B15" i="43"/>
  <c r="F14" i="43"/>
  <c r="J14" i="43" s="1"/>
  <c r="C72" i="43"/>
  <c r="K13" i="43"/>
  <c r="K14" i="43" l="1"/>
  <c r="E21" i="47"/>
  <c r="F48" i="47"/>
  <c r="C74" i="44"/>
  <c r="B19" i="44"/>
  <c r="I13" i="44"/>
  <c r="J13" i="44" s="1"/>
  <c r="P15" i="44"/>
  <c r="F14" i="44"/>
  <c r="I14" i="44" s="1"/>
  <c r="J14" i="44" s="1"/>
  <c r="F15" i="43"/>
  <c r="J15" i="43" s="1"/>
  <c r="C73" i="43"/>
  <c r="B16" i="43"/>
  <c r="E22" i="47" l="1"/>
  <c r="F49" i="47"/>
  <c r="F66" i="44"/>
  <c r="F15" i="44"/>
  <c r="B20" i="44"/>
  <c r="P16" i="44"/>
  <c r="B17" i="43"/>
  <c r="C74" i="43"/>
  <c r="F16" i="43"/>
  <c r="J16" i="43" s="1"/>
  <c r="K15" i="43"/>
  <c r="E23" i="47" l="1"/>
  <c r="I41" i="47"/>
  <c r="F67" i="44"/>
  <c r="F16" i="44"/>
  <c r="B21" i="44"/>
  <c r="P17" i="44"/>
  <c r="I15" i="44"/>
  <c r="J15" i="44" s="1"/>
  <c r="F17" i="43"/>
  <c r="J17" i="43" s="1"/>
  <c r="F66" i="43"/>
  <c r="K16" i="43"/>
  <c r="B18" i="43"/>
  <c r="E24" i="47" l="1"/>
  <c r="I42" i="47"/>
  <c r="F68" i="44"/>
  <c r="F17" i="44"/>
  <c r="B22" i="44"/>
  <c r="I16" i="44"/>
  <c r="J16" i="44" s="1"/>
  <c r="P18" i="44"/>
  <c r="F67" i="43"/>
  <c r="F18" i="43"/>
  <c r="J18" i="43" s="1"/>
  <c r="B19" i="43"/>
  <c r="K17" i="43"/>
  <c r="E25" i="47" l="1"/>
  <c r="I43" i="47"/>
  <c r="F69" i="44"/>
  <c r="P19" i="44"/>
  <c r="I17" i="44"/>
  <c r="J17" i="44" s="1"/>
  <c r="F18" i="44"/>
  <c r="B23" i="44"/>
  <c r="F68" i="43"/>
  <c r="F19" i="43"/>
  <c r="J19" i="43" s="1"/>
  <c r="K18" i="43"/>
  <c r="B20" i="43"/>
  <c r="E26" i="47" l="1"/>
  <c r="I44" i="47"/>
  <c r="F70" i="44"/>
  <c r="F19" i="44"/>
  <c r="I19" i="44" s="1"/>
  <c r="J19" i="44" s="1"/>
  <c r="B24" i="44"/>
  <c r="P20" i="44"/>
  <c r="I18" i="44"/>
  <c r="J18" i="44" s="1"/>
  <c r="K19" i="43"/>
  <c r="B21" i="43"/>
  <c r="F20" i="43"/>
  <c r="J20" i="43" s="1"/>
  <c r="F69" i="43"/>
  <c r="E27" i="47" l="1"/>
  <c r="I45" i="47"/>
  <c r="F71" i="44"/>
  <c r="P21" i="44"/>
  <c r="F20" i="44"/>
  <c r="B25" i="44"/>
  <c r="K20" i="43"/>
  <c r="F70" i="43"/>
  <c r="B22" i="43"/>
  <c r="F21" i="43"/>
  <c r="J21" i="43" s="1"/>
  <c r="K21" i="43" l="1"/>
  <c r="E28" i="47"/>
  <c r="I46" i="47"/>
  <c r="F72" i="44"/>
  <c r="B26" i="44"/>
  <c r="F21" i="44"/>
  <c r="I21" i="44" s="1"/>
  <c r="J21" i="44" s="1"/>
  <c r="P22" i="44"/>
  <c r="I20" i="44"/>
  <c r="J20" i="44" s="1"/>
  <c r="B23" i="43"/>
  <c r="F71" i="43"/>
  <c r="F22" i="43"/>
  <c r="J22" i="43" s="1"/>
  <c r="E29" i="47" l="1"/>
  <c r="I47" i="47"/>
  <c r="F73" i="44"/>
  <c r="P23" i="44"/>
  <c r="B27" i="44"/>
  <c r="F22" i="44"/>
  <c r="I22" i="44" s="1"/>
  <c r="J22" i="44" s="1"/>
  <c r="K22" i="43"/>
  <c r="B24" i="43"/>
  <c r="F72" i="43"/>
  <c r="F23" i="43"/>
  <c r="J23" i="43" s="1"/>
  <c r="K23" i="43" l="1"/>
  <c r="E30" i="47"/>
  <c r="I48" i="47"/>
  <c r="F74" i="44"/>
  <c r="B28" i="44"/>
  <c r="P24" i="44"/>
  <c r="F23" i="44"/>
  <c r="I23" i="44" s="1"/>
  <c r="J23" i="44" s="1"/>
  <c r="B25" i="43"/>
  <c r="F73" i="43"/>
  <c r="F24" i="43"/>
  <c r="J24" i="43" s="1"/>
  <c r="K24" i="43" l="1"/>
  <c r="E31" i="47"/>
  <c r="E32" i="47"/>
  <c r="I49" i="47"/>
  <c r="I66" i="44"/>
  <c r="P25" i="44"/>
  <c r="B29" i="44"/>
  <c r="F24" i="44"/>
  <c r="I24" i="44" s="1"/>
  <c r="J24" i="44" s="1"/>
  <c r="F74" i="43"/>
  <c r="F25" i="43"/>
  <c r="J25" i="43" s="1"/>
  <c r="B26" i="43"/>
  <c r="I67" i="44" l="1"/>
  <c r="B30" i="44"/>
  <c r="P26" i="44"/>
  <c r="F25" i="44"/>
  <c r="K25" i="43"/>
  <c r="B27" i="43"/>
  <c r="F26" i="43"/>
  <c r="J26" i="43" s="1"/>
  <c r="I66" i="43"/>
  <c r="I68" i="44" l="1"/>
  <c r="P27" i="44"/>
  <c r="I25" i="44"/>
  <c r="J25" i="44" s="1"/>
  <c r="F26" i="44"/>
  <c r="B31" i="44"/>
  <c r="K26" i="43"/>
  <c r="B28" i="43"/>
  <c r="F27" i="43"/>
  <c r="J27" i="43" s="1"/>
  <c r="I67" i="43"/>
  <c r="K27" i="43" l="1"/>
  <c r="I69" i="44"/>
  <c r="B32" i="44"/>
  <c r="P28" i="44"/>
  <c r="I26" i="44"/>
  <c r="J26" i="44" s="1"/>
  <c r="F27" i="44"/>
  <c r="I27" i="44" s="1"/>
  <c r="J27" i="44" s="1"/>
  <c r="B29" i="43"/>
  <c r="F28" i="43"/>
  <c r="J28" i="43" s="1"/>
  <c r="I68" i="43"/>
  <c r="H30" i="43" l="1"/>
  <c r="E30" i="43"/>
  <c r="L30" i="43"/>
  <c r="G30" i="43"/>
  <c r="D30" i="43"/>
  <c r="I70" i="44"/>
  <c r="B33" i="44"/>
  <c r="F28" i="44"/>
  <c r="P29" i="44"/>
  <c r="K28" i="43"/>
  <c r="B30" i="43"/>
  <c r="F29" i="43"/>
  <c r="J29" i="43" s="1"/>
  <c r="I69" i="43"/>
  <c r="D31" i="43" l="1"/>
  <c r="D32" i="43" s="1"/>
  <c r="G31" i="43"/>
  <c r="L31" i="43"/>
  <c r="E31" i="43"/>
  <c r="H31" i="43"/>
  <c r="I71" i="44"/>
  <c r="B34" i="44"/>
  <c r="F29" i="44"/>
  <c r="P30" i="44"/>
  <c r="I28" i="44"/>
  <c r="J28" i="44" s="1"/>
  <c r="I70" i="43"/>
  <c r="B31" i="43"/>
  <c r="K29" i="43"/>
  <c r="F30" i="43"/>
  <c r="J30" i="43" s="1"/>
  <c r="H32" i="43" l="1"/>
  <c r="E32" i="43"/>
  <c r="L32" i="43"/>
  <c r="G32" i="43"/>
  <c r="D33" i="43"/>
  <c r="I72" i="44"/>
  <c r="B35" i="44"/>
  <c r="I29" i="44"/>
  <c r="J29" i="44" s="1"/>
  <c r="P31" i="44"/>
  <c r="F30" i="44"/>
  <c r="I30" i="44" s="1"/>
  <c r="J30" i="44" s="1"/>
  <c r="B32" i="43"/>
  <c r="K30" i="43"/>
  <c r="I71" i="43"/>
  <c r="F31" i="43"/>
  <c r="J31" i="43" s="1"/>
  <c r="H33" i="43" l="1"/>
  <c r="L33" i="43"/>
  <c r="E33" i="43"/>
  <c r="G33" i="43"/>
  <c r="D34" i="43"/>
  <c r="I73" i="44"/>
  <c r="F31" i="44"/>
  <c r="P32" i="44"/>
  <c r="B36" i="44"/>
  <c r="F32" i="43"/>
  <c r="J32" i="43" s="1"/>
  <c r="I72" i="43"/>
  <c r="K31" i="43"/>
  <c r="B33" i="43"/>
  <c r="E34" i="43" l="1"/>
  <c r="L34" i="43"/>
  <c r="H34" i="43"/>
  <c r="G34" i="43"/>
  <c r="D35" i="43"/>
  <c r="I74" i="44"/>
  <c r="P33" i="44"/>
  <c r="I31" i="44"/>
  <c r="J31" i="44" s="1"/>
  <c r="F32" i="44"/>
  <c r="K32" i="43"/>
  <c r="F33" i="43"/>
  <c r="J33" i="43" s="1"/>
  <c r="B34" i="43"/>
  <c r="I73" i="43"/>
  <c r="H35" i="43" l="1"/>
  <c r="L35" i="43"/>
  <c r="E35" i="43"/>
  <c r="G35" i="43"/>
  <c r="D36" i="43"/>
  <c r="F33" i="44"/>
  <c r="I33" i="44" s="1"/>
  <c r="J33" i="44" s="1"/>
  <c r="I32" i="44"/>
  <c r="J32" i="44" s="1"/>
  <c r="P34" i="44"/>
  <c r="B35" i="43"/>
  <c r="F34" i="43"/>
  <c r="J34" i="43" s="1"/>
  <c r="I74" i="43"/>
  <c r="K33" i="43"/>
  <c r="E36" i="43" l="1"/>
  <c r="L36" i="43"/>
  <c r="H36" i="43"/>
  <c r="G36" i="43"/>
  <c r="P35" i="44"/>
  <c r="F34" i="44"/>
  <c r="I34" i="44" s="1"/>
  <c r="J34" i="44" s="1"/>
  <c r="F35" i="43"/>
  <c r="J35" i="43" s="1"/>
  <c r="K34" i="43"/>
  <c r="B36" i="43"/>
  <c r="F35" i="44" l="1"/>
  <c r="F36" i="44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B26" i="42"/>
  <c r="C69" i="42"/>
  <c r="B3" i="42"/>
  <c r="C52" i="42" s="1"/>
  <c r="B9" i="42" s="1"/>
  <c r="D47" i="42"/>
  <c r="P12" i="42" l="1"/>
  <c r="F11" i="42"/>
  <c r="I11" i="42" s="1"/>
  <c r="C70" i="42"/>
  <c r="B27" i="42"/>
  <c r="J11" i="42" l="1"/>
  <c r="P13" i="42"/>
  <c r="P14" i="42" s="1"/>
  <c r="C71" i="42"/>
  <c r="F12" i="42"/>
  <c r="B28" i="42"/>
  <c r="I12" i="42" l="1"/>
  <c r="C72" i="42"/>
  <c r="F13" i="42"/>
  <c r="I13" i="42" s="1"/>
  <c r="B29" i="42"/>
  <c r="P15" i="42"/>
  <c r="J13" i="42" l="1"/>
  <c r="J12" i="42"/>
  <c r="P16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P17" i="42"/>
  <c r="C74" i="42"/>
  <c r="B31" i="42"/>
  <c r="F15" i="42"/>
  <c r="I15" i="42" s="1"/>
  <c r="B26" i="41"/>
  <c r="B3" i="41"/>
  <c r="C52" i="41" s="1"/>
  <c r="B9" i="41" s="1"/>
  <c r="D47" i="41"/>
  <c r="C69" i="41"/>
  <c r="J15" i="42" l="1"/>
  <c r="F11" i="41"/>
  <c r="P18" i="42"/>
  <c r="F66" i="42"/>
  <c r="F16" i="42"/>
  <c r="I16" i="42" s="1"/>
  <c r="B32" i="42"/>
  <c r="C70" i="41"/>
  <c r="B27" i="41"/>
  <c r="J16" i="42" l="1"/>
  <c r="F12" i="41"/>
  <c r="F67" i="42"/>
  <c r="P19" i="42"/>
  <c r="F17" i="42"/>
  <c r="I17" i="42" s="1"/>
  <c r="B33" i="42"/>
  <c r="C71" i="41"/>
  <c r="B28" i="41"/>
  <c r="J17" i="42" l="1"/>
  <c r="I12" i="41"/>
  <c r="J12" i="41" s="1"/>
  <c r="I11" i="41"/>
  <c r="J11" i="41" s="1"/>
  <c r="F68" i="42"/>
  <c r="F18" i="42"/>
  <c r="I18" i="42" s="1"/>
  <c r="P20" i="42"/>
  <c r="B34" i="42"/>
  <c r="B29" i="41"/>
  <c r="C72" i="41"/>
  <c r="F13" i="41" l="1"/>
  <c r="I13" i="41" s="1"/>
  <c r="J13" i="41" s="1"/>
  <c r="J18" i="42"/>
  <c r="P21" i="42"/>
  <c r="B35" i="42"/>
  <c r="F19" i="42"/>
  <c r="I19" i="42" s="1"/>
  <c r="F69" i="42"/>
  <c r="C73" i="41"/>
  <c r="F14" i="41"/>
  <c r="I14" i="41" s="1"/>
  <c r="J14" i="41" s="1"/>
  <c r="B30" i="41"/>
  <c r="J19" i="42" l="1"/>
  <c r="B36" i="42"/>
  <c r="F70" i="42"/>
  <c r="F23" i="42"/>
  <c r="F20" i="42"/>
  <c r="I20" i="42" s="1"/>
  <c r="P22" i="42"/>
  <c r="C74" i="41"/>
  <c r="F15" i="41"/>
  <c r="I15" i="41" s="1"/>
  <c r="J15" i="41" s="1"/>
  <c r="B31" i="41"/>
  <c r="I23" i="42" l="1"/>
  <c r="J23" i="42" s="1"/>
  <c r="J20" i="42"/>
  <c r="P23" i="42"/>
  <c r="F21" i="42"/>
  <c r="I21" i="42" s="1"/>
  <c r="F71" i="42"/>
  <c r="F66" i="41"/>
  <c r="B32" i="41"/>
  <c r="F16" i="41"/>
  <c r="I16" i="41" s="1"/>
  <c r="J16" i="41" s="1"/>
  <c r="J21" i="42" l="1"/>
  <c r="P24" i="42"/>
  <c r="F72" i="42"/>
  <c r="F22" i="42"/>
  <c r="I22" i="42" s="1"/>
  <c r="F17" i="41"/>
  <c r="I17" i="41" s="1"/>
  <c r="J17" i="41" s="1"/>
  <c r="B33" i="41"/>
  <c r="F67" i="41"/>
  <c r="J22" i="42" l="1"/>
  <c r="F73" i="42"/>
  <c r="P25" i="42"/>
  <c r="B34" i="41"/>
  <c r="F68" i="41"/>
  <c r="F18" i="41"/>
  <c r="I18" i="41" s="1"/>
  <c r="J18" i="41" s="1"/>
  <c r="P26" i="42" l="1"/>
  <c r="F24" i="42"/>
  <c r="I24" i="42" s="1"/>
  <c r="F74" i="42"/>
  <c r="F69" i="41"/>
  <c r="B35" i="41"/>
  <c r="F19" i="41"/>
  <c r="I19" i="41" s="1"/>
  <c r="J19" i="41" s="1"/>
  <c r="J24" i="42" l="1"/>
  <c r="P27" i="42"/>
  <c r="I66" i="42"/>
  <c r="F25" i="42"/>
  <c r="I25" i="42" s="1"/>
  <c r="F70" i="41"/>
  <c r="B36" i="41"/>
  <c r="F20" i="41"/>
  <c r="I20" i="41" s="1"/>
  <c r="J20" i="41" s="1"/>
  <c r="J25" i="42" l="1"/>
  <c r="I67" i="42"/>
  <c r="F26" i="42"/>
  <c r="I26" i="42" s="1"/>
  <c r="P28" i="42"/>
  <c r="F71" i="41"/>
  <c r="F21" i="41"/>
  <c r="I21" i="41" s="1"/>
  <c r="J21" i="41" s="1"/>
  <c r="J26" i="42" l="1"/>
  <c r="P29" i="42"/>
  <c r="I68" i="42"/>
  <c r="F27" i="42"/>
  <c r="I27" i="42" s="1"/>
  <c r="F72" i="41"/>
  <c r="F22" i="41"/>
  <c r="I22" i="41" s="1"/>
  <c r="J22" i="41" s="1"/>
  <c r="J27" i="42" l="1"/>
  <c r="P30" i="42"/>
  <c r="F28" i="42"/>
  <c r="I28" i="42" s="1"/>
  <c r="I69" i="42"/>
  <c r="F73" i="41"/>
  <c r="F23" i="41"/>
  <c r="I23" i="41" s="1"/>
  <c r="J23" i="41" s="1"/>
  <c r="J28" i="42" l="1"/>
  <c r="P31" i="42"/>
  <c r="I70" i="42"/>
  <c r="F29" i="42"/>
  <c r="I29" i="42" s="1"/>
  <c r="F74" i="41"/>
  <c r="F24" i="41"/>
  <c r="I24" i="41" s="1"/>
  <c r="J24" i="41" s="1"/>
  <c r="J29" i="42" l="1"/>
  <c r="F30" i="42"/>
  <c r="I30" i="42" s="1"/>
  <c r="P32" i="42"/>
  <c r="I71" i="42"/>
  <c r="F25" i="41"/>
  <c r="I25" i="41" s="1"/>
  <c r="J25" i="41" s="1"/>
  <c r="I66" i="41"/>
  <c r="J30" i="42" l="1"/>
  <c r="I72" i="42"/>
  <c r="P33" i="42"/>
  <c r="F31" i="42"/>
  <c r="I31" i="42" s="1"/>
  <c r="I67" i="41"/>
  <c r="F26" i="41"/>
  <c r="I26" i="41" s="1"/>
  <c r="J26" i="41" s="1"/>
  <c r="J31" i="42" l="1"/>
  <c r="F32" i="42"/>
  <c r="I32" i="42" s="1"/>
  <c r="P34" i="42"/>
  <c r="I73" i="42"/>
  <c r="I68" i="41"/>
  <c r="F27" i="41"/>
  <c r="I27" i="41" s="1"/>
  <c r="J27" i="41" s="1"/>
  <c r="J32" i="42" l="1"/>
  <c r="F33" i="42"/>
  <c r="I33" i="42" s="1"/>
  <c r="I74" i="42"/>
  <c r="P35" i="42"/>
  <c r="I69" i="41"/>
  <c r="F28" i="41"/>
  <c r="I28" i="41" s="1"/>
  <c r="J28" i="41" s="1"/>
  <c r="J33" i="42" l="1"/>
  <c r="P36" i="42"/>
  <c r="F34" i="42"/>
  <c r="I34" i="42" s="1"/>
  <c r="I70" i="41"/>
  <c r="F29" i="41"/>
  <c r="I29" i="41" s="1"/>
  <c r="J29" i="41" s="1"/>
  <c r="J34" i="42" l="1"/>
  <c r="F35" i="42"/>
  <c r="I35" i="42" s="1"/>
  <c r="F36" i="42"/>
  <c r="I36" i="42" s="1"/>
  <c r="F30" i="41"/>
  <c r="I30" i="41" s="1"/>
  <c r="J30" i="41" s="1"/>
  <c r="I71" i="41"/>
  <c r="J36" i="42" l="1"/>
  <c r="J35" i="42"/>
  <c r="F31" i="41"/>
  <c r="I31" i="41" s="1"/>
  <c r="J31" i="41" s="1"/>
  <c r="I72" i="41"/>
  <c r="I73" i="41" l="1"/>
  <c r="F32" i="41"/>
  <c r="I32" i="41" s="1"/>
  <c r="J32" i="41" s="1"/>
  <c r="F33" i="41" l="1"/>
  <c r="I33" i="41" s="1"/>
  <c r="J33" i="41" s="1"/>
  <c r="I74" i="41"/>
  <c r="F34" i="41" l="1"/>
  <c r="I34" i="41" s="1"/>
  <c r="J34" i="41" s="1"/>
  <c r="F35" i="41" l="1"/>
  <c r="I35" i="41" s="1"/>
  <c r="J35" i="41" s="1"/>
  <c r="F36" i="4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B27" i="40" l="1"/>
  <c r="D12" i="40"/>
  <c r="D13" i="40" s="1"/>
  <c r="F11" i="40"/>
  <c r="C70" i="40"/>
  <c r="F12" i="40" l="1"/>
  <c r="D14" i="40"/>
  <c r="B28" i="40"/>
  <c r="C71" i="40"/>
  <c r="I11" i="40" l="1"/>
  <c r="J11" i="40" s="1"/>
  <c r="I12" i="40"/>
  <c r="J12" i="40" s="1"/>
  <c r="D15" i="40"/>
  <c r="B29" i="40"/>
  <c r="F13" i="40"/>
  <c r="I13" i="40" s="1"/>
  <c r="J13" i="40" s="1"/>
  <c r="C72" i="40"/>
  <c r="F14" i="40"/>
  <c r="I14" i="40" l="1"/>
  <c r="J14" i="40" s="1"/>
  <c r="D16" i="40"/>
  <c r="B30" i="40"/>
  <c r="C73" i="40"/>
  <c r="F15" i="40"/>
  <c r="I15" i="40" s="1"/>
  <c r="J15" i="40" s="1"/>
  <c r="D17" i="40" l="1"/>
  <c r="B31" i="40"/>
  <c r="C74" i="40"/>
  <c r="F16" i="40"/>
  <c r="I16" i="40" l="1"/>
  <c r="J16" i="40" s="1"/>
  <c r="B32" i="40"/>
  <c r="D18" i="40"/>
  <c r="F66" i="40"/>
  <c r="F17" i="40"/>
  <c r="I17" i="40" s="1"/>
  <c r="J17" i="40" s="1"/>
  <c r="B33" i="40" l="1"/>
  <c r="D19" i="40"/>
  <c r="F67" i="40"/>
  <c r="F18" i="40"/>
  <c r="I18" i="40" s="1"/>
  <c r="J18" i="40" s="1"/>
  <c r="D20" i="40" l="1"/>
  <c r="B34" i="40"/>
  <c r="F68" i="40"/>
  <c r="F19" i="40"/>
  <c r="I19" i="40" s="1"/>
  <c r="J19" i="40" s="1"/>
  <c r="D21" i="40" l="1"/>
  <c r="B35" i="40"/>
  <c r="F69" i="40"/>
  <c r="F20" i="40"/>
  <c r="I20" i="40" s="1"/>
  <c r="J20" i="40" s="1"/>
  <c r="B36" i="40" l="1"/>
  <c r="D22" i="40"/>
  <c r="F70" i="40"/>
  <c r="F21" i="40"/>
  <c r="I21" i="40" s="1"/>
  <c r="J21" i="40" s="1"/>
  <c r="D23" i="40" l="1"/>
  <c r="F71" i="40"/>
  <c r="D24" i="40" l="1"/>
  <c r="F72" i="40"/>
  <c r="D25" i="40" l="1"/>
  <c r="F73" i="40"/>
  <c r="D26" i="40" l="1"/>
  <c r="F22" i="40"/>
  <c r="I22" i="40" s="1"/>
  <c r="J22" i="40" s="1"/>
  <c r="F74" i="40"/>
  <c r="I66" i="40" l="1"/>
  <c r="F23" i="40"/>
  <c r="I23" i="40" s="1"/>
  <c r="J23" i="40" s="1"/>
  <c r="F24" i="40" l="1"/>
  <c r="I24" i="40" s="1"/>
  <c r="J24" i="40" s="1"/>
  <c r="I67" i="40"/>
  <c r="I68" i="40" l="1"/>
  <c r="F25" i="40"/>
  <c r="I25" i="40" s="1"/>
  <c r="J25" i="40" s="1"/>
  <c r="F26" i="40" l="1"/>
  <c r="I26" i="40" s="1"/>
  <c r="J26" i="40" s="1"/>
  <c r="I69" i="40"/>
  <c r="I70" i="40" l="1"/>
  <c r="F27" i="40"/>
  <c r="I27" i="40" s="1"/>
  <c r="J27" i="40" s="1"/>
  <c r="I71" i="40" l="1"/>
  <c r="F28" i="40"/>
  <c r="I28" i="40" s="1"/>
  <c r="J28" i="40" s="1"/>
  <c r="F29" i="40" l="1"/>
  <c r="I29" i="40" s="1"/>
  <c r="J29" i="40" s="1"/>
  <c r="I72" i="40"/>
  <c r="I73" i="40" l="1"/>
  <c r="F30" i="40"/>
  <c r="I30" i="40" s="1"/>
  <c r="J30" i="40" s="1"/>
  <c r="F34" i="40" l="1"/>
  <c r="F31" i="40"/>
  <c r="I31" i="40" s="1"/>
  <c r="J31" i="40" s="1"/>
  <c r="I74" i="40"/>
  <c r="I34" i="40" l="1"/>
  <c r="J34" i="40" s="1"/>
  <c r="F35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205" i="31" l="1"/>
  <c r="I194" i="31"/>
  <c r="I172" i="31"/>
  <c r="I64" i="31"/>
  <c r="I161" i="31"/>
  <c r="I53" i="31"/>
  <c r="I97" i="31"/>
  <c r="I217" i="31" s="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195" i="31"/>
  <c r="I151" i="31"/>
  <c r="I271" i="31" s="1"/>
  <c r="I43" i="31"/>
  <c r="I87" i="31"/>
  <c r="I162" i="31"/>
  <c r="I54" i="31"/>
  <c r="I109" i="31"/>
  <c r="I229" i="31" s="1"/>
  <c r="I184" i="31"/>
  <c r="I76" i="31"/>
  <c r="I140" i="31"/>
  <c r="I260" i="31" s="1"/>
  <c r="I21" i="31"/>
  <c r="I32" i="31"/>
  <c r="I98" i="31"/>
  <c r="I218" i="31" s="1"/>
  <c r="I173" i="31"/>
  <c r="I65" i="31"/>
  <c r="I207" i="31" l="1"/>
  <c r="I196" i="31"/>
  <c r="I152" i="31"/>
  <c r="I272" i="31" s="1"/>
  <c r="I44" i="31"/>
  <c r="I174" i="31"/>
  <c r="I66" i="31"/>
  <c r="I185" i="31"/>
  <c r="I77" i="31"/>
  <c r="I110" i="31"/>
  <c r="I230" i="31" s="1"/>
  <c r="I141" i="31"/>
  <c r="I261" i="31" s="1"/>
  <c r="I33" i="31"/>
  <c r="I22" i="31"/>
  <c r="I88" i="31"/>
  <c r="I121" i="31"/>
  <c r="I241" i="31" s="1"/>
  <c r="I99" i="31"/>
  <c r="I219" i="31" s="1"/>
  <c r="I163" i="31"/>
  <c r="I55" i="31"/>
  <c r="I197" i="31" l="1"/>
  <c r="I208" i="31"/>
  <c r="I175" i="31"/>
  <c r="I67" i="31"/>
  <c r="I100" i="31"/>
  <c r="I220" i="31" s="1"/>
  <c r="I153" i="31"/>
  <c r="I273" i="31" s="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186" i="31"/>
  <c r="I78" i="31"/>
  <c r="I209" i="31" l="1"/>
  <c r="I198" i="31"/>
  <c r="I90" i="31"/>
  <c r="I143" i="31"/>
  <c r="I263" i="31" s="1"/>
  <c r="I35" i="31"/>
  <c r="I24" i="31"/>
  <c r="I123" i="31"/>
  <c r="I243" i="31" s="1"/>
  <c r="I187" i="31"/>
  <c r="I79" i="31"/>
  <c r="I101" i="31"/>
  <c r="I221" i="31" s="1"/>
  <c r="I154" i="31"/>
  <c r="I274" i="31" s="1"/>
  <c r="I46" i="31"/>
  <c r="I176" i="31"/>
  <c r="I68" i="31"/>
  <c r="I165" i="31"/>
  <c r="I57" i="31"/>
  <c r="I112" i="31"/>
  <c r="I232" i="31" s="1"/>
  <c r="I199" i="31" l="1"/>
  <c r="I210" i="31"/>
  <c r="I177" i="31"/>
  <c r="I69" i="31"/>
  <c r="I188" i="31"/>
  <c r="I80" i="31"/>
  <c r="I113" i="31"/>
  <c r="I233" i="31" s="1"/>
  <c r="I91" i="31"/>
  <c r="I155" i="31"/>
  <c r="I275" i="31" s="1"/>
  <c r="I47" i="31"/>
  <c r="I124" i="31"/>
  <c r="I244" i="31" s="1"/>
  <c r="I166" i="31"/>
  <c r="I58" i="31"/>
  <c r="I144" i="31"/>
  <c r="I264" i="31" s="1"/>
  <c r="I36" i="31"/>
  <c r="I102" i="31"/>
  <c r="I222" i="31" s="1"/>
  <c r="I211" i="31" l="1"/>
  <c r="I200" i="31"/>
  <c r="I114" i="31"/>
  <c r="I234" i="31" s="1"/>
  <c r="I103" i="31"/>
  <c r="I223" i="31" s="1"/>
  <c r="I189" i="31"/>
  <c r="I81" i="31"/>
  <c r="I156" i="31"/>
  <c r="I276" i="31" s="1"/>
  <c r="I48" i="31"/>
  <c r="I178" i="31"/>
  <c r="I70" i="31"/>
  <c r="I167" i="31"/>
  <c r="I59" i="31"/>
  <c r="I125" i="31"/>
  <c r="I245" i="31" s="1"/>
  <c r="I92" i="31"/>
  <c r="I212" i="31" l="1"/>
  <c r="I201" i="31"/>
  <c r="I104" i="31"/>
  <c r="I224" i="31" s="1"/>
  <c r="I190" i="31"/>
  <c r="I82" i="31"/>
  <c r="I93" i="31"/>
  <c r="I179" i="31"/>
  <c r="I71" i="31"/>
  <c r="I168" i="31"/>
  <c r="I60" i="31"/>
  <c r="I115" i="31"/>
  <c r="I235" i="31" s="1"/>
  <c r="I126" i="31"/>
  <c r="I246" i="31" s="1"/>
  <c r="I202" i="31" l="1"/>
  <c r="I213" i="31"/>
  <c r="I127" i="31"/>
  <c r="I247" i="31" s="1"/>
  <c r="I191" i="31"/>
  <c r="I83" i="31"/>
  <c r="I105" i="31"/>
  <c r="I225" i="31" s="1"/>
  <c r="I94" i="31"/>
  <c r="I180" i="31"/>
  <c r="I72" i="31"/>
  <c r="I116" i="31"/>
  <c r="I236" i="31" s="1"/>
  <c r="I203" i="31" l="1"/>
  <c r="I214" i="31"/>
  <c r="I117" i="31"/>
  <c r="I237" i="31" s="1"/>
  <c r="I95" i="31"/>
  <c r="I128" i="31"/>
  <c r="I248" i="31" s="1"/>
  <c r="I192" i="31"/>
  <c r="I84" i="31"/>
  <c r="I106" i="31"/>
  <c r="I226" i="31" s="1"/>
  <c r="I215" i="31" l="1"/>
  <c r="I204" i="31"/>
  <c r="I118" i="31"/>
  <c r="I238" i="31" s="1"/>
  <c r="I107" i="31"/>
  <c r="I227" i="31" s="1"/>
  <c r="I96" i="31"/>
  <c r="I129" i="31"/>
  <c r="I249" i="31" s="1"/>
  <c r="I216" i="31" l="1"/>
  <c r="I119" i="3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59" i="25" l="1"/>
  <c r="B60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P13" i="25" l="1"/>
  <c r="AL13" i="25"/>
  <c r="BD13" i="25"/>
  <c r="AY13" i="25"/>
  <c r="AS13" i="25"/>
  <c r="BA13" i="25"/>
  <c r="BC13" i="25"/>
  <c r="AR13" i="25"/>
  <c r="AV13" i="25"/>
  <c r="AM13" i="25"/>
  <c r="BB13" i="25"/>
  <c r="AT13" i="25"/>
  <c r="AX13" i="25"/>
  <c r="AZ13" i="25"/>
  <c r="AU13" i="25"/>
  <c r="AQ13" i="25"/>
  <c r="AW13" i="25"/>
  <c r="AO13" i="25"/>
  <c r="B15" i="25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BI13" i="25"/>
  <c r="BG13" i="25"/>
  <c r="BX13" i="25"/>
  <c r="BT13" i="25"/>
  <c r="BH13" i="25"/>
  <c r="BP13" i="25"/>
  <c r="BL13" i="25"/>
  <c r="J15" i="31"/>
  <c r="B16" i="31"/>
  <c r="L28" i="31"/>
  <c r="AS14" i="25" l="1"/>
  <c r="AO14" i="25"/>
  <c r="AL14" i="25"/>
  <c r="BC14" i="25"/>
  <c r="AR14" i="25"/>
  <c r="AN14" i="25"/>
  <c r="AU14" i="25"/>
  <c r="BA14" i="25"/>
  <c r="AV14" i="25"/>
  <c r="AQ14" i="25"/>
  <c r="AM14" i="25"/>
  <c r="AT14" i="25"/>
  <c r="BB14" i="25"/>
  <c r="AX14" i="25"/>
  <c r="AY14" i="25"/>
  <c r="AP14" i="25"/>
  <c r="AW14" i="25"/>
  <c r="AK14" i="25"/>
  <c r="BD14" i="25"/>
  <c r="AZ14" i="25"/>
  <c r="AN13" i="25"/>
  <c r="CD13" i="25" s="1"/>
  <c r="CJ13" i="25"/>
  <c r="CE13" i="25"/>
  <c r="CS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AR15" i="25" l="1"/>
  <c r="AN15" i="25"/>
  <c r="AV15" i="25"/>
  <c r="AQ15" i="25"/>
  <c r="AM15" i="25"/>
  <c r="AY15" i="25"/>
  <c r="AO15" i="25"/>
  <c r="AZ15" i="25"/>
  <c r="AP15" i="25"/>
  <c r="AL15" i="25"/>
  <c r="AS15" i="25"/>
  <c r="AT15" i="25"/>
  <c r="AX15" i="25"/>
  <c r="BB15" i="25"/>
  <c r="BC15" i="25"/>
  <c r="AU15" i="25"/>
  <c r="BA15" i="25"/>
  <c r="AW15" i="25"/>
  <c r="BD15" i="25"/>
  <c r="CJ14" i="25"/>
  <c r="CE14" i="25"/>
  <c r="CB14" i="25"/>
  <c r="CM14" i="25"/>
  <c r="CF14" i="25"/>
  <c r="CH14" i="25"/>
  <c r="CQ14" i="25"/>
  <c r="CR14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N15" i="25"/>
  <c r="BF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AS16" i="25" l="1"/>
  <c r="AO16" i="25"/>
  <c r="AK16" i="25"/>
  <c r="BC16" i="25"/>
  <c r="AW16" i="25"/>
  <c r="AR16" i="25"/>
  <c r="AN16" i="25"/>
  <c r="BA16" i="25"/>
  <c r="AV16" i="25"/>
  <c r="AQ16" i="25"/>
  <c r="AM16" i="25"/>
  <c r="AL16" i="25"/>
  <c r="AP16" i="25"/>
  <c r="AZ16" i="25"/>
  <c r="AU16" i="25"/>
  <c r="AX16" i="25"/>
  <c r="AT16" i="25"/>
  <c r="BD16" i="25"/>
  <c r="AY16" i="25"/>
  <c r="BB16" i="25"/>
  <c r="CJ15" i="25"/>
  <c r="CE15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L15" i="25"/>
  <c r="CH15" i="25"/>
  <c r="CG15" i="25"/>
  <c r="CT15" i="25"/>
  <c r="CD15" i="25"/>
  <c r="CR15" i="25"/>
  <c r="CK15" i="25"/>
  <c r="CP15" i="25"/>
  <c r="B18" i="25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AR17" i="25" l="1"/>
  <c r="AN17" i="25"/>
  <c r="AQ17" i="25"/>
  <c r="AM17" i="25"/>
  <c r="AU17" i="25"/>
  <c r="AP17" i="25"/>
  <c r="AL17" i="25"/>
  <c r="AK17" i="25"/>
  <c r="AY17" i="25"/>
  <c r="AS17" i="25"/>
  <c r="AO17" i="25"/>
  <c r="BB17" i="25"/>
  <c r="AT17" i="25"/>
  <c r="AX17" i="25"/>
  <c r="BA17" i="25"/>
  <c r="AZ17" i="25"/>
  <c r="AV17" i="25"/>
  <c r="BC17" i="25"/>
  <c r="BD17" i="25"/>
  <c r="AW17" i="25"/>
  <c r="CA15" i="25"/>
  <c r="CU15" i="25" s="1"/>
  <c r="C15" i="25" s="1"/>
  <c r="CJ16" i="25"/>
  <c r="CE16" i="25"/>
  <c r="CT16" i="25"/>
  <c r="CS16" i="25"/>
  <c r="CI16" i="25"/>
  <c r="CA16" i="25"/>
  <c r="CP16" i="25"/>
  <c r="CD16" i="25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AV18" i="25" l="1"/>
  <c r="AQ18" i="25"/>
  <c r="AM18" i="25"/>
  <c r="AZ18" i="25"/>
  <c r="AU18" i="25"/>
  <c r="AP18" i="25"/>
  <c r="AL18" i="25"/>
  <c r="AY18" i="25"/>
  <c r="AS18" i="25"/>
  <c r="AO18" i="25"/>
  <c r="AK18" i="25"/>
  <c r="BC18" i="25"/>
  <c r="AW18" i="25"/>
  <c r="AR18" i="25"/>
  <c r="AT18" i="25"/>
  <c r="BB18" i="25"/>
  <c r="AX18" i="25"/>
  <c r="BA18" i="25"/>
  <c r="AN18" i="25"/>
  <c r="BD18" i="25"/>
  <c r="CJ17" i="25"/>
  <c r="CC17" i="25"/>
  <c r="CE17" i="25"/>
  <c r="CF17" i="25"/>
  <c r="CD17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CY18" i="25" s="1"/>
  <c r="BS18" i="25"/>
  <c r="BW18" i="25"/>
  <c r="BH18" i="25"/>
  <c r="BR18" i="25"/>
  <c r="L33" i="31"/>
  <c r="J20" i="31"/>
  <c r="B21" i="31"/>
  <c r="AP19" i="25" l="1"/>
  <c r="AL19" i="25"/>
  <c r="BD19" i="25"/>
  <c r="AY19" i="25"/>
  <c r="AS19" i="25"/>
  <c r="AO19" i="25"/>
  <c r="AK19" i="25"/>
  <c r="AR19" i="25"/>
  <c r="AN19" i="25"/>
  <c r="BA19" i="25"/>
  <c r="AM19" i="25"/>
  <c r="AV19" i="25"/>
  <c r="AQ19" i="25"/>
  <c r="AT19" i="25"/>
  <c r="AX19" i="25"/>
  <c r="BB19" i="25"/>
  <c r="AZ19" i="25"/>
  <c r="BC19" i="25"/>
  <c r="AW19" i="25"/>
  <c r="AU19" i="25"/>
  <c r="CJ18" i="25"/>
  <c r="CE18" i="25"/>
  <c r="CM18" i="25"/>
  <c r="CT18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AS20" i="25" l="1"/>
  <c r="AO20" i="25"/>
  <c r="AK20" i="25"/>
  <c r="AW20" i="25"/>
  <c r="AR20" i="25"/>
  <c r="AV20" i="25"/>
  <c r="AQ20" i="25"/>
  <c r="AM20" i="25"/>
  <c r="AP20" i="25"/>
  <c r="BB20" i="25"/>
  <c r="AT20" i="25"/>
  <c r="AZ20" i="25"/>
  <c r="BC20" i="25"/>
  <c r="AU20" i="25"/>
  <c r="AL20" i="25"/>
  <c r="BA20" i="25"/>
  <c r="AX20" i="25"/>
  <c r="AN20" i="25"/>
  <c r="AY20" i="25"/>
  <c r="BD20" i="25"/>
  <c r="CE19" i="25"/>
  <c r="CJ19" i="25"/>
  <c r="CF19" i="25"/>
  <c r="CT19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CY20" i="25" s="1"/>
  <c r="BH20" i="25"/>
  <c r="J22" i="31"/>
  <c r="B23" i="31"/>
  <c r="B22" i="25"/>
  <c r="O21" i="25"/>
  <c r="L35" i="31"/>
  <c r="AW21" i="25" l="1"/>
  <c r="AR21" i="25"/>
  <c r="AN21" i="25"/>
  <c r="AV21" i="25"/>
  <c r="AQ21" i="25"/>
  <c r="AM21" i="25"/>
  <c r="AU21" i="25"/>
  <c r="AP21" i="25"/>
  <c r="AL21" i="25"/>
  <c r="AY21" i="25"/>
  <c r="BD21" i="25"/>
  <c r="AS21" i="25"/>
  <c r="AK21" i="25"/>
  <c r="BB21" i="25"/>
  <c r="AX21" i="25"/>
  <c r="AT21" i="25"/>
  <c r="BA21" i="25"/>
  <c r="AO21" i="25"/>
  <c r="AZ21" i="25"/>
  <c r="BC21" i="25"/>
  <c r="CJ20" i="25"/>
  <c r="CE20" i="25"/>
  <c r="CP20" i="25"/>
  <c r="CI20" i="25"/>
  <c r="CM20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L37" i="31" s="1"/>
  <c r="O22" i="25"/>
  <c r="B23" i="25"/>
  <c r="J23" i="31"/>
  <c r="B24" i="31"/>
  <c r="BO21" i="25"/>
  <c r="BW21" i="25"/>
  <c r="BH21" i="25"/>
  <c r="BK21" i="25"/>
  <c r="BQ21" i="25"/>
  <c r="CW21" i="25"/>
  <c r="CX21" i="25" s="1"/>
  <c r="CY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AM22" i="25" l="1"/>
  <c r="AL22" i="25"/>
  <c r="AY22" i="25"/>
  <c r="AS22" i="25"/>
  <c r="AO22" i="25"/>
  <c r="AK22" i="25"/>
  <c r="AR22" i="25"/>
  <c r="AN22" i="25"/>
  <c r="BC22" i="25"/>
  <c r="AX22" i="25"/>
  <c r="AT22" i="25"/>
  <c r="BB22" i="25"/>
  <c r="AU22" i="25"/>
  <c r="AW22" i="25"/>
  <c r="BA22" i="25"/>
  <c r="AP22" i="25"/>
  <c r="AV22" i="25"/>
  <c r="AQ22" i="25"/>
  <c r="BD22" i="25"/>
  <c r="AZ22" i="25"/>
  <c r="CJ21" i="25"/>
  <c r="CE21" i="25"/>
  <c r="CH21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CY22" i="25" s="1"/>
  <c r="BO22" i="25"/>
  <c r="BY22" i="25"/>
  <c r="BW22" i="25"/>
  <c r="BH22" i="25"/>
  <c r="BX22" i="25"/>
  <c r="BN22" i="25"/>
  <c r="BT22" i="25"/>
  <c r="BR22" i="25"/>
  <c r="B25" i="31"/>
  <c r="J24" i="31"/>
  <c r="AU23" i="25" l="1"/>
  <c r="AP23" i="25"/>
  <c r="AL23" i="25"/>
  <c r="AS23" i="25"/>
  <c r="AO23" i="25"/>
  <c r="AW23" i="25"/>
  <c r="AR23" i="25"/>
  <c r="AQ23" i="25"/>
  <c r="AM23" i="25"/>
  <c r="BA23" i="25"/>
  <c r="AT23" i="25"/>
  <c r="AX23" i="25"/>
  <c r="BB23" i="25"/>
  <c r="AK23" i="25"/>
  <c r="BD23" i="25"/>
  <c r="AV23" i="25"/>
  <c r="AN23" i="25"/>
  <c r="AY23" i="25"/>
  <c r="AZ23" i="25"/>
  <c r="BC23" i="25"/>
  <c r="CJ22" i="25"/>
  <c r="CE22" i="25"/>
  <c r="CM22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BD24" i="25" l="1"/>
  <c r="AS24" i="25"/>
  <c r="AO24" i="25"/>
  <c r="AK24" i="25"/>
  <c r="BC24" i="25"/>
  <c r="AR24" i="25"/>
  <c r="AN24" i="25"/>
  <c r="AV24" i="25"/>
  <c r="AQ24" i="25"/>
  <c r="AM24" i="25"/>
  <c r="AU24" i="25"/>
  <c r="AP24" i="25"/>
  <c r="AZ24" i="25"/>
  <c r="AL24" i="25"/>
  <c r="AX24" i="25"/>
  <c r="BB24" i="25"/>
  <c r="AT24" i="25"/>
  <c r="BA24" i="25"/>
  <c r="AW24" i="25"/>
  <c r="AY24" i="25"/>
  <c r="CJ23" i="25"/>
  <c r="CE23" i="25"/>
  <c r="CF23" i="25"/>
  <c r="CA23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AW25" i="25" l="1"/>
  <c r="AR25" i="25"/>
  <c r="AN25" i="25"/>
  <c r="AV25" i="25"/>
  <c r="AQ25" i="25"/>
  <c r="AM25" i="25"/>
  <c r="AU25" i="25"/>
  <c r="AP25" i="25"/>
  <c r="AL25" i="25"/>
  <c r="AS25" i="25"/>
  <c r="AY25" i="25"/>
  <c r="BD25" i="25"/>
  <c r="AK25" i="25"/>
  <c r="BB25" i="25"/>
  <c r="AT25" i="25"/>
  <c r="AX25" i="25"/>
  <c r="BA25" i="25"/>
  <c r="AO25" i="25"/>
  <c r="BC25" i="25"/>
  <c r="AZ25" i="25"/>
  <c r="CJ24" i="25"/>
  <c r="CE24" i="25"/>
  <c r="CR24" i="25"/>
  <c r="CP24" i="25"/>
  <c r="CI24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AV26" i="25" l="1"/>
  <c r="AM26" i="25"/>
  <c r="AP26" i="25"/>
  <c r="AL26" i="25"/>
  <c r="AY26" i="25"/>
  <c r="AO26" i="25"/>
  <c r="AK26" i="25"/>
  <c r="AR26" i="25"/>
  <c r="AN26" i="25"/>
  <c r="BC26" i="25"/>
  <c r="AW26" i="25"/>
  <c r="AT26" i="25"/>
  <c r="AX26" i="25"/>
  <c r="BB26" i="25"/>
  <c r="AU26" i="25"/>
  <c r="BA26" i="25"/>
  <c r="AS26" i="25"/>
  <c r="AQ26" i="25"/>
  <c r="AZ26" i="25"/>
  <c r="BD26" i="25"/>
  <c r="CJ25" i="25"/>
  <c r="CE25" i="25"/>
  <c r="CN25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BK26" i="25"/>
  <c r="BV26" i="25"/>
  <c r="BP26" i="25"/>
  <c r="BF26" i="25"/>
  <c r="BI26" i="25"/>
  <c r="BW26" i="25"/>
  <c r="BX26" i="25"/>
  <c r="J28" i="31"/>
  <c r="B29" i="31"/>
  <c r="O27" i="25"/>
  <c r="B28" i="25"/>
  <c r="AP27" i="25" l="1"/>
  <c r="AL27" i="25"/>
  <c r="AY27" i="25"/>
  <c r="AS27" i="25"/>
  <c r="AO27" i="25"/>
  <c r="AW27" i="25"/>
  <c r="AR27" i="25"/>
  <c r="AQ27" i="25"/>
  <c r="AV27" i="25"/>
  <c r="AM27" i="25"/>
  <c r="AT27" i="25"/>
  <c r="AX27" i="25"/>
  <c r="BB27" i="25"/>
  <c r="BD27" i="25"/>
  <c r="AZ27" i="25"/>
  <c r="AU27" i="25"/>
  <c r="AK27" i="25"/>
  <c r="AN27" i="25"/>
  <c r="BC27" i="25"/>
  <c r="BA27" i="25"/>
  <c r="CJ26" i="25"/>
  <c r="CE26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AY28" i="25" l="1"/>
  <c r="AO28" i="25"/>
  <c r="AR28" i="25"/>
  <c r="BA28" i="25"/>
  <c r="AV28" i="25"/>
  <c r="AQ28" i="25"/>
  <c r="AM28" i="25"/>
  <c r="AP28" i="25"/>
  <c r="AL28" i="25"/>
  <c r="AU28" i="25"/>
  <c r="AZ28" i="25"/>
  <c r="AX28" i="25"/>
  <c r="BB28" i="25"/>
  <c r="AT28" i="25"/>
  <c r="AW28" i="25"/>
  <c r="AS28" i="25"/>
  <c r="BC28" i="25"/>
  <c r="AN28" i="25"/>
  <c r="CE27" i="25"/>
  <c r="CJ27" i="25"/>
  <c r="CL27" i="25"/>
  <c r="CI27" i="25"/>
  <c r="CN27" i="25"/>
  <c r="CK27" i="25"/>
  <c r="CD27" i="25"/>
  <c r="CP27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CY28" i="25" s="1"/>
  <c r="BT28" i="25"/>
  <c r="BY28" i="25"/>
  <c r="B31" i="31"/>
  <c r="J30" i="31"/>
  <c r="AR29" i="25" l="1"/>
  <c r="AN29" i="25"/>
  <c r="AQ29" i="25"/>
  <c r="AM29" i="25"/>
  <c r="AU29" i="25"/>
  <c r="AP29" i="25"/>
  <c r="AL29" i="25"/>
  <c r="AK29" i="25"/>
  <c r="AY29" i="25"/>
  <c r="AS29" i="25"/>
  <c r="BB29" i="25"/>
  <c r="AT29" i="25"/>
  <c r="AX29" i="25"/>
  <c r="BA29" i="25"/>
  <c r="AW29" i="25"/>
  <c r="AO29" i="25"/>
  <c r="AZ29" i="25"/>
  <c r="BC29" i="25"/>
  <c r="BD29" i="25"/>
  <c r="AV29" i="25"/>
  <c r="CJ28" i="25"/>
  <c r="CE28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A62" i="25"/>
  <c r="CP28" i="25"/>
  <c r="CI28" i="25"/>
  <c r="AK28" i="25"/>
  <c r="CA28" i="25" s="1"/>
  <c r="A63" i="25"/>
  <c r="CR28" i="25"/>
  <c r="CG28" i="25"/>
  <c r="B32" i="31"/>
  <c r="J31" i="31"/>
  <c r="BN29" i="25"/>
  <c r="BS29" i="25"/>
  <c r="BG29" i="25"/>
  <c r="BF29" i="25"/>
  <c r="BP29" i="25"/>
  <c r="BO29" i="25"/>
  <c r="BW29" i="25"/>
  <c r="BQ29" i="25"/>
  <c r="CW29" i="25"/>
  <c r="CX29" i="25" s="1"/>
  <c r="CY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AM30" i="25" l="1"/>
  <c r="AU30" i="25"/>
  <c r="AL30" i="25"/>
  <c r="AS30" i="25"/>
  <c r="AO30" i="25"/>
  <c r="AR30" i="25"/>
  <c r="BC30" i="25"/>
  <c r="AX30" i="25"/>
  <c r="BB30" i="25"/>
  <c r="BA30" i="25"/>
  <c r="AK30" i="25"/>
  <c r="AP30" i="25"/>
  <c r="AW30" i="25"/>
  <c r="AV30" i="25"/>
  <c r="AQ30" i="25"/>
  <c r="AZ30" i="25"/>
  <c r="AT30" i="25"/>
  <c r="BD30" i="25"/>
  <c r="AY30" i="25"/>
  <c r="AN30" i="25"/>
  <c r="CJ29" i="25"/>
  <c r="CE29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AL31" i="25" l="1"/>
  <c r="AS31" i="25"/>
  <c r="AO31" i="25"/>
  <c r="AW31" i="25"/>
  <c r="AR31" i="25"/>
  <c r="AQ31" i="25"/>
  <c r="AT31" i="25"/>
  <c r="AX31" i="25"/>
  <c r="BB31" i="25"/>
  <c r="AV31" i="25"/>
  <c r="AY31" i="25"/>
  <c r="AU31" i="25"/>
  <c r="AK31" i="25"/>
  <c r="AP31" i="25"/>
  <c r="AN31" i="25"/>
  <c r="AZ31" i="25"/>
  <c r="BC31" i="25"/>
  <c r="AM31" i="25"/>
  <c r="BA31" i="25"/>
  <c r="BD31" i="25"/>
  <c r="CJ30" i="25"/>
  <c r="CE30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AS32" i="25" l="1"/>
  <c r="AO32" i="25"/>
  <c r="AV32" i="25"/>
  <c r="AN32" i="25"/>
  <c r="BC32" i="25"/>
  <c r="AY32" i="25"/>
  <c r="AU32" i="25"/>
  <c r="AQ32" i="25"/>
  <c r="AM32" i="25"/>
  <c r="BB32" i="25"/>
  <c r="AT32" i="25"/>
  <c r="AP32" i="25"/>
  <c r="AR32" i="25"/>
  <c r="AW32" i="25"/>
  <c r="AL32" i="25"/>
  <c r="BA32" i="25"/>
  <c r="AK32" i="25"/>
  <c r="AX32" i="25"/>
  <c r="AZ32" i="25"/>
  <c r="BD32" i="25"/>
  <c r="B34" i="25"/>
  <c r="O34" i="25" s="1"/>
  <c r="O33" i="25"/>
  <c r="CJ31" i="25"/>
  <c r="CS31" i="25"/>
  <c r="CE31" i="25"/>
  <c r="CB31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AO33" i="25" l="1"/>
  <c r="AZ33" i="25"/>
  <c r="AV33" i="25"/>
  <c r="BC33" i="25"/>
  <c r="AY33" i="25"/>
  <c r="AL33" i="25"/>
  <c r="AK34" i="25"/>
  <c r="AN34" i="25"/>
  <c r="AY34" i="25"/>
  <c r="AM34" i="25"/>
  <c r="AV34" i="25"/>
  <c r="AP34" i="25"/>
  <c r="BD34" i="25"/>
  <c r="BB34" i="25"/>
  <c r="AW34" i="25"/>
  <c r="AX34" i="25"/>
  <c r="BA34" i="25"/>
  <c r="AS34" i="25"/>
  <c r="AT34" i="25"/>
  <c r="AU33" i="25"/>
  <c r="BA33" i="25"/>
  <c r="AW33" i="25"/>
  <c r="AT33" i="25"/>
  <c r="BC34" i="25"/>
  <c r="AL34" i="25"/>
  <c r="AQ34" i="25"/>
  <c r="AO34" i="25"/>
  <c r="AX33" i="25"/>
  <c r="AZ34" i="25"/>
  <c r="BD33" i="25"/>
  <c r="AN33" i="25"/>
  <c r="AQ33" i="25"/>
  <c r="BB33" i="25"/>
  <c r="AR34" i="25"/>
  <c r="AU34" i="25"/>
  <c r="AM33" i="25"/>
  <c r="AP33" i="25"/>
  <c r="BF34" i="25"/>
  <c r="BN34" i="25"/>
  <c r="BT33" i="25"/>
  <c r="AK33" i="25"/>
  <c r="AR33" i="25"/>
  <c r="BR34" i="25"/>
  <c r="BU34" i="25"/>
  <c r="BO34" i="25"/>
  <c r="BQ34" i="25"/>
  <c r="CW34" i="25"/>
  <c r="CX34" i="25" s="1"/>
  <c r="CY34" i="25" s="1"/>
  <c r="BW34" i="25"/>
  <c r="BT34" i="25"/>
  <c r="BL34" i="25"/>
  <c r="BY34" i="25"/>
  <c r="BM34" i="25"/>
  <c r="BH34" i="25"/>
  <c r="BV34" i="25"/>
  <c r="BP34" i="25"/>
  <c r="BS34" i="25"/>
  <c r="BM33" i="25"/>
  <c r="BX34" i="25"/>
  <c r="BK34" i="25"/>
  <c r="BJ34" i="25"/>
  <c r="BI34" i="25"/>
  <c r="BG34" i="25"/>
  <c r="BO33" i="25"/>
  <c r="AS33" i="25"/>
  <c r="BV33" i="25"/>
  <c r="BK33" i="25"/>
  <c r="BJ33" i="25"/>
  <c r="BL33" i="25"/>
  <c r="BX33" i="25"/>
  <c r="BS33" i="25"/>
  <c r="BH33" i="25"/>
  <c r="CW33" i="25"/>
  <c r="CX33" i="25" s="1"/>
  <c r="CY33" i="25" s="1"/>
  <c r="BQ33" i="25"/>
  <c r="BU33" i="25"/>
  <c r="BP33" i="25"/>
  <c r="BW33" i="25"/>
  <c r="BI33" i="25"/>
  <c r="BF33" i="25"/>
  <c r="BG33" i="25"/>
  <c r="BY33" i="25"/>
  <c r="BN33" i="25"/>
  <c r="BR33" i="25"/>
  <c r="CE32" i="25"/>
  <c r="CJ32" i="25"/>
  <c r="CN32" i="25"/>
  <c r="CF32" i="25"/>
  <c r="CA32" i="25"/>
  <c r="CL32" i="25"/>
  <c r="CO32" i="25"/>
  <c r="CT32" i="25"/>
  <c r="CQ32" i="25"/>
  <c r="CM32" i="25"/>
  <c r="CI32" i="25"/>
  <c r="CB32" i="25"/>
  <c r="CU31" i="25"/>
  <c r="C31" i="25" s="1"/>
  <c r="CR32" i="25"/>
  <c r="CP32" i="25"/>
  <c r="CK32" i="25"/>
  <c r="CC32" i="25"/>
  <c r="CS32" i="25"/>
  <c r="CD32" i="25"/>
  <c r="CG32" i="25"/>
  <c r="CH32" i="25"/>
  <c r="J35" i="31"/>
  <c r="B36" i="31"/>
  <c r="CJ34" i="25" l="1"/>
  <c r="CI34" i="25"/>
  <c r="CG34" i="25"/>
  <c r="CO33" i="25"/>
  <c r="CP34" i="25"/>
  <c r="CK34" i="25"/>
  <c r="CQ33" i="25"/>
  <c r="CD34" i="25"/>
  <c r="CN34" i="25"/>
  <c r="CA34" i="25"/>
  <c r="CR34" i="25"/>
  <c r="CS34" i="25"/>
  <c r="CB34" i="25"/>
  <c r="CQ34" i="25"/>
  <c r="CO34" i="25"/>
  <c r="CF34" i="25"/>
  <c r="CC34" i="25"/>
  <c r="A64" i="25"/>
  <c r="CN33" i="25"/>
  <c r="CM34" i="25"/>
  <c r="CM33" i="25"/>
  <c r="CD33" i="25"/>
  <c r="CS33" i="25"/>
  <c r="CB33" i="25"/>
  <c r="CK33" i="25"/>
  <c r="CC33" i="25"/>
  <c r="CG33" i="25"/>
  <c r="CP33" i="25"/>
  <c r="CR33" i="25"/>
  <c r="CT33" i="25"/>
  <c r="CH33" i="25"/>
  <c r="CH34" i="25"/>
  <c r="CL34" i="25"/>
  <c r="CL33" i="25"/>
  <c r="CJ33" i="25"/>
  <c r="CA33" i="25"/>
  <c r="CF33" i="25"/>
  <c r="CI33" i="25"/>
  <c r="CT34" i="25"/>
  <c r="CU32" i="25"/>
  <c r="C32" i="25" s="1"/>
  <c r="B37" i="31"/>
  <c r="J36" i="31"/>
  <c r="CU34" i="25" l="1"/>
  <c r="C34" i="25" s="1"/>
  <c r="CU33" i="25"/>
  <c r="C33" i="25" s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J133" i="31" l="1"/>
  <c r="J134" i="31" l="1"/>
  <c r="J135" i="31" l="1"/>
  <c r="J136" i="31" l="1"/>
  <c r="J137" i="31" l="1"/>
  <c r="J138" i="31" l="1"/>
  <c r="J139" i="31" l="1"/>
  <c r="J140" i="31" l="1"/>
  <c r="J141" i="31" l="1"/>
  <c r="J142" i="31" l="1"/>
  <c r="J143" i="31" l="1"/>
  <c r="J144" i="31" l="1"/>
  <c r="J145" i="31" l="1"/>
  <c r="J146" i="31" l="1"/>
  <c r="J147" i="31" l="1"/>
  <c r="J148" i="31" l="1"/>
  <c r="J149" i="31" l="1"/>
  <c r="J150" i="31" l="1"/>
  <c r="J151" i="31" l="1"/>
  <c r="J152" i="31" l="1"/>
  <c r="J153" i="31" l="1"/>
  <c r="J154" i="31" l="1"/>
  <c r="J155" i="31" l="1"/>
  <c r="J156" i="31" l="1"/>
  <c r="J157" i="31" l="1"/>
  <c r="J158" i="31" l="1"/>
  <c r="J159" i="31" l="1"/>
  <c r="J160" i="31" l="1"/>
  <c r="J161" i="31" l="1"/>
  <c r="J162" i="31" l="1"/>
  <c r="J163" i="31" l="1"/>
  <c r="J164" i="31" l="1"/>
  <c r="J165" i="31" l="1"/>
  <c r="J166" i="31" l="1"/>
  <c r="J167" i="31" l="1"/>
  <c r="J168" i="31" l="1"/>
  <c r="J169" i="31" l="1"/>
  <c r="J170" i="31" l="1"/>
  <c r="J171" i="31" l="1"/>
  <c r="J172" i="31" l="1"/>
  <c r="J173" i="31" l="1"/>
  <c r="J174" i="31" l="1"/>
  <c r="J175" i="31" l="1"/>
  <c r="J176" i="31" l="1"/>
  <c r="J177" i="31" l="1"/>
  <c r="J178" i="31" l="1"/>
  <c r="J179" i="31" l="1"/>
  <c r="J180" i="31" l="1"/>
  <c r="J181" i="31" l="1"/>
  <c r="J182" i="31" l="1"/>
  <c r="J183" i="31" l="1"/>
  <c r="J184" i="31" l="1"/>
  <c r="J185" i="31" l="1"/>
  <c r="J186" i="31" l="1"/>
  <c r="J187" i="31" l="1"/>
  <c r="J188" i="31" l="1"/>
  <c r="J189" i="31" l="1"/>
  <c r="J190" i="31" l="1"/>
  <c r="J191" i="31" l="1"/>
  <c r="J192" i="31" l="1"/>
  <c r="J193" i="31" l="1"/>
  <c r="J194" i="31" l="1"/>
  <c r="J195" i="31" l="1"/>
  <c r="J196" i="31" l="1"/>
  <c r="J197" i="31" l="1"/>
  <c r="J198" i="31" l="1"/>
  <c r="J199" i="31" l="1"/>
  <c r="J200" i="31" l="1"/>
  <c r="J201" i="31" l="1"/>
  <c r="J202" i="31" l="1"/>
  <c r="J203" i="31" l="1"/>
  <c r="J204" i="31" l="1"/>
  <c r="J205" i="31" l="1"/>
  <c r="J206" i="31" l="1"/>
  <c r="J207" i="31" l="1"/>
  <c r="J208" i="31" l="1"/>
  <c r="J209" i="31" l="1"/>
  <c r="J210" i="31" l="1"/>
  <c r="J211" i="31" l="1"/>
  <c r="J212" i="31" l="1"/>
  <c r="J213" i="31" l="1"/>
  <c r="J214" i="31" l="1"/>
  <c r="J215" i="31" l="1"/>
  <c r="J217" i="31" l="1"/>
  <c r="J216" i="31"/>
  <c r="J218" i="31" l="1"/>
  <c r="J219" i="31" l="1"/>
  <c r="J265" i="31"/>
  <c r="J220" i="31" l="1"/>
  <c r="J266" i="31"/>
  <c r="J221" i="31" l="1"/>
  <c r="J267" i="31"/>
  <c r="J222" i="31" l="1"/>
  <c r="J268" i="31"/>
  <c r="J223" i="31" l="1"/>
  <c r="J269" i="31"/>
  <c r="J224" i="31" l="1"/>
  <c r="J270" i="31"/>
  <c r="J225" i="31" l="1"/>
  <c r="J271" i="31"/>
  <c r="J226" i="31" l="1"/>
  <c r="J272" i="31"/>
  <c r="J227" i="31" l="1"/>
  <c r="J273" i="31"/>
  <c r="J228" i="31" l="1"/>
  <c r="J274" i="31"/>
  <c r="J229" i="31" l="1"/>
  <c r="J275" i="31"/>
  <c r="J276" i="3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J241" i="31" l="1"/>
  <c r="J242" i="31" l="1"/>
  <c r="K264" i="31"/>
  <c r="J243" i="31" l="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J245" i="31" l="1"/>
  <c r="J246" i="31" l="1"/>
  <c r="J247" i="31" l="1"/>
  <c r="J248" i="31" l="1"/>
  <c r="J249" i="31" l="1"/>
  <c r="J250" i="31" l="1"/>
  <c r="J251" i="31" l="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N37" i="31" l="1"/>
  <c r="O37" i="31"/>
  <c r="M37" i="31"/>
  <c r="R37" i="31" l="1"/>
  <c r="Q37" i="31"/>
  <c r="P37" i="31"/>
  <c r="O36" i="31" l="1"/>
  <c r="K253" i="31"/>
  <c r="K259" i="31"/>
  <c r="K262" i="31"/>
  <c r="K261" i="31"/>
  <c r="K260" i="31"/>
  <c r="K254" i="31"/>
  <c r="K258" i="31"/>
  <c r="K255" i="31"/>
  <c r="K257" i="31"/>
  <c r="K263" i="31"/>
  <c r="K256" i="31"/>
  <c r="M36" i="31" l="1"/>
  <c r="N36" i="31"/>
  <c r="R36" i="31" l="1"/>
  <c r="Q36" i="31"/>
  <c r="P36" i="31"/>
  <c r="A37" i="25" l="1"/>
  <c r="A51" i="25" l="1"/>
  <c r="Q6" i="31" l="1"/>
  <c r="K192" i="31" l="1"/>
  <c r="K137" i="31"/>
  <c r="K170" i="31"/>
  <c r="K213" i="31"/>
  <c r="K142" i="31"/>
  <c r="K174" i="31"/>
  <c r="K189" i="31"/>
  <c r="K201" i="31"/>
  <c r="K219" i="31"/>
  <c r="K138" i="31"/>
  <c r="K152" i="31"/>
  <c r="K171" i="31"/>
  <c r="K181" i="31"/>
  <c r="O30" i="31"/>
  <c r="K196" i="31"/>
  <c r="K215" i="31"/>
  <c r="K226" i="31"/>
  <c r="K136" i="31"/>
  <c r="K154" i="31"/>
  <c r="K166" i="31"/>
  <c r="K177" i="31"/>
  <c r="K194" i="31"/>
  <c r="K206" i="31"/>
  <c r="K217" i="31"/>
  <c r="O33" i="31"/>
  <c r="K139" i="31"/>
  <c r="K151" i="31"/>
  <c r="K165" i="31"/>
  <c r="K187" i="31"/>
  <c r="K202" i="31"/>
  <c r="K218" i="31"/>
  <c r="K179" i="31"/>
  <c r="K222" i="31"/>
  <c r="K141" i="31"/>
  <c r="K158" i="31"/>
  <c r="K175" i="31"/>
  <c r="K184" i="31"/>
  <c r="K200" i="31"/>
  <c r="K140" i="31"/>
  <c r="O28" i="31"/>
  <c r="K157" i="31"/>
  <c r="K168" i="31"/>
  <c r="K199" i="31"/>
  <c r="K210" i="31"/>
  <c r="K221" i="31"/>
  <c r="K143" i="31"/>
  <c r="K155" i="31"/>
  <c r="K172" i="31"/>
  <c r="K190" i="31"/>
  <c r="K204" i="31"/>
  <c r="K225" i="31"/>
  <c r="K160" i="31"/>
  <c r="K134" i="31"/>
  <c r="K148" i="31"/>
  <c r="K164" i="31"/>
  <c r="K182" i="31"/>
  <c r="K193" i="31"/>
  <c r="O31" i="31"/>
  <c r="K208" i="31"/>
  <c r="K228" i="31"/>
  <c r="K163" i="31"/>
  <c r="K178" i="31"/>
  <c r="K191" i="31"/>
  <c r="K207" i="31"/>
  <c r="K220" i="31"/>
  <c r="K147" i="31"/>
  <c r="K159" i="31"/>
  <c r="O29" i="31"/>
  <c r="K169" i="31"/>
  <c r="K185" i="31"/>
  <c r="K203" i="31"/>
  <c r="K214" i="31"/>
  <c r="K224" i="31"/>
  <c r="O27" i="31"/>
  <c r="K145" i="31"/>
  <c r="K156" i="31"/>
  <c r="K176" i="31"/>
  <c r="K195" i="31"/>
  <c r="K209" i="31"/>
  <c r="K227" i="31"/>
  <c r="K144" i="31"/>
  <c r="K153" i="31"/>
  <c r="K186" i="31"/>
  <c r="K197" i="31"/>
  <c r="K133" i="31"/>
  <c r="O26" i="31"/>
  <c r="K149" i="31"/>
  <c r="K167" i="31"/>
  <c r="K180" i="31"/>
  <c r="K211" i="31"/>
  <c r="K223" i="31"/>
  <c r="K150" i="31"/>
  <c r="K162" i="31"/>
  <c r="K173" i="31"/>
  <c r="K188" i="31"/>
  <c r="K205" i="31"/>
  <c r="O32" i="31"/>
  <c r="K216" i="31"/>
  <c r="K135" i="31"/>
  <c r="K146" i="31"/>
  <c r="K161" i="31"/>
  <c r="K183" i="31"/>
  <c r="K198" i="31"/>
  <c r="K212" i="31"/>
  <c r="N32" i="31" l="1"/>
  <c r="N27" i="31"/>
  <c r="N29" i="31"/>
  <c r="K237" i="31"/>
  <c r="K230" i="31"/>
  <c r="O34" i="31"/>
  <c r="K229" i="31"/>
  <c r="K235" i="31"/>
  <c r="N31" i="31"/>
  <c r="N30" i="31"/>
  <c r="N26" i="31"/>
  <c r="K239" i="31"/>
  <c r="K232" i="31"/>
  <c r="K233" i="31"/>
  <c r="N28" i="31"/>
  <c r="K236" i="31"/>
  <c r="K240" i="31"/>
  <c r="K234" i="31"/>
  <c r="N33" i="31"/>
  <c r="K238" i="31"/>
  <c r="K231" i="31"/>
  <c r="R33" i="31" l="1"/>
  <c r="R27" i="31"/>
  <c r="R26" i="31"/>
  <c r="R32" i="31"/>
  <c r="R28" i="31"/>
  <c r="R30" i="31"/>
  <c r="R29" i="31"/>
  <c r="R31" i="31"/>
  <c r="K247" i="31"/>
  <c r="O35" i="31"/>
  <c r="K241" i="31"/>
  <c r="K248" i="31"/>
  <c r="K252" i="31"/>
  <c r="N34" i="31"/>
  <c r="K249" i="31"/>
  <c r="K244" i="31"/>
  <c r="K245" i="31"/>
  <c r="K243" i="31"/>
  <c r="K250" i="31"/>
  <c r="K246" i="31"/>
  <c r="K251" i="31"/>
  <c r="K242" i="31"/>
  <c r="R34" i="31" l="1"/>
  <c r="N35" i="31"/>
  <c r="R35" i="31" l="1"/>
  <c r="M29" i="31" l="1"/>
  <c r="M26" i="31"/>
  <c r="M27" i="31"/>
  <c r="M28" i="31"/>
  <c r="M33" i="31"/>
  <c r="M31" i="31"/>
  <c r="M30" i="31"/>
  <c r="M32" i="31"/>
  <c r="P31" i="31" l="1"/>
  <c r="Q31" i="31"/>
  <c r="P29" i="31"/>
  <c r="Q29" i="31"/>
  <c r="P32" i="31"/>
  <c r="Q32" i="31"/>
  <c r="M34" i="31"/>
  <c r="Q28" i="31"/>
  <c r="P28" i="31"/>
  <c r="P26" i="31"/>
  <c r="Q26" i="31"/>
  <c r="P27" i="31"/>
  <c r="Q27" i="31"/>
  <c r="P33" i="31"/>
  <c r="Q33" i="31"/>
  <c r="P30" i="31"/>
  <c r="Q30" i="31"/>
  <c r="P34" i="31" l="1"/>
  <c r="Q34" i="31"/>
  <c r="M35" i="31"/>
  <c r="Q35" i="31" l="1"/>
  <c r="P35" i="31"/>
  <c r="E54" i="25" l="1"/>
  <c r="G54" i="25" l="1"/>
  <c r="E44" i="25" l="1"/>
  <c r="G44" i="25" l="1"/>
  <c r="B23" i="66" l="1"/>
  <c r="B24" i="66" l="1"/>
  <c r="B25" i="66" l="1"/>
  <c r="B26" i="66" l="1"/>
  <c r="B27" i="66" l="1"/>
  <c r="B28" i="66" l="1"/>
  <c r="B29" i="66" l="1"/>
  <c r="B30" i="66" l="1"/>
  <c r="F131" i="31" l="1"/>
  <c r="F127" i="31"/>
  <c r="F122" i="31"/>
  <c r="F119" i="31"/>
  <c r="F116" i="31"/>
  <c r="F112" i="31"/>
  <c r="F107" i="31"/>
  <c r="F105" i="31"/>
  <c r="F132" i="31"/>
  <c r="F130" i="31"/>
  <c r="F126" i="31"/>
  <c r="F118" i="31"/>
  <c r="F114" i="31"/>
  <c r="F111" i="31"/>
  <c r="F124" i="31"/>
  <c r="F121" i="31"/>
  <c r="F117" i="31"/>
  <c r="F109" i="31"/>
  <c r="F98" i="31"/>
  <c r="F92" i="31"/>
  <c r="F89" i="31"/>
  <c r="F84" i="31"/>
  <c r="F82" i="31"/>
  <c r="F78" i="31"/>
  <c r="F75" i="31"/>
  <c r="F70" i="31"/>
  <c r="F67" i="31"/>
  <c r="F63" i="31"/>
  <c r="F56" i="31"/>
  <c r="F52" i="31"/>
  <c r="F45" i="31"/>
  <c r="F41" i="31"/>
  <c r="F36" i="31"/>
  <c r="F35" i="31"/>
  <c r="F31" i="31"/>
  <c r="F26" i="31"/>
  <c r="F25" i="31"/>
  <c r="F23" i="31"/>
  <c r="F19" i="31"/>
  <c r="F15" i="31"/>
  <c r="F125" i="31"/>
  <c r="F120" i="31"/>
  <c r="F110" i="31"/>
  <c r="F104" i="31"/>
  <c r="F101" i="31"/>
  <c r="F97" i="31"/>
  <c r="F96" i="31"/>
  <c r="F94" i="31"/>
  <c r="F90" i="31"/>
  <c r="F86" i="31"/>
  <c r="F85" i="31"/>
  <c r="F83" i="31"/>
  <c r="F79" i="31"/>
  <c r="F74" i="31"/>
  <c r="F68" i="31"/>
  <c r="F65" i="31"/>
  <c r="F57" i="31"/>
  <c r="F53" i="31"/>
  <c r="F49" i="31"/>
  <c r="F48" i="31"/>
  <c r="F46" i="31"/>
  <c r="F42" i="31"/>
  <c r="F39" i="31"/>
  <c r="F37" i="31"/>
  <c r="F34" i="31"/>
  <c r="F30" i="31"/>
  <c r="F27" i="31"/>
  <c r="F20" i="31"/>
  <c r="F16" i="31"/>
  <c r="F128" i="31"/>
  <c r="F113" i="31"/>
  <c r="F106" i="31"/>
  <c r="F103" i="31"/>
  <c r="F100" i="31"/>
  <c r="F95" i="31"/>
  <c r="F91" i="31"/>
  <c r="F87" i="31"/>
  <c r="F80" i="31"/>
  <c r="F76" i="31"/>
  <c r="F71" i="31"/>
  <c r="F64" i="31"/>
  <c r="F61" i="31"/>
  <c r="F60" i="31"/>
  <c r="F58" i="31"/>
  <c r="F55" i="31"/>
  <c r="F51" i="31"/>
  <c r="F47" i="31"/>
  <c r="F43" i="31"/>
  <c r="F38" i="31"/>
  <c r="F32" i="31"/>
  <c r="F29" i="31"/>
  <c r="F21" i="31"/>
  <c r="F18" i="31"/>
  <c r="F13" i="31"/>
  <c r="F129" i="31"/>
  <c r="F123" i="31"/>
  <c r="F115" i="31"/>
  <c r="F108" i="31"/>
  <c r="F102" i="31"/>
  <c r="F99" i="31"/>
  <c r="F93" i="31"/>
  <c r="F88" i="31"/>
  <c r="F81" i="31"/>
  <c r="F77" i="31"/>
  <c r="F73" i="31"/>
  <c r="F72" i="31"/>
  <c r="F69" i="31"/>
  <c r="F66" i="31"/>
  <c r="F62" i="31"/>
  <c r="F59" i="31"/>
  <c r="F54" i="31"/>
  <c r="F50" i="31"/>
  <c r="F44" i="31"/>
  <c r="F40" i="31"/>
  <c r="F33" i="31"/>
  <c r="F28" i="31"/>
  <c r="F24" i="31"/>
  <c r="F22" i="31"/>
  <c r="F17" i="31"/>
  <c r="F14" i="31"/>
  <c r="D17" i="31" l="1"/>
  <c r="K17" i="31"/>
  <c r="D22" i="31"/>
  <c r="K22" i="31"/>
  <c r="D54" i="31"/>
  <c r="K54" i="31"/>
  <c r="C54" i="31"/>
  <c r="K69" i="31"/>
  <c r="C69" i="31"/>
  <c r="D69" i="31"/>
  <c r="C81" i="31"/>
  <c r="D81" i="31"/>
  <c r="K81" i="31"/>
  <c r="K99" i="31"/>
  <c r="D99" i="31"/>
  <c r="C99" i="31"/>
  <c r="K123" i="31"/>
  <c r="C123" i="31"/>
  <c r="D123" i="31"/>
  <c r="K18" i="31"/>
  <c r="D18" i="31"/>
  <c r="K32" i="31"/>
  <c r="C32" i="31"/>
  <c r="D32" i="31"/>
  <c r="K51" i="31"/>
  <c r="D51" i="31"/>
  <c r="C51" i="31"/>
  <c r="O20" i="31"/>
  <c r="K61" i="31"/>
  <c r="D61" i="31"/>
  <c r="C61" i="31"/>
  <c r="K76" i="31"/>
  <c r="D76" i="31"/>
  <c r="C76" i="31"/>
  <c r="K95" i="31"/>
  <c r="C95" i="31"/>
  <c r="D95" i="31"/>
  <c r="D106" i="31"/>
  <c r="C106" i="31"/>
  <c r="K106" i="31"/>
  <c r="D16" i="31"/>
  <c r="K16" i="31"/>
  <c r="C34" i="31"/>
  <c r="K34" i="31"/>
  <c r="D34" i="31"/>
  <c r="K46" i="31"/>
  <c r="D46" i="31"/>
  <c r="C46" i="31"/>
  <c r="C57" i="31"/>
  <c r="K57" i="31"/>
  <c r="D57" i="31"/>
  <c r="D74" i="31"/>
  <c r="C74" i="31"/>
  <c r="K74" i="31"/>
  <c r="K86" i="31"/>
  <c r="D86" i="31"/>
  <c r="C86" i="31"/>
  <c r="D97" i="31"/>
  <c r="K97" i="31"/>
  <c r="C97" i="31"/>
  <c r="O23" i="31"/>
  <c r="C120" i="31"/>
  <c r="K120" i="31"/>
  <c r="D120" i="31"/>
  <c r="D19" i="31"/>
  <c r="K19" i="31"/>
  <c r="K31" i="31"/>
  <c r="D31" i="31"/>
  <c r="C31" i="31"/>
  <c r="C45" i="31"/>
  <c r="K45" i="31"/>
  <c r="D45" i="31"/>
  <c r="K67" i="31"/>
  <c r="C67" i="31"/>
  <c r="D67" i="31"/>
  <c r="K82" i="31"/>
  <c r="C82" i="31"/>
  <c r="E82" i="31" s="1"/>
  <c r="D82" i="31"/>
  <c r="D98" i="31"/>
  <c r="C98" i="31"/>
  <c r="K98" i="31"/>
  <c r="K124" i="31"/>
  <c r="C124" i="31"/>
  <c r="D124" i="31"/>
  <c r="D126" i="31"/>
  <c r="C126" i="31"/>
  <c r="K126" i="31"/>
  <c r="D116" i="31"/>
  <c r="C116" i="31"/>
  <c r="K116" i="31"/>
  <c r="D131" i="31"/>
  <c r="C131" i="31"/>
  <c r="K131" i="31"/>
  <c r="C40" i="31"/>
  <c r="D40" i="31"/>
  <c r="K40" i="31"/>
  <c r="K72" i="31"/>
  <c r="C72" i="31"/>
  <c r="D72" i="31"/>
  <c r="K129" i="31"/>
  <c r="C129" i="31"/>
  <c r="E129" i="31" s="1"/>
  <c r="D129" i="31"/>
  <c r="K21" i="31"/>
  <c r="D21" i="31"/>
  <c r="K55" i="31"/>
  <c r="C55" i="31"/>
  <c r="D55" i="31"/>
  <c r="D64" i="31"/>
  <c r="K64" i="31"/>
  <c r="C64" i="31"/>
  <c r="K80" i="31"/>
  <c r="D80" i="31"/>
  <c r="C80" i="31"/>
  <c r="C113" i="31"/>
  <c r="D113" i="31"/>
  <c r="K113" i="31"/>
  <c r="K20" i="31"/>
  <c r="D20" i="31"/>
  <c r="O18" i="31"/>
  <c r="K37" i="31"/>
  <c r="D37" i="31"/>
  <c r="C37" i="31"/>
  <c r="D48" i="31"/>
  <c r="K48" i="31"/>
  <c r="C48" i="31"/>
  <c r="C79" i="31"/>
  <c r="K79" i="31"/>
  <c r="D79" i="31"/>
  <c r="K90" i="31"/>
  <c r="C90" i="31"/>
  <c r="D90" i="31"/>
  <c r="K101" i="31"/>
  <c r="D101" i="31"/>
  <c r="C101" i="31"/>
  <c r="D125" i="31"/>
  <c r="K125" i="31"/>
  <c r="C125" i="31"/>
  <c r="D23" i="31"/>
  <c r="K23" i="31"/>
  <c r="D35" i="31"/>
  <c r="K35" i="31"/>
  <c r="C35" i="31"/>
  <c r="D52" i="31"/>
  <c r="K52" i="31"/>
  <c r="C52" i="31"/>
  <c r="C70" i="31"/>
  <c r="K70" i="31"/>
  <c r="D70" i="31"/>
  <c r="D84" i="31"/>
  <c r="C84" i="31"/>
  <c r="K84" i="31"/>
  <c r="D109" i="31"/>
  <c r="C109" i="31"/>
  <c r="O24" i="31"/>
  <c r="K109" i="31"/>
  <c r="K111" i="31"/>
  <c r="C111" i="31"/>
  <c r="D111" i="31"/>
  <c r="D130" i="31"/>
  <c r="C130" i="31"/>
  <c r="K130" i="31"/>
  <c r="K105" i="31"/>
  <c r="C105" i="31"/>
  <c r="D105" i="31"/>
  <c r="D119" i="31"/>
  <c r="C119" i="31"/>
  <c r="K119" i="31"/>
  <c r="D24" i="31"/>
  <c r="K24" i="31"/>
  <c r="D59" i="31"/>
  <c r="C59" i="31"/>
  <c r="K59" i="31"/>
  <c r="K102" i="31"/>
  <c r="D102" i="31"/>
  <c r="C102" i="31"/>
  <c r="C38" i="31"/>
  <c r="K38" i="31"/>
  <c r="D38" i="31"/>
  <c r="K14" i="31"/>
  <c r="D14" i="31"/>
  <c r="D28" i="31"/>
  <c r="C28" i="31"/>
  <c r="K28" i="31"/>
  <c r="D44" i="31"/>
  <c r="C44" i="31"/>
  <c r="K44" i="31"/>
  <c r="K62" i="31"/>
  <c r="C62" i="31"/>
  <c r="D62" i="31"/>
  <c r="D73" i="31"/>
  <c r="K73" i="31"/>
  <c r="C73" i="31"/>
  <c r="O21" i="31"/>
  <c r="D88" i="31"/>
  <c r="C88" i="31"/>
  <c r="K88" i="31"/>
  <c r="D108" i="31"/>
  <c r="C108" i="31"/>
  <c r="K108" i="31"/>
  <c r="K43" i="31"/>
  <c r="C43" i="31"/>
  <c r="D43" i="31"/>
  <c r="K58" i="31"/>
  <c r="C58" i="31"/>
  <c r="D58" i="31"/>
  <c r="K71" i="31"/>
  <c r="C71" i="31"/>
  <c r="D71" i="31"/>
  <c r="K87" i="31"/>
  <c r="C87" i="31"/>
  <c r="D87" i="31"/>
  <c r="K100" i="31"/>
  <c r="C100" i="31"/>
  <c r="D100" i="31"/>
  <c r="K27" i="31"/>
  <c r="C27" i="31"/>
  <c r="D27" i="31"/>
  <c r="K39" i="31"/>
  <c r="C39" i="31"/>
  <c r="D39" i="31"/>
  <c r="C49" i="31"/>
  <c r="K49" i="31"/>
  <c r="O19" i="31"/>
  <c r="D49" i="31"/>
  <c r="D65" i="31"/>
  <c r="C65" i="31"/>
  <c r="K65" i="31"/>
  <c r="D83" i="31"/>
  <c r="C83" i="31"/>
  <c r="K83" i="31"/>
  <c r="K94" i="31"/>
  <c r="D94" i="31"/>
  <c r="C94" i="31"/>
  <c r="D104" i="31"/>
  <c r="C104" i="31"/>
  <c r="E104" i="31" s="1"/>
  <c r="K104" i="31"/>
  <c r="D12" i="31"/>
  <c r="G12" i="31" s="1"/>
  <c r="D25" i="31"/>
  <c r="K25" i="31"/>
  <c r="C25" i="31"/>
  <c r="O17" i="31"/>
  <c r="D36" i="31"/>
  <c r="C36" i="31"/>
  <c r="K36" i="31"/>
  <c r="D56" i="31"/>
  <c r="C56" i="31"/>
  <c r="K56" i="31"/>
  <c r="D75" i="31"/>
  <c r="K75" i="31"/>
  <c r="C75" i="31"/>
  <c r="K89" i="31"/>
  <c r="C89" i="31"/>
  <c r="D89" i="31"/>
  <c r="K117" i="31"/>
  <c r="C117" i="31"/>
  <c r="D117" i="31"/>
  <c r="D114" i="31"/>
  <c r="C114" i="31"/>
  <c r="K114" i="31"/>
  <c r="D132" i="31"/>
  <c r="C132" i="31"/>
  <c r="K132" i="31"/>
  <c r="K107" i="31"/>
  <c r="D107" i="31"/>
  <c r="C107" i="31"/>
  <c r="K122" i="31"/>
  <c r="C122" i="31"/>
  <c r="D122" i="31"/>
  <c r="C33" i="31"/>
  <c r="D33" i="31"/>
  <c r="K33" i="31"/>
  <c r="C50" i="31"/>
  <c r="D50" i="31"/>
  <c r="K50" i="31"/>
  <c r="C66" i="31"/>
  <c r="K66" i="31"/>
  <c r="D66" i="31"/>
  <c r="K77" i="31"/>
  <c r="C77" i="31"/>
  <c r="D77" i="31"/>
  <c r="C93" i="31"/>
  <c r="D93" i="31"/>
  <c r="K93" i="31"/>
  <c r="K115" i="31"/>
  <c r="C115" i="31"/>
  <c r="D115" i="31"/>
  <c r="K13" i="31"/>
  <c r="D13" i="31"/>
  <c r="O16" i="31"/>
  <c r="D29" i="31"/>
  <c r="K29" i="31"/>
  <c r="C29" i="31"/>
  <c r="C47" i="31"/>
  <c r="D47" i="31"/>
  <c r="K47" i="31"/>
  <c r="C60" i="31"/>
  <c r="K60" i="31"/>
  <c r="D60" i="31"/>
  <c r="C91" i="31"/>
  <c r="D91" i="31"/>
  <c r="K91" i="31"/>
  <c r="D103" i="31"/>
  <c r="C103" i="31"/>
  <c r="K103" i="31"/>
  <c r="C128" i="31"/>
  <c r="D128" i="31"/>
  <c r="K128" i="31"/>
  <c r="K30" i="31"/>
  <c r="C30" i="31"/>
  <c r="D30" i="31"/>
  <c r="C42" i="31"/>
  <c r="K42" i="31"/>
  <c r="D42" i="31"/>
  <c r="D53" i="31"/>
  <c r="K53" i="31"/>
  <c r="C53" i="31"/>
  <c r="C68" i="31"/>
  <c r="D68" i="31"/>
  <c r="K68" i="31"/>
  <c r="K85" i="31"/>
  <c r="O22" i="31"/>
  <c r="C85" i="31"/>
  <c r="D85" i="31"/>
  <c r="D96" i="31"/>
  <c r="C96" i="31"/>
  <c r="K96" i="31"/>
  <c r="D110" i="31"/>
  <c r="K110" i="31"/>
  <c r="C110" i="31"/>
  <c r="D15" i="31"/>
  <c r="K15" i="31"/>
  <c r="C26" i="31"/>
  <c r="K26" i="31"/>
  <c r="D26" i="31"/>
  <c r="C41" i="31"/>
  <c r="D41" i="31"/>
  <c r="K41" i="31"/>
  <c r="C63" i="31"/>
  <c r="D63" i="31"/>
  <c r="K63" i="31"/>
  <c r="K78" i="31"/>
  <c r="D78" i="31"/>
  <c r="C78" i="31"/>
  <c r="C92" i="31"/>
  <c r="K92" i="31"/>
  <c r="D92" i="31"/>
  <c r="K121" i="31"/>
  <c r="C121" i="31"/>
  <c r="D121" i="31"/>
  <c r="O25" i="31"/>
  <c r="D118" i="31"/>
  <c r="C118" i="31"/>
  <c r="K118" i="31"/>
  <c r="C112" i="31"/>
  <c r="D112" i="31"/>
  <c r="K112" i="31"/>
  <c r="C127" i="31"/>
  <c r="K127" i="31"/>
  <c r="D127" i="31"/>
  <c r="E127" i="31" l="1"/>
  <c r="E83" i="31"/>
  <c r="E92" i="31"/>
  <c r="E26" i="31"/>
  <c r="E53" i="31"/>
  <c r="E29" i="31"/>
  <c r="E106" i="31"/>
  <c r="E112" i="31"/>
  <c r="E50" i="31"/>
  <c r="G127" i="31"/>
  <c r="E93" i="31"/>
  <c r="E33" i="31"/>
  <c r="E75" i="31"/>
  <c r="E70" i="31"/>
  <c r="G129" i="31"/>
  <c r="G82" i="31"/>
  <c r="G83" i="31"/>
  <c r="E98" i="31"/>
  <c r="E46" i="31"/>
  <c r="G104" i="31"/>
  <c r="E54" i="31"/>
  <c r="E96" i="31"/>
  <c r="E107" i="31"/>
  <c r="E65" i="31"/>
  <c r="E108" i="31"/>
  <c r="E102" i="31"/>
  <c r="E131" i="31"/>
  <c r="E81" i="31"/>
  <c r="E124" i="31"/>
  <c r="E103" i="31"/>
  <c r="E90" i="31"/>
  <c r="E79" i="31"/>
  <c r="E64" i="31"/>
  <c r="E55" i="31"/>
  <c r="E72" i="31"/>
  <c r="E126" i="31"/>
  <c r="E67" i="31"/>
  <c r="E76" i="31"/>
  <c r="E51" i="31"/>
  <c r="E99" i="31"/>
  <c r="E88" i="31"/>
  <c r="E116" i="31"/>
  <c r="E86" i="31"/>
  <c r="E74" i="31"/>
  <c r="N17" i="31"/>
  <c r="M25" i="31"/>
  <c r="E121" i="31"/>
  <c r="M22" i="31"/>
  <c r="E85" i="31"/>
  <c r="N24" i="31"/>
  <c r="E97" i="31"/>
  <c r="M23" i="31"/>
  <c r="E61" i="31"/>
  <c r="M20" i="31"/>
  <c r="E39" i="31"/>
  <c r="E27" i="31"/>
  <c r="E100" i="31"/>
  <c r="E87" i="31"/>
  <c r="E71" i="31"/>
  <c r="E58" i="31"/>
  <c r="E43" i="31"/>
  <c r="E73" i="31"/>
  <c r="M21" i="31"/>
  <c r="E113" i="31"/>
  <c r="E40" i="31"/>
  <c r="E45" i="31"/>
  <c r="E120" i="31"/>
  <c r="E95" i="31"/>
  <c r="N20" i="31"/>
  <c r="E63" i="31"/>
  <c r="E41" i="31"/>
  <c r="E30" i="31"/>
  <c r="E68" i="31"/>
  <c r="E42" i="31"/>
  <c r="E128" i="31"/>
  <c r="E91" i="31"/>
  <c r="E60" i="31"/>
  <c r="E47" i="31"/>
  <c r="N16" i="31"/>
  <c r="E115" i="31"/>
  <c r="E77" i="31"/>
  <c r="E122" i="31"/>
  <c r="E132" i="31"/>
  <c r="E114" i="31"/>
  <c r="E117" i="31"/>
  <c r="E89" i="31"/>
  <c r="E56" i="31"/>
  <c r="E36" i="31"/>
  <c r="M17" i="31"/>
  <c r="E25" i="31"/>
  <c r="M19" i="31"/>
  <c r="E49" i="31"/>
  <c r="E62" i="31"/>
  <c r="E44" i="31"/>
  <c r="E28" i="31"/>
  <c r="E59" i="31"/>
  <c r="E119" i="31"/>
  <c r="E105" i="31"/>
  <c r="E130" i="31"/>
  <c r="E111" i="31"/>
  <c r="E52" i="31"/>
  <c r="E35" i="31"/>
  <c r="E125" i="31"/>
  <c r="E101" i="31"/>
  <c r="E48" i="31"/>
  <c r="E37" i="31"/>
  <c r="M18" i="31"/>
  <c r="N23" i="31"/>
  <c r="E57" i="31"/>
  <c r="E34" i="31"/>
  <c r="E32" i="31"/>
  <c r="E123" i="31"/>
  <c r="E69" i="31"/>
  <c r="E118" i="31"/>
  <c r="N25" i="31"/>
  <c r="E78" i="31"/>
  <c r="E110" i="31"/>
  <c r="N22" i="31"/>
  <c r="K5" i="31"/>
  <c r="K4" i="31"/>
  <c r="E66" i="31"/>
  <c r="E94" i="31"/>
  <c r="N19" i="31"/>
  <c r="N21" i="31"/>
  <c r="E38" i="31"/>
  <c r="E109" i="31"/>
  <c r="M24" i="31"/>
  <c r="E84" i="31"/>
  <c r="N18" i="31"/>
  <c r="E80" i="31"/>
  <c r="E31" i="31"/>
  <c r="G92" i="31" l="1"/>
  <c r="G29" i="31"/>
  <c r="G50" i="31"/>
  <c r="G53" i="31"/>
  <c r="G26" i="31"/>
  <c r="G106" i="31"/>
  <c r="G112" i="31"/>
  <c r="G84" i="31"/>
  <c r="R21" i="31"/>
  <c r="G78" i="31"/>
  <c r="G123" i="31"/>
  <c r="R23" i="31"/>
  <c r="G101" i="31"/>
  <c r="G111" i="31"/>
  <c r="G59" i="31"/>
  <c r="G49" i="31"/>
  <c r="G36" i="31"/>
  <c r="G114" i="31"/>
  <c r="G115" i="31"/>
  <c r="G91" i="31"/>
  <c r="G30" i="31"/>
  <c r="G95" i="31"/>
  <c r="G113" i="31"/>
  <c r="G58" i="31"/>
  <c r="G27" i="31"/>
  <c r="G74" i="31"/>
  <c r="G99" i="31"/>
  <c r="G126" i="31"/>
  <c r="G79" i="31"/>
  <c r="G81" i="31"/>
  <c r="G65" i="31"/>
  <c r="G46" i="31"/>
  <c r="G70" i="31"/>
  <c r="G31" i="31"/>
  <c r="G125" i="31"/>
  <c r="G130" i="31"/>
  <c r="G28" i="31"/>
  <c r="G56" i="31"/>
  <c r="G132" i="31"/>
  <c r="R16" i="31"/>
  <c r="G128" i="31"/>
  <c r="G41" i="31"/>
  <c r="G120" i="31"/>
  <c r="G71" i="31"/>
  <c r="G39" i="31"/>
  <c r="G97" i="31"/>
  <c r="G121" i="31"/>
  <c r="G86" i="31"/>
  <c r="G51" i="31"/>
  <c r="G72" i="31"/>
  <c r="G90" i="31"/>
  <c r="G131" i="31"/>
  <c r="G107" i="31"/>
  <c r="G98" i="31"/>
  <c r="G75" i="31"/>
  <c r="R19" i="31"/>
  <c r="R22" i="31"/>
  <c r="G118" i="31"/>
  <c r="G34" i="31"/>
  <c r="G37" i="31"/>
  <c r="G35" i="31"/>
  <c r="G105" i="31"/>
  <c r="G44" i="31"/>
  <c r="G25" i="31"/>
  <c r="G89" i="31"/>
  <c r="G122" i="31"/>
  <c r="G47" i="31"/>
  <c r="G42" i="31"/>
  <c r="G63" i="31"/>
  <c r="G45" i="31"/>
  <c r="G73" i="31"/>
  <c r="G87" i="31"/>
  <c r="R24" i="31"/>
  <c r="G116" i="31"/>
  <c r="G76" i="31"/>
  <c r="G55" i="31"/>
  <c r="G103" i="31"/>
  <c r="G102" i="31"/>
  <c r="G96" i="31"/>
  <c r="G33" i="31"/>
  <c r="R25" i="31"/>
  <c r="G32" i="31"/>
  <c r="G80" i="31"/>
  <c r="G109" i="31"/>
  <c r="G94" i="31"/>
  <c r="R18" i="31"/>
  <c r="G38" i="31"/>
  <c r="G66" i="31"/>
  <c r="G110" i="31"/>
  <c r="G69" i="31"/>
  <c r="G57" i="31"/>
  <c r="G48" i="31"/>
  <c r="G52" i="31"/>
  <c r="G119" i="31"/>
  <c r="G62" i="31"/>
  <c r="G117" i="31"/>
  <c r="G77" i="31"/>
  <c r="G60" i="31"/>
  <c r="G68" i="31"/>
  <c r="R20" i="31"/>
  <c r="G40" i="31"/>
  <c r="G43" i="31"/>
  <c r="G100" i="31"/>
  <c r="G61" i="31"/>
  <c r="G85" i="31"/>
  <c r="R17" i="31"/>
  <c r="G88" i="31"/>
  <c r="G67" i="31"/>
  <c r="G64" i="31"/>
  <c r="G124" i="31"/>
  <c r="G108" i="31"/>
  <c r="G54" i="31"/>
  <c r="G93" i="31"/>
  <c r="P23" i="31"/>
  <c r="Q23" i="31"/>
  <c r="P22" i="31"/>
  <c r="Q22" i="31"/>
  <c r="Q24" i="31"/>
  <c r="P24" i="31"/>
  <c r="Q18" i="31"/>
  <c r="P18" i="31"/>
  <c r="Q19" i="31"/>
  <c r="P19" i="31"/>
  <c r="P21" i="31"/>
  <c r="Q21" i="31"/>
  <c r="K3" i="25"/>
  <c r="P5" i="31"/>
  <c r="M7" i="31"/>
  <c r="K6" i="31"/>
  <c r="B5" i="31" s="1"/>
  <c r="P20" i="31"/>
  <c r="Q20" i="31"/>
  <c r="Q25" i="31"/>
  <c r="P25" i="31"/>
  <c r="P17" i="31"/>
  <c r="Q17" i="31"/>
  <c r="C53" i="25" l="1"/>
  <c r="C43" i="25"/>
  <c r="G9" i="25"/>
  <c r="B5" i="25"/>
  <c r="P6" i="31"/>
  <c r="G26" i="25"/>
  <c r="E23" i="25"/>
  <c r="G25" i="25"/>
  <c r="G32" i="25"/>
  <c r="G23" i="25"/>
  <c r="G28" i="25"/>
  <c r="G24" i="25"/>
  <c r="E14" i="25"/>
  <c r="E34" i="25"/>
  <c r="G27" i="25"/>
  <c r="E33" i="25"/>
  <c r="G22" i="25"/>
  <c r="E28" i="25"/>
  <c r="E20" i="25"/>
  <c r="G19" i="25"/>
  <c r="E21" i="25"/>
  <c r="E24" i="25"/>
  <c r="G17" i="25"/>
  <c r="G18" i="25"/>
  <c r="E17" i="25"/>
  <c r="E25" i="25"/>
  <c r="G21" i="25"/>
  <c r="E29" i="25"/>
  <c r="E19" i="25"/>
  <c r="E15" i="25"/>
  <c r="G16" i="25"/>
  <c r="E22" i="25"/>
  <c r="E32" i="25"/>
  <c r="E31" i="25"/>
  <c r="G29" i="25"/>
  <c r="E18" i="25"/>
  <c r="G30" i="25"/>
  <c r="G33" i="25"/>
  <c r="E27" i="25"/>
  <c r="F9" i="31"/>
  <c r="E16" i="25"/>
  <c r="G34" i="25"/>
  <c r="G20" i="25"/>
  <c r="G15" i="25"/>
  <c r="E26" i="25"/>
  <c r="G14" i="25"/>
  <c r="E30" i="25"/>
  <c r="D9" i="31"/>
  <c r="G31" i="25"/>
  <c r="C39" i="25" l="1"/>
  <c r="B4" i="31"/>
  <c r="B5" i="28"/>
  <c r="B5" i="66"/>
  <c r="C23" i="31" l="1"/>
  <c r="E23" i="31" s="1"/>
  <c r="C17" i="31"/>
  <c r="E17" i="31" s="1"/>
  <c r="C14" i="31"/>
  <c r="E14" i="31" s="1"/>
  <c r="C22" i="31"/>
  <c r="E22" i="31" s="1"/>
  <c r="C19" i="31"/>
  <c r="E19" i="31" s="1"/>
  <c r="C21" i="31"/>
  <c r="E21" i="31" s="1"/>
  <c r="C24" i="31"/>
  <c r="E24" i="31" s="1"/>
  <c r="C20" i="31"/>
  <c r="E20" i="31" s="1"/>
  <c r="C15" i="31"/>
  <c r="E15" i="31" s="1"/>
  <c r="C18" i="31"/>
  <c r="E18" i="31" s="1"/>
  <c r="C16" i="31"/>
  <c r="E16" i="31" s="1"/>
  <c r="G18" i="31" l="1"/>
  <c r="G20" i="31"/>
  <c r="G24" i="31"/>
  <c r="G19" i="31"/>
  <c r="G22" i="31"/>
  <c r="G14" i="31"/>
  <c r="G16" i="31"/>
  <c r="G15" i="31"/>
  <c r="G21" i="31"/>
  <c r="G17" i="31"/>
  <c r="G23" i="31"/>
  <c r="C13" i="31"/>
  <c r="C9" i="31"/>
  <c r="E13" i="25"/>
  <c r="G9" i="31" l="1"/>
  <c r="G40" i="25" s="1"/>
  <c r="E40" i="25"/>
  <c r="E13" i="31"/>
  <c r="M16" i="31"/>
  <c r="M19" i="66"/>
  <c r="O20" i="66"/>
  <c r="K19" i="66"/>
  <c r="J16" i="66"/>
  <c r="F16" i="66"/>
  <c r="K22" i="66"/>
  <c r="J14" i="66"/>
  <c r="E13" i="66"/>
  <c r="L21" i="66"/>
  <c r="E14" i="66"/>
  <c r="I14" i="66"/>
  <c r="O22" i="66"/>
  <c r="G21" i="66"/>
  <c r="G14" i="66"/>
  <c r="J20" i="66"/>
  <c r="L13" i="66"/>
  <c r="M20" i="66"/>
  <c r="I20" i="66"/>
  <c r="E16" i="66"/>
  <c r="E15" i="66"/>
  <c r="F13" i="66"/>
  <c r="J17" i="66"/>
  <c r="E20" i="66"/>
  <c r="N21" i="66"/>
  <c r="L18" i="66"/>
  <c r="G13" i="66"/>
  <c r="O16" i="66"/>
  <c r="E17" i="66"/>
  <c r="K17" i="66"/>
  <c r="N17" i="66"/>
  <c r="H19" i="66"/>
  <c r="H13" i="66"/>
  <c r="H16" i="66"/>
  <c r="J18" i="66"/>
  <c r="G22" i="66"/>
  <c r="G18" i="66"/>
  <c r="L19" i="66"/>
  <c r="F19" i="66"/>
  <c r="G20" i="66"/>
  <c r="M13" i="66"/>
  <c r="L14" i="66"/>
  <c r="I16" i="66"/>
  <c r="J13" i="66"/>
  <c r="E21" i="66"/>
  <c r="O13" i="66"/>
  <c r="L15" i="66"/>
  <c r="I17" i="66"/>
  <c r="K13" i="66"/>
  <c r="N22" i="66"/>
  <c r="N19" i="66"/>
  <c r="N14" i="66"/>
  <c r="M22" i="66"/>
  <c r="I13" i="66"/>
  <c r="I19" i="66"/>
  <c r="O15" i="66"/>
  <c r="K18" i="66"/>
  <c r="K14" i="66"/>
  <c r="E22" i="66"/>
  <c r="K16" i="66"/>
  <c r="F20" i="66"/>
  <c r="L20" i="66"/>
  <c r="J19" i="66"/>
  <c r="G16" i="66"/>
  <c r="M17" i="66"/>
  <c r="E19" i="66"/>
  <c r="K15" i="66"/>
  <c r="O21" i="66"/>
  <c r="I18" i="66"/>
  <c r="N20" i="66"/>
  <c r="G17" i="66"/>
  <c r="M16" i="66"/>
  <c r="I15" i="66"/>
  <c r="O18" i="66"/>
  <c r="H21" i="66"/>
  <c r="K21" i="66"/>
  <c r="O19" i="66"/>
  <c r="E18" i="66"/>
  <c r="H17" i="66"/>
  <c r="J15" i="66"/>
  <c r="F17" i="66"/>
  <c r="N18" i="66"/>
  <c r="L22" i="66"/>
  <c r="M21" i="66"/>
  <c r="H20" i="66"/>
  <c r="N13" i="66"/>
  <c r="J21" i="66"/>
  <c r="H18" i="66"/>
  <c r="N16" i="66"/>
  <c r="O14" i="66"/>
  <c r="F22" i="66"/>
  <c r="O17" i="66"/>
  <c r="J22" i="66"/>
  <c r="F15" i="66"/>
  <c r="H14" i="66"/>
  <c r="M18" i="66"/>
  <c r="H22" i="66"/>
  <c r="M15" i="66"/>
  <c r="G19" i="66"/>
  <c r="N15" i="66"/>
  <c r="F21" i="66"/>
  <c r="K20" i="66"/>
  <c r="F18" i="66"/>
  <c r="L16" i="66"/>
  <c r="H15" i="66"/>
  <c r="I21" i="66"/>
  <c r="F14" i="66"/>
  <c r="M14" i="66"/>
  <c r="L17" i="66"/>
  <c r="I22" i="66"/>
  <c r="G15" i="66"/>
  <c r="G13" i="25"/>
  <c r="E9" i="31"/>
  <c r="P16" i="31" l="1"/>
  <c r="Q16" i="31"/>
  <c r="G13" i="31"/>
  <c r="D17" i="66"/>
  <c r="D16" i="66"/>
  <c r="D19" i="66"/>
  <c r="D22" i="66"/>
  <c r="D20" i="66"/>
  <c r="D18" i="66"/>
  <c r="D14" i="66"/>
  <c r="C14" i="66"/>
  <c r="D21" i="66"/>
  <c r="D15" i="66"/>
  <c r="D13" i="66"/>
  <c r="C22" i="66" l="1"/>
  <c r="C19" i="66"/>
  <c r="C13" i="66"/>
  <c r="C18" i="66"/>
  <c r="C21" i="66"/>
  <c r="C17" i="66"/>
  <c r="C16" i="66"/>
  <c r="C20" i="66"/>
  <c r="C15" i="66"/>
  <c r="G25" i="66" l="1"/>
  <c r="O25" i="66"/>
  <c r="I29" i="66"/>
  <c r="L27" i="66"/>
  <c r="I23" i="66"/>
  <c r="M24" i="66"/>
  <c r="F24" i="66"/>
  <c r="N24" i="66"/>
  <c r="N29" i="66"/>
  <c r="H25" i="66"/>
  <c r="L26" i="66"/>
  <c r="K23" i="66"/>
  <c r="F28" i="66"/>
  <c r="I27" i="66"/>
  <c r="K30" i="66"/>
  <c r="L25" i="66"/>
  <c r="O23" i="66"/>
  <c r="N25" i="66"/>
  <c r="G29" i="66"/>
  <c r="J23" i="66"/>
  <c r="M25" i="66"/>
  <c r="I26" i="66"/>
  <c r="L24" i="66"/>
  <c r="M28" i="66"/>
  <c r="M23" i="66"/>
  <c r="H24" i="66"/>
  <c r="G30" i="66"/>
  <c r="F25" i="66"/>
  <c r="F29" i="66"/>
  <c r="L29" i="66"/>
  <c r="O27" i="66"/>
  <c r="G28" i="66"/>
  <c r="O24" i="66"/>
  <c r="J28" i="66"/>
  <c r="N26" i="66"/>
  <c r="H26" i="66"/>
  <c r="H28" i="66"/>
  <c r="H23" i="66"/>
  <c r="H29" i="66"/>
  <c r="N23" i="66"/>
  <c r="N27" i="66"/>
  <c r="H30" i="66"/>
  <c r="K27" i="66"/>
  <c r="E27" i="66"/>
  <c r="O26" i="66"/>
  <c r="N28" i="66"/>
  <c r="G23" i="66"/>
  <c r="F27" i="66"/>
  <c r="L28" i="66"/>
  <c r="J25" i="66"/>
  <c r="H27" i="66"/>
  <c r="E30" i="66"/>
  <c r="E28" i="66"/>
  <c r="J27" i="66"/>
  <c r="O29" i="66"/>
  <c r="F23" i="66"/>
  <c r="E25" i="66"/>
  <c r="E26" i="66"/>
  <c r="O28" i="66"/>
  <c r="I30" i="66"/>
  <c r="I25" i="66"/>
  <c r="M30" i="66"/>
  <c r="M26" i="66"/>
  <c r="L23" i="66"/>
  <c r="G27" i="66"/>
  <c r="J30" i="66"/>
  <c r="N30" i="66"/>
  <c r="G24" i="66"/>
  <c r="I28" i="66"/>
  <c r="K25" i="66"/>
  <c r="I24" i="66"/>
  <c r="E29" i="66"/>
  <c r="E24" i="66"/>
  <c r="M27" i="66"/>
  <c r="G26" i="66"/>
  <c r="E23" i="66"/>
  <c r="J29" i="66"/>
  <c r="J24" i="66"/>
  <c r="L30" i="66"/>
  <c r="F30" i="66"/>
  <c r="F26" i="66"/>
  <c r="K26" i="66"/>
  <c r="J26" i="66"/>
  <c r="K29" i="66"/>
  <c r="K24" i="66"/>
  <c r="O30" i="66"/>
  <c r="K28" i="66"/>
  <c r="M29" i="66"/>
  <c r="D23" i="66" l="1"/>
  <c r="D24" i="66"/>
  <c r="D26" i="66"/>
  <c r="D25" i="66"/>
  <c r="D28" i="66"/>
  <c r="D29" i="66"/>
  <c r="D27" i="66"/>
  <c r="D30" i="66"/>
  <c r="C24" i="66"/>
  <c r="C26" i="66" l="1"/>
  <c r="C29" i="66"/>
  <c r="C25" i="66"/>
  <c r="C27" i="66"/>
  <c r="C28" i="66"/>
  <c r="C30" i="66"/>
  <c r="C23" i="66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<sst xmlns="http://schemas.openxmlformats.org/spreadsheetml/2006/main" count="1337" uniqueCount="179">
  <si>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</si>
  <si>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</si>
  <si>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</si>
  <si>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</si>
  <si>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</si>
  <si>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</si>
  <si>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</si>
  <si>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</si>
  <si>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</si>
  <si>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</si>
  <si>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</si>
  <si>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</si>
  <si>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</si>
  <si>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</si>
  <si>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</si>
  <si>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</si>
  <si>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</si>
  <si>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</si>
  <si>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</si>
  <si>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</si>
  <si>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</si>
  <si>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</si>
  <si>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</si>
  <si>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</si>
  <si>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</si>
  <si>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</si>
  <si>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</si>
  <si>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</si>
  <si>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</si>
  <si>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</si>
  <si>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</si>
  <si>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</si>
  <si>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</si>
  <si>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</si>
  <si>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</si>
  <si>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</si>
  <si>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</si>
  <si>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</si>
  <si>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</si>
  <si>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</si>
  <si>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</si>
  <si>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</si>
  <si>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</si>
  <si>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</si>
  <si>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</si>
  <si>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</si>
  <si>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</si>
  <si>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</si>
  <si>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</si>
  <si>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</si>
  <si>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</si>
  <si>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</si>
  <si>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</si>
  <si>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</si>
  <si>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</si>
  <si>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</si>
  <si>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</si>
  <si>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</si>
  <si>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</si>
  <si>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</si>
  <si>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</si>
  <si>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</si>
  <si>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</si>
  <si>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</si>
  <si>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</si>
  <si>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</si>
  <si>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</si>
  <si>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</si>
  <si>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</si>
  <si>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</si>
  <si>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</si>
  <si>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</si>
  <si>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</si>
  <si>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</si>
  <si>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</si>
  <si>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</si>
  <si>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</si>
  <si>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</si>
  <si>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</si>
  <si>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</si>
  <si>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</si>
  <si>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</si>
  <si>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</si>
  <si>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</si>
  <si>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</si>
  <si>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</si>
  <si>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</si>
  <si>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</si>
  <si>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</si>
  <si>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</si>
  <si>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</si>
  <si>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</si>
  <si>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</si>
  <si>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</si>
  <si>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</si>
  <si>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</si>
  <si>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</si>
  <si>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</si>
  <si>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</si>
  <si>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</si>
  <si>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</si>
  <si>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</si>
  <si>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</si>
  <si>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</si>
  <si>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</si>
  <si>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</si>
  <si>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</si>
  <si>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</si>
  <si>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</si>
  <si>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</si>
  <si>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</si>
  <si>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</si>
  <si>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</si>
  <si>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</si>
  <si>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</si>
  <si>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</si>
  <si>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</si>
  <si>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</si>
  <si>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</si>
  <si>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</si>
  <si>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</si>
  <si>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</si>
  <si>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</si>
  <si>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</si>
  <si>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</si>
  <si>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</si>
  <si>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</si>
  <si>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</si>
  <si>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</si>
  <si>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</si>
  <si>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</si>
  <si>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</si>
  <si>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</si>
  <si>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</si>
  <si>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</si>
  <si>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</si>
  <si>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</si>
  <si>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</si>
  <si>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</si>
  <si>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</si>
  <si>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</si>
  <si>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</si>
  <si>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</si>
  <si>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</si>
  <si>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</si>
  <si>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</si>
  <si>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</si>
  <si>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</si>
  <si>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</si>
  <si>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</si>
  <si>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</si>
  <si>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</si>
  <si>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</si>
  <si>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</si>
  <si>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</si>
  <si>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</si>
  <si>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</si>
  <si>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</si>
  <si>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</si>
  <si>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</si>
  <si>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</si>
  <si>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</si>
  <si>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</si>
  <si>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</si>
  <si>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</si>
  <si>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</si>
  <si>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</si>
  <si>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</si>
  <si>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</si>
  <si>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</si>
  <si>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</si>
  <si>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</si>
  <si>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</si>
  <si>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</si>
  <si>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</si>
  <si>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Oregon Update Solar Resource-2031</t>
  </si>
  <si>
    <t>20 Year Starting 2019</t>
  </si>
  <si>
    <t>1 Year Starting 2020</t>
  </si>
  <si>
    <t>Kennecott Refinery Non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</si>
</sst>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8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30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22_023%20-%20Kennecott%20-%20UT%20-%202019%20May\Workpapers%20to%20file\023%20-%20Kennecott%20Refinery%20-%201a%20-%20GRID%20AC%20Study%20CONF%20_2019%2004%20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2020</v>
          </cell>
          <cell r="C7">
            <v>20.285573822302116</v>
          </cell>
          <cell r="D7">
            <v>19.330774142365893</v>
          </cell>
          <cell r="E7">
            <v>20.632032419347148</v>
          </cell>
          <cell r="F7">
            <v>17.343304933504783</v>
          </cell>
          <cell r="G7">
            <v>16.764937749169036</v>
          </cell>
          <cell r="H7">
            <v>15.748619418809026</v>
          </cell>
          <cell r="I7">
            <v>16.686979083160942</v>
          </cell>
          <cell r="J7">
            <v>31.579493222507455</v>
          </cell>
          <cell r="K7">
            <v>31.368344725826194</v>
          </cell>
          <cell r="L7">
            <v>22.305291035200206</v>
          </cell>
          <cell r="M7">
            <v>16.390153346365672</v>
          </cell>
          <cell r="N7">
            <v>17.591342483832726</v>
          </cell>
          <cell r="O7">
            <v>17.456554348132521</v>
          </cell>
        </row>
        <row r="8">
          <cell r="B8">
            <v>2021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2022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2023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2024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2025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2026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2027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2028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2029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3"/>
      <sheetData sheetId="4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2020-2029</v>
          </cell>
          <cell r="F3">
            <v>43831</v>
          </cell>
          <cell r="G3">
            <v>43862</v>
          </cell>
          <cell r="H3">
            <v>43891</v>
          </cell>
          <cell r="I3">
            <v>43922</v>
          </cell>
          <cell r="J3">
            <v>43952</v>
          </cell>
          <cell r="K3">
            <v>43983</v>
          </cell>
          <cell r="L3">
            <v>44013</v>
          </cell>
          <cell r="M3">
            <v>44044</v>
          </cell>
          <cell r="N3">
            <v>44075</v>
          </cell>
          <cell r="O3">
            <v>44105</v>
          </cell>
          <cell r="P3">
            <v>44136</v>
          </cell>
          <cell r="Q3">
            <v>44166</v>
          </cell>
          <cell r="R3">
            <v>2021</v>
          </cell>
          <cell r="S3">
            <v>44197</v>
          </cell>
          <cell r="T3">
            <v>44228</v>
          </cell>
          <cell r="U3">
            <v>44256</v>
          </cell>
          <cell r="V3">
            <v>44287</v>
          </cell>
          <cell r="W3">
            <v>44317</v>
          </cell>
          <cell r="X3">
            <v>44348</v>
          </cell>
          <cell r="Y3">
            <v>44378</v>
          </cell>
          <cell r="Z3">
            <v>44409</v>
          </cell>
          <cell r="AA3">
            <v>44440</v>
          </cell>
          <cell r="AB3">
            <v>44470</v>
          </cell>
          <cell r="AC3">
            <v>44501</v>
          </cell>
          <cell r="AD3">
            <v>44531</v>
          </cell>
          <cell r="AE3">
            <v>2022</v>
          </cell>
          <cell r="AF3">
            <v>44562</v>
          </cell>
          <cell r="AG3">
            <v>44593</v>
          </cell>
          <cell r="AH3">
            <v>44621</v>
          </cell>
          <cell r="AI3">
            <v>44652</v>
          </cell>
          <cell r="AJ3">
            <v>44682</v>
          </cell>
          <cell r="AK3">
            <v>44713</v>
          </cell>
          <cell r="AL3">
            <v>44743</v>
          </cell>
          <cell r="AM3">
            <v>44774</v>
          </cell>
          <cell r="AN3">
            <v>44805</v>
          </cell>
          <cell r="AO3">
            <v>44835</v>
          </cell>
          <cell r="AP3">
            <v>44866</v>
          </cell>
          <cell r="AQ3">
            <v>44896</v>
          </cell>
          <cell r="AR3">
            <v>2023</v>
          </cell>
          <cell r="AS3">
            <v>44927</v>
          </cell>
          <cell r="AT3">
            <v>44958</v>
          </cell>
          <cell r="AU3">
            <v>44986</v>
          </cell>
          <cell r="AV3">
            <v>45017</v>
          </cell>
          <cell r="AW3">
            <v>45047</v>
          </cell>
          <cell r="AX3">
            <v>45078</v>
          </cell>
          <cell r="AY3">
            <v>45108</v>
          </cell>
          <cell r="AZ3">
            <v>45139</v>
          </cell>
          <cell r="BA3">
            <v>45170</v>
          </cell>
          <cell r="BB3">
            <v>45200</v>
          </cell>
          <cell r="BC3">
            <v>45231</v>
          </cell>
          <cell r="BD3">
            <v>45261</v>
          </cell>
          <cell r="BE3">
            <v>2024</v>
          </cell>
          <cell r="BF3">
            <v>45292</v>
          </cell>
          <cell r="BG3">
            <v>45323</v>
          </cell>
          <cell r="BH3">
            <v>45352</v>
          </cell>
          <cell r="BI3">
            <v>45383</v>
          </cell>
          <cell r="BJ3">
            <v>45413</v>
          </cell>
          <cell r="BK3">
            <v>45444</v>
          </cell>
          <cell r="BL3">
            <v>45474</v>
          </cell>
          <cell r="BM3">
            <v>45505</v>
          </cell>
          <cell r="BN3">
            <v>45536</v>
          </cell>
          <cell r="BO3">
            <v>45566</v>
          </cell>
          <cell r="BP3">
            <v>45597</v>
          </cell>
          <cell r="BQ3">
            <v>45627</v>
          </cell>
          <cell r="BR3">
            <v>2025</v>
          </cell>
          <cell r="BS3">
            <v>45658</v>
          </cell>
          <cell r="BT3">
            <v>45689</v>
          </cell>
          <cell r="BU3">
            <v>45717</v>
          </cell>
          <cell r="BV3">
            <v>45748</v>
          </cell>
          <cell r="BW3">
            <v>45778</v>
          </cell>
          <cell r="BX3">
            <v>45809</v>
          </cell>
          <cell r="BY3">
            <v>45839</v>
          </cell>
          <cell r="BZ3">
            <v>45870</v>
          </cell>
          <cell r="CA3">
            <v>45901</v>
          </cell>
          <cell r="CB3">
            <v>45931</v>
          </cell>
          <cell r="CC3">
            <v>45962</v>
          </cell>
          <cell r="CD3">
            <v>45992</v>
          </cell>
          <cell r="CE3">
            <v>2026</v>
          </cell>
          <cell r="CF3">
            <v>46023</v>
          </cell>
          <cell r="CG3">
            <v>46054</v>
          </cell>
          <cell r="CH3">
            <v>46082</v>
          </cell>
          <cell r="CI3">
            <v>46113</v>
          </cell>
          <cell r="CJ3">
            <v>46143</v>
          </cell>
          <cell r="CK3">
            <v>46174</v>
          </cell>
          <cell r="CL3">
            <v>46204</v>
          </cell>
          <cell r="CM3">
            <v>46235</v>
          </cell>
          <cell r="CN3">
            <v>46266</v>
          </cell>
          <cell r="CO3">
            <v>46296</v>
          </cell>
          <cell r="CP3">
            <v>46327</v>
          </cell>
          <cell r="CQ3">
            <v>46357</v>
          </cell>
          <cell r="CR3">
            <v>2027</v>
          </cell>
          <cell r="CS3">
            <v>46388</v>
          </cell>
          <cell r="CT3">
            <v>46419</v>
          </cell>
          <cell r="CU3">
            <v>46447</v>
          </cell>
          <cell r="CV3">
            <v>46478</v>
          </cell>
          <cell r="CW3">
            <v>46508</v>
          </cell>
          <cell r="CX3">
            <v>46539</v>
          </cell>
          <cell r="CY3">
            <v>46569</v>
          </cell>
          <cell r="CZ3">
            <v>46600</v>
          </cell>
          <cell r="DA3">
            <v>46631</v>
          </cell>
          <cell r="DB3">
            <v>46661</v>
          </cell>
          <cell r="DC3">
            <v>46692</v>
          </cell>
          <cell r="DD3">
            <v>46722</v>
          </cell>
          <cell r="DE3">
            <v>2028</v>
          </cell>
          <cell r="DF3">
            <v>46753</v>
          </cell>
          <cell r="DG3">
            <v>46784</v>
          </cell>
          <cell r="DH3">
            <v>46813</v>
          </cell>
          <cell r="DI3">
            <v>46844</v>
          </cell>
          <cell r="DJ3">
            <v>46874</v>
          </cell>
          <cell r="DK3">
            <v>46905</v>
          </cell>
          <cell r="DL3">
            <v>46935</v>
          </cell>
          <cell r="DM3">
            <v>46966</v>
          </cell>
          <cell r="DN3">
            <v>46997</v>
          </cell>
          <cell r="DO3">
            <v>47027</v>
          </cell>
          <cell r="DP3">
            <v>47058</v>
          </cell>
          <cell r="DQ3">
            <v>47088</v>
          </cell>
          <cell r="DR3">
            <v>2029</v>
          </cell>
          <cell r="DS3">
            <v>47119</v>
          </cell>
          <cell r="DT3">
            <v>47150</v>
          </cell>
          <cell r="DU3">
            <v>47178</v>
          </cell>
          <cell r="DV3">
            <v>47209</v>
          </cell>
          <cell r="DW3">
            <v>47239</v>
          </cell>
          <cell r="DX3">
            <v>47270</v>
          </cell>
          <cell r="DY3">
            <v>47300</v>
          </cell>
          <cell r="DZ3">
            <v>47331</v>
          </cell>
          <cell r="EA3">
            <v>47362</v>
          </cell>
          <cell r="EB3">
            <v>47392</v>
          </cell>
          <cell r="EC3">
            <v>47423</v>
          </cell>
          <cell r="ED3">
            <v>47453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0</v>
          </cell>
          <cell r="H32">
            <v>73.299999999813735</v>
          </cell>
          <cell r="I32">
            <v>35.899999999906868</v>
          </cell>
          <cell r="J32">
            <v>358.39999999990687</v>
          </cell>
          <cell r="K32">
            <v>2876.2999999998137</v>
          </cell>
          <cell r="L32">
            <v>5838.5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10360.5</v>
          </cell>
          <cell r="G33">
            <v>10357.799999999814</v>
          </cell>
          <cell r="H33">
            <v>4232.3999999999069</v>
          </cell>
          <cell r="I33">
            <v>3801.9000000000233</v>
          </cell>
          <cell r="J33">
            <v>699.5</v>
          </cell>
          <cell r="K33">
            <v>0</v>
          </cell>
          <cell r="L33">
            <v>778.5</v>
          </cell>
          <cell r="M33">
            <v>0</v>
          </cell>
          <cell r="N33">
            <v>1092</v>
          </cell>
          <cell r="O33">
            <v>2866.2999999998137</v>
          </cell>
          <cell r="P33">
            <v>6209.2999999998137</v>
          </cell>
          <cell r="Q33">
            <v>8804.2000000001863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88</v>
          </cell>
          <cell r="G34">
            <v>1045</v>
          </cell>
          <cell r="H34">
            <v>1519</v>
          </cell>
          <cell r="I34">
            <v>9066.7000000001863</v>
          </cell>
          <cell r="J34">
            <v>4210.1999999999534</v>
          </cell>
          <cell r="K34">
            <v>5404.3999999999069</v>
          </cell>
          <cell r="L34">
            <v>13772</v>
          </cell>
          <cell r="M34">
            <v>2223.1000000000931</v>
          </cell>
          <cell r="N34">
            <v>4015.3999999999069</v>
          </cell>
          <cell r="O34">
            <v>1446</v>
          </cell>
          <cell r="P34">
            <v>1330.7999999998137</v>
          </cell>
          <cell r="Q34">
            <v>329.5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5427.1000000005588</v>
          </cell>
          <cell r="G35">
            <v>3506.9000000003725</v>
          </cell>
          <cell r="H35">
            <v>1174.4000000003725</v>
          </cell>
          <cell r="I35">
            <v>586.5500000002794</v>
          </cell>
          <cell r="J35">
            <v>2221.8899999998976</v>
          </cell>
          <cell r="K35">
            <v>461.89999999990687</v>
          </cell>
          <cell r="L35">
            <v>2877.2999999998137</v>
          </cell>
          <cell r="M35">
            <v>0</v>
          </cell>
          <cell r="N35">
            <v>3549.1999999992549</v>
          </cell>
          <cell r="O35">
            <v>1899</v>
          </cell>
          <cell r="P35">
            <v>748.89999999944121</v>
          </cell>
          <cell r="Q35">
            <v>4123.6000000005588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0</v>
          </cell>
          <cell r="G36">
            <v>123.36000000010245</v>
          </cell>
          <cell r="H36">
            <v>0</v>
          </cell>
          <cell r="I36">
            <v>571.80000000004657</v>
          </cell>
          <cell r="J36">
            <v>276.20000000018626</v>
          </cell>
          <cell r="K36">
            <v>162</v>
          </cell>
          <cell r="L36">
            <v>1488</v>
          </cell>
          <cell r="M36">
            <v>2595</v>
          </cell>
          <cell r="N36">
            <v>48</v>
          </cell>
          <cell r="O36">
            <v>1908</v>
          </cell>
          <cell r="P36">
            <v>4710.5</v>
          </cell>
          <cell r="Q36">
            <v>1319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0</v>
          </cell>
          <cell r="H38">
            <v>-26.244599999976344</v>
          </cell>
          <cell r="I38">
            <v>-12.474900000030175</v>
          </cell>
          <cell r="J38">
            <v>-71.771760000032373</v>
          </cell>
          <cell r="K38">
            <v>-615.5714999998454</v>
          </cell>
          <cell r="L38">
            <v>-291.60250000003725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15875.60000000149</v>
          </cell>
          <cell r="G41">
            <v>15033.060000000522</v>
          </cell>
          <cell r="H41">
            <v>6972.8554000016302</v>
          </cell>
          <cell r="I41">
            <v>14050.37509999983</v>
          </cell>
          <cell r="J41">
            <v>7694.4182399995625</v>
          </cell>
          <cell r="K41">
            <v>8289.0285000000149</v>
          </cell>
          <cell r="L41">
            <v>24462.697500005364</v>
          </cell>
          <cell r="M41">
            <v>4818.1000000014901</v>
          </cell>
          <cell r="N41">
            <v>8704.6000000014901</v>
          </cell>
          <cell r="O41">
            <v>8119.3000000007451</v>
          </cell>
          <cell r="P41">
            <v>12999.5</v>
          </cell>
          <cell r="Q41">
            <v>14576.300000000745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15875.60000000149</v>
          </cell>
          <cell r="G43">
            <v>15033.060000002384</v>
          </cell>
          <cell r="H43">
            <v>6972.8554000034928</v>
          </cell>
          <cell r="I43">
            <v>14050.375100001693</v>
          </cell>
          <cell r="J43">
            <v>7694.4182399995625</v>
          </cell>
          <cell r="K43">
            <v>8289.0285000018775</v>
          </cell>
          <cell r="L43">
            <v>24462.697500005364</v>
          </cell>
          <cell r="M43">
            <v>4818.1000000014901</v>
          </cell>
          <cell r="N43">
            <v>8704.6000000014901</v>
          </cell>
          <cell r="O43">
            <v>8119.3000000007451</v>
          </cell>
          <cell r="P43">
            <v>12999.5</v>
          </cell>
          <cell r="Q43">
            <v>14576.29999999702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6">
          <cell r="F186">
            <v>0</v>
          </cell>
          <cell r="G186">
            <v>0</v>
          </cell>
          <cell r="H186">
            <v>-206.21599999999989</v>
          </cell>
          <cell r="I186">
            <v>0</v>
          </cell>
          <cell r="J186">
            <v>-224.63000000000102</v>
          </cell>
          <cell r="K186">
            <v>-1835.9899999999907</v>
          </cell>
          <cell r="L186">
            <v>-5765.4300000000512</v>
          </cell>
          <cell r="M186">
            <v>-4617.1000000000058</v>
          </cell>
          <cell r="N186">
            <v>-792.0619999999908</v>
          </cell>
          <cell r="O186">
            <v>0</v>
          </cell>
          <cell r="P186">
            <v>0</v>
          </cell>
          <cell r="Q186">
            <v>-790.36000000010245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-4639.25</v>
          </cell>
          <cell r="G187">
            <v>-10705.600000000093</v>
          </cell>
          <cell r="H187">
            <v>-9379.6000000000931</v>
          </cell>
          <cell r="I187">
            <v>-12230.799999999814</v>
          </cell>
          <cell r="J187">
            <v>-11965.700000000186</v>
          </cell>
          <cell r="K187">
            <v>-3054.8600000001024</v>
          </cell>
          <cell r="L187">
            <v>-3012.7799999999988</v>
          </cell>
          <cell r="M187">
            <v>-514.40100000000029</v>
          </cell>
          <cell r="N187">
            <v>-1194.6739999999991</v>
          </cell>
          <cell r="O187">
            <v>-10700</v>
          </cell>
          <cell r="P187">
            <v>-8235.1999999999534</v>
          </cell>
          <cell r="Q187">
            <v>-1412.6300000000047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-1766.9000000000233</v>
          </cell>
          <cell r="H188">
            <v>-3093.3499999999767</v>
          </cell>
          <cell r="I188">
            <v>-12960.599999999627</v>
          </cell>
          <cell r="J188">
            <v>-14673</v>
          </cell>
          <cell r="K188">
            <v>-14710</v>
          </cell>
          <cell r="L188">
            <v>-50554.5</v>
          </cell>
          <cell r="M188">
            <v>-70076</v>
          </cell>
          <cell r="N188">
            <v>-26747.700000000186</v>
          </cell>
          <cell r="O188">
            <v>-1331.8099999999977</v>
          </cell>
          <cell r="P188">
            <v>-4271.6299999999464</v>
          </cell>
          <cell r="Q188">
            <v>-338.25999999995111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-712.7029999999977</v>
          </cell>
          <cell r="G189">
            <v>-195.69900000000052</v>
          </cell>
          <cell r="H189">
            <v>-363.25500000000466</v>
          </cell>
          <cell r="I189">
            <v>274.60499999999593</v>
          </cell>
          <cell r="J189">
            <v>-290.17910000000848</v>
          </cell>
          <cell r="K189">
            <v>0</v>
          </cell>
          <cell r="L189">
            <v>-425.15500000000065</v>
          </cell>
          <cell r="M189">
            <v>0</v>
          </cell>
          <cell r="N189">
            <v>-19.051799999999275</v>
          </cell>
          <cell r="O189">
            <v>-425.15399999999499</v>
          </cell>
          <cell r="P189">
            <v>-69.497000000003027</v>
          </cell>
          <cell r="Q189">
            <v>-512.36100000000079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0">
          <cell r="F190">
            <v>-2330.7999999998137</v>
          </cell>
          <cell r="G190">
            <v>-4425.4000000003725</v>
          </cell>
          <cell r="H190">
            <v>-1867.2999999998137</v>
          </cell>
          <cell r="I190">
            <v>-1516.0999999998603</v>
          </cell>
          <cell r="J190">
            <v>-948.60000000009313</v>
          </cell>
          <cell r="K190">
            <v>-239.89999999990687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5">
          <cell r="F195">
            <v>-7682.7530000000261</v>
          </cell>
          <cell r="G195">
            <v>-17093.599000001326</v>
          </cell>
          <cell r="H195">
            <v>-14909.720999999903</v>
          </cell>
          <cell r="I195">
            <v>-26432.895000000484</v>
          </cell>
          <cell r="J195">
            <v>-28102.109100000001</v>
          </cell>
          <cell r="K195">
            <v>-19840.75</v>
          </cell>
          <cell r="L195">
            <v>-59757.865000000224</v>
          </cell>
          <cell r="M195">
            <v>-75207.501000000164</v>
          </cell>
          <cell r="N195">
            <v>-28753.487800000235</v>
          </cell>
          <cell r="O195">
            <v>-12456.96399999992</v>
          </cell>
          <cell r="P195">
            <v>-12576.327000000048</v>
          </cell>
          <cell r="Q195">
            <v>-3053.6109999998007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7">
          <cell r="A197" t="str">
            <v>Total Purchased Power &amp; Net Interchange</v>
          </cell>
          <cell r="F197">
            <v>-7682.7530000060797</v>
          </cell>
          <cell r="G197">
            <v>-17093.598999999464</v>
          </cell>
          <cell r="H197">
            <v>-14909.721000000834</v>
          </cell>
          <cell r="I197">
            <v>-26432.895000003278</v>
          </cell>
          <cell r="J197">
            <v>-28102.10909999907</v>
          </cell>
          <cell r="K197">
            <v>-19840.75</v>
          </cell>
          <cell r="L197">
            <v>-59757.865000009537</v>
          </cell>
          <cell r="M197">
            <v>-75207.500999994576</v>
          </cell>
          <cell r="N197">
            <v>-28753.487800002098</v>
          </cell>
          <cell r="O197">
            <v>-12456.96400000155</v>
          </cell>
          <cell r="P197">
            <v>-12576.326999999583</v>
          </cell>
          <cell r="Q197">
            <v>-3053.6110000014305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9">
          <cell r="A199" t="str">
            <v>Wheeling &amp; U. of F. Expense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  <cell r="W201" t="e">
            <v>#N/A</v>
          </cell>
          <cell r="X201" t="e">
            <v>#N/A</v>
          </cell>
          <cell r="Y201" t="e">
            <v>#N/A</v>
          </cell>
          <cell r="Z201" t="e">
            <v>#N/A</v>
          </cell>
          <cell r="AA201" t="e">
            <v>#N/A</v>
          </cell>
          <cell r="AB201" t="e">
            <v>#N/A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  <cell r="AO201" t="e">
            <v>#N/A</v>
          </cell>
          <cell r="AP201" t="e">
            <v>#N/A</v>
          </cell>
          <cell r="AQ201" t="e">
            <v>#N/A</v>
          </cell>
          <cell r="AR201" t="e">
            <v>#N/A</v>
          </cell>
          <cell r="AS201" t="e">
            <v>#N/A</v>
          </cell>
          <cell r="AT201" t="e">
            <v>#N/A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F201" t="e">
            <v>#N/A</v>
          </cell>
          <cell r="CG201" t="e">
            <v>#N/A</v>
          </cell>
          <cell r="CH201" t="e">
            <v>#N/A</v>
          </cell>
          <cell r="CI201" t="e">
            <v>#N/A</v>
          </cell>
          <cell r="CJ201" t="e">
            <v>#N/A</v>
          </cell>
          <cell r="CK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P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CV201" t="e">
            <v>#N/A</v>
          </cell>
          <cell r="CW201" t="e">
            <v>#N/A</v>
          </cell>
          <cell r="CX201" t="e">
            <v>#N/A</v>
          </cell>
          <cell r="CY201" t="e">
            <v>#N/A</v>
          </cell>
          <cell r="CZ201" t="e">
            <v>#N/A</v>
          </cell>
          <cell r="DA201" t="e">
            <v>#N/A</v>
          </cell>
          <cell r="DB201" t="e">
            <v>#N/A</v>
          </cell>
          <cell r="DC201" t="e">
            <v>#N/A</v>
          </cell>
          <cell r="DD201" t="e">
            <v>#N/A</v>
          </cell>
          <cell r="DE201" t="e">
            <v>#N/A</v>
          </cell>
          <cell r="DF201" t="e">
            <v>#N/A</v>
          </cell>
          <cell r="DG201" t="e">
            <v>#N/A</v>
          </cell>
          <cell r="DH201" t="e">
            <v>#N/A</v>
          </cell>
          <cell r="DI201" t="e">
            <v>#N/A</v>
          </cell>
          <cell r="DJ201" t="e">
            <v>#N/A</v>
          </cell>
          <cell r="DK201" t="e">
            <v>#N/A</v>
          </cell>
          <cell r="DL201" t="e">
            <v>#N/A</v>
          </cell>
          <cell r="DM201" t="e">
            <v>#N/A</v>
          </cell>
          <cell r="DN201" t="e">
            <v>#N/A</v>
          </cell>
          <cell r="DO201" t="e">
            <v>#N/A</v>
          </cell>
          <cell r="DP201" t="e">
            <v>#N/A</v>
          </cell>
          <cell r="DQ201" t="e">
            <v>#N/A</v>
          </cell>
          <cell r="DR201" t="e">
            <v>#N/A</v>
          </cell>
          <cell r="DS201" t="e">
            <v>#N/A</v>
          </cell>
          <cell r="DT201" t="e">
            <v>#N/A</v>
          </cell>
          <cell r="DU201" t="e">
            <v>#N/A</v>
          </cell>
          <cell r="DV201" t="e">
            <v>#N/A</v>
          </cell>
          <cell r="DW201" t="e">
            <v>#N/A</v>
          </cell>
          <cell r="DX201" t="e">
            <v>#N/A</v>
          </cell>
          <cell r="DY201" t="e">
            <v>#N/A</v>
          </cell>
          <cell r="DZ201" t="e">
            <v>#N/A</v>
          </cell>
          <cell r="EA201" t="e">
            <v>#N/A</v>
          </cell>
          <cell r="EB201" t="e">
            <v>#N/A</v>
          </cell>
          <cell r="EC201" t="e">
            <v>#N/A</v>
          </cell>
          <cell r="ED201" t="e">
            <v>#N/A</v>
          </cell>
        </row>
        <row r="202">
          <cell r="F202">
            <v>2.183999999999287</v>
          </cell>
          <cell r="G202">
            <v>9.0619999999998981</v>
          </cell>
          <cell r="H202">
            <v>0</v>
          </cell>
          <cell r="I202">
            <v>-6.5953999999999269</v>
          </cell>
          <cell r="J202">
            <v>-10.320600000000013</v>
          </cell>
          <cell r="K202">
            <v>0</v>
          </cell>
          <cell r="L202">
            <v>0</v>
          </cell>
          <cell r="M202">
            <v>-2.2129999999997381</v>
          </cell>
          <cell r="N202">
            <v>-1.2009999999972933</v>
          </cell>
          <cell r="O202">
            <v>7.7977000000000771</v>
          </cell>
          <cell r="P202">
            <v>0</v>
          </cell>
          <cell r="Q202">
            <v>18.332999999998719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4">
          <cell r="A204" t="str">
            <v>Total Wheeling &amp; U. of F. Expense</v>
          </cell>
          <cell r="F204">
            <v>2.1840000003576279</v>
          </cell>
          <cell r="G204">
            <v>9.0620000008493662</v>
          </cell>
          <cell r="H204">
            <v>0</v>
          </cell>
          <cell r="I204">
            <v>-6.5953999999910593</v>
          </cell>
          <cell r="J204">
            <v>-10.320599999278784</v>
          </cell>
          <cell r="K204">
            <v>0</v>
          </cell>
          <cell r="L204">
            <v>0</v>
          </cell>
          <cell r="M204">
            <v>-2.2129999995231628</v>
          </cell>
          <cell r="N204">
            <v>-1.2009999994188547</v>
          </cell>
          <cell r="O204">
            <v>7.7977000009268522</v>
          </cell>
          <cell r="P204">
            <v>0</v>
          </cell>
          <cell r="Q204">
            <v>18.333000000566244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F204" t="e">
            <v>#N/A</v>
          </cell>
          <cell r="CG204" t="e">
            <v>#N/A</v>
          </cell>
          <cell r="CH204" t="e">
            <v>#N/A</v>
          </cell>
          <cell r="CI204" t="e">
            <v>#N/A</v>
          </cell>
          <cell r="CJ204" t="e">
            <v>#N/A</v>
          </cell>
          <cell r="CK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P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CV204" t="e">
            <v>#N/A</v>
          </cell>
          <cell r="CW204" t="e">
            <v>#N/A</v>
          </cell>
          <cell r="CX204" t="e">
            <v>#N/A</v>
          </cell>
          <cell r="CY204" t="e">
            <v>#N/A</v>
          </cell>
          <cell r="CZ204" t="e">
            <v>#N/A</v>
          </cell>
          <cell r="DA204" t="e">
            <v>#N/A</v>
          </cell>
          <cell r="DB204" t="e">
            <v>#N/A</v>
          </cell>
          <cell r="DC204" t="e">
            <v>#N/A</v>
          </cell>
          <cell r="DD204" t="e">
            <v>#N/A</v>
          </cell>
          <cell r="DE204" t="e">
            <v>#N/A</v>
          </cell>
          <cell r="DF204" t="e">
            <v>#N/A</v>
          </cell>
          <cell r="DG204" t="e">
            <v>#N/A</v>
          </cell>
          <cell r="DH204" t="e">
            <v>#N/A</v>
          </cell>
          <cell r="DI204" t="e">
            <v>#N/A</v>
          </cell>
          <cell r="DJ204" t="e">
            <v>#N/A</v>
          </cell>
          <cell r="DK204" t="e">
            <v>#N/A</v>
          </cell>
          <cell r="DL204" t="e">
            <v>#N/A</v>
          </cell>
          <cell r="DM204" t="e">
            <v>#N/A</v>
          </cell>
          <cell r="DN204" t="e">
            <v>#N/A</v>
          </cell>
          <cell r="DO204" t="e">
            <v>#N/A</v>
          </cell>
          <cell r="DP204" t="e">
            <v>#N/A</v>
          </cell>
          <cell r="DQ204" t="e">
            <v>#N/A</v>
          </cell>
          <cell r="DR204" t="e">
            <v>#N/A</v>
          </cell>
          <cell r="DS204" t="e">
            <v>#N/A</v>
          </cell>
          <cell r="DT204" t="e">
            <v>#N/A</v>
          </cell>
          <cell r="DU204" t="e">
            <v>#N/A</v>
          </cell>
          <cell r="DV204" t="e">
            <v>#N/A</v>
          </cell>
          <cell r="DW204" t="e">
            <v>#N/A</v>
          </cell>
          <cell r="DX204" t="e">
            <v>#N/A</v>
          </cell>
          <cell r="DY204" t="e">
            <v>#N/A</v>
          </cell>
          <cell r="DZ204" t="e">
            <v>#N/A</v>
          </cell>
          <cell r="EA204" t="e">
            <v>#N/A</v>
          </cell>
          <cell r="EB204" t="e">
            <v>#N/A</v>
          </cell>
          <cell r="EC204" t="e">
            <v>#N/A</v>
          </cell>
          <cell r="ED204" t="e">
            <v>#N/A</v>
          </cell>
          <cell r="EE204">
            <v>0</v>
          </cell>
        </row>
        <row r="206">
          <cell r="A206" t="str">
            <v>Coal Fuel Burn Expense</v>
          </cell>
        </row>
        <row r="207">
          <cell r="F207">
            <v>-3476.2811424629763</v>
          </cell>
          <cell r="G207">
            <v>-1799.0229588490911</v>
          </cell>
          <cell r="H207">
            <v>-901.88486063666642</v>
          </cell>
          <cell r="I207">
            <v>-419.36614114698023</v>
          </cell>
          <cell r="J207">
            <v>-207.20649887435138</v>
          </cell>
          <cell r="K207">
            <v>-105.04791626147926</v>
          </cell>
          <cell r="L207">
            <v>-1073.3874508403242</v>
          </cell>
          <cell r="M207">
            <v>-495.31433993810788</v>
          </cell>
          <cell r="N207">
            <v>-259.00812359200791</v>
          </cell>
          <cell r="O207">
            <v>-622.85778247192502</v>
          </cell>
          <cell r="P207">
            <v>-1665.4944680407643</v>
          </cell>
          <cell r="Q207">
            <v>-1907.5793516854756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8">
          <cell r="F208">
            <v>0</v>
          </cell>
          <cell r="G208">
            <v>0</v>
          </cell>
          <cell r="H208">
            <v>-56.328388718422502</v>
          </cell>
          <cell r="I208">
            <v>-57.188541579758748</v>
          </cell>
          <cell r="J208">
            <v>-168.22962648048997</v>
          </cell>
          <cell r="K208">
            <v>-57.025809957413003</v>
          </cell>
          <cell r="L208">
            <v>0</v>
          </cell>
          <cell r="M208">
            <v>0</v>
          </cell>
          <cell r="N208">
            <v>0</v>
          </cell>
          <cell r="O208">
            <v>-56.154033408965915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</row>
        <row r="209">
          <cell r="F209">
            <v>-912.77175926603377</v>
          </cell>
          <cell r="G209">
            <v>-303.86709490697831</v>
          </cell>
          <cell r="H209">
            <v>0</v>
          </cell>
          <cell r="I209">
            <v>0</v>
          </cell>
          <cell r="J209">
            <v>-199.43695926759392</v>
          </cell>
          <cell r="K209">
            <v>0</v>
          </cell>
          <cell r="L209">
            <v>-178.74534994550049</v>
          </cell>
          <cell r="M209">
            <v>-112.08781655877829</v>
          </cell>
          <cell r="N209">
            <v>0</v>
          </cell>
          <cell r="O209">
            <v>-152.3600763133727</v>
          </cell>
          <cell r="P209">
            <v>-433.96831632126123</v>
          </cell>
          <cell r="Q209">
            <v>-1017.1622178019024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</row>
        <row r="210">
          <cell r="F210">
            <v>0</v>
          </cell>
          <cell r="G210">
            <v>0</v>
          </cell>
          <cell r="H210">
            <v>-358.81024959590286</v>
          </cell>
          <cell r="I210">
            <v>-443.54072710685432</v>
          </cell>
          <cell r="J210">
            <v>-939.2729679485783</v>
          </cell>
          <cell r="K210">
            <v>-471.26138182077557</v>
          </cell>
          <cell r="L210">
            <v>0</v>
          </cell>
          <cell r="M210">
            <v>0</v>
          </cell>
          <cell r="N210">
            <v>-63.560672786086798</v>
          </cell>
          <cell r="O210">
            <v>-55.461812866851687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</row>
        <row r="211">
          <cell r="F211">
            <v>-1150.3601856083842</v>
          </cell>
          <cell r="G211">
            <v>-386.94133359612897</v>
          </cell>
          <cell r="H211">
            <v>-173.26846900378587</v>
          </cell>
          <cell r="I211">
            <v>-111.91446025087498</v>
          </cell>
          <cell r="J211">
            <v>-113.25541135575622</v>
          </cell>
          <cell r="K211">
            <v>0</v>
          </cell>
          <cell r="L211">
            <v>-440.13972169405315</v>
          </cell>
          <cell r="M211">
            <v>-17.542278389330022</v>
          </cell>
          <cell r="N211">
            <v>-204.83577698236331</v>
          </cell>
          <cell r="O211">
            <v>-135.19425074500032</v>
          </cell>
          <cell r="P211">
            <v>-258.16606191068422</v>
          </cell>
          <cell r="Q211">
            <v>-796.92064683139324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</row>
        <row r="212">
          <cell r="F212">
            <v>-25567.192763062194</v>
          </cell>
          <cell r="G212">
            <v>-19499.232054330409</v>
          </cell>
          <cell r="H212">
            <v>-14414.340595466085</v>
          </cell>
          <cell r="I212">
            <v>-6304.5473031010479</v>
          </cell>
          <cell r="J212">
            <v>-8138.5618134541437</v>
          </cell>
          <cell r="K212">
            <v>-8130.4030676847324</v>
          </cell>
          <cell r="L212">
            <v>-16020.267914654687</v>
          </cell>
          <cell r="M212">
            <v>-14166.750765677541</v>
          </cell>
          <cell r="N212">
            <v>-17566.682378502563</v>
          </cell>
          <cell r="O212">
            <v>-9294.8383403643966</v>
          </cell>
          <cell r="P212">
            <v>-11058.098299741745</v>
          </cell>
          <cell r="Q212">
            <v>-21047.009147951379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-130.17070212587714</v>
          </cell>
          <cell r="G213">
            <v>-914.84456073865294</v>
          </cell>
          <cell r="H213">
            <v>-2034.677563611418</v>
          </cell>
          <cell r="I213">
            <v>-3033.2206692658365</v>
          </cell>
          <cell r="J213">
            <v>-4467.653144756332</v>
          </cell>
          <cell r="K213">
            <v>-7021.1886939462274</v>
          </cell>
          <cell r="L213">
            <v>-1248.9088112413883</v>
          </cell>
          <cell r="M213">
            <v>-177.25113364309072</v>
          </cell>
          <cell r="N213">
            <v>-490.75571250170469</v>
          </cell>
          <cell r="O213">
            <v>-3106.0919314865023</v>
          </cell>
          <cell r="P213">
            <v>-2808.2808298002928</v>
          </cell>
          <cell r="Q213">
            <v>-1691.1242338865995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-9736.2466867789626</v>
          </cell>
          <cell r="G214">
            <v>-11090.526627678424</v>
          </cell>
          <cell r="H214">
            <v>-22821.301042348146</v>
          </cell>
          <cell r="I214">
            <v>-9089.1687545701861</v>
          </cell>
          <cell r="J214">
            <v>-5505.3790254704654</v>
          </cell>
          <cell r="K214">
            <v>-10362.865514261648</v>
          </cell>
          <cell r="L214">
            <v>-16440.911486171186</v>
          </cell>
          <cell r="M214">
            <v>-22074.371399980038</v>
          </cell>
          <cell r="N214">
            <v>-19876.819171983749</v>
          </cell>
          <cell r="O214">
            <v>-15185.104694005102</v>
          </cell>
          <cell r="P214">
            <v>-17490.65467691794</v>
          </cell>
          <cell r="Q214">
            <v>-19273.541895821691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0</v>
          </cell>
          <cell r="G215">
            <v>-464.55536146834493</v>
          </cell>
          <cell r="H215">
            <v>-504.8100983183831</v>
          </cell>
          <cell r="I215">
            <v>-980.57847840897739</v>
          </cell>
          <cell r="J215">
            <v>-1209.8847092082724</v>
          </cell>
          <cell r="K215">
            <v>-1227.9376691877842</v>
          </cell>
          <cell r="L215">
            <v>-109.43906174041331</v>
          </cell>
          <cell r="M215">
            <v>-56.850004408508539</v>
          </cell>
          <cell r="N215">
            <v>-64.811247630044818</v>
          </cell>
          <cell r="O215">
            <v>-656.97076100576669</v>
          </cell>
          <cell r="P215">
            <v>-119.19438794162124</v>
          </cell>
          <cell r="Q215">
            <v>-288.17457856051624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8">
          <cell r="A218" t="str">
            <v>Total Coal Fuel Burn Expense</v>
          </cell>
          <cell r="F218">
            <v>-40973.023239299655</v>
          </cell>
          <cell r="G218">
            <v>-34458.989991568029</v>
          </cell>
          <cell r="H218">
            <v>-41265.421267695725</v>
          </cell>
          <cell r="I218">
            <v>-20439.525075435638</v>
          </cell>
          <cell r="J218">
            <v>-20948.880156822503</v>
          </cell>
          <cell r="K218">
            <v>-27375.730053119361</v>
          </cell>
          <cell r="L218">
            <v>-35511.799796275795</v>
          </cell>
          <cell r="M218">
            <v>-37100.167738579214</v>
          </cell>
          <cell r="N218">
            <v>-38526.473083980381</v>
          </cell>
          <cell r="O218">
            <v>-29265.03368267417</v>
          </cell>
          <cell r="P218">
            <v>-33833.857040673494</v>
          </cell>
          <cell r="Q218">
            <v>-46021.512072533369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20">
          <cell r="A220" t="str">
            <v>Gas Fuel Burn Expense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-795.26739999977872</v>
          </cell>
          <cell r="J221">
            <v>0</v>
          </cell>
          <cell r="K221">
            <v>0</v>
          </cell>
          <cell r="L221">
            <v>-569.28519417904317</v>
          </cell>
          <cell r="M221">
            <v>-1292.6601508874446</v>
          </cell>
          <cell r="N221">
            <v>-2685.1781973866746</v>
          </cell>
          <cell r="O221">
            <v>-3789.5028999997303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</row>
        <row r="223">
          <cell r="F223">
            <v>-4578.9667098699138</v>
          </cell>
          <cell r="G223">
            <v>-3371.280998817645</v>
          </cell>
          <cell r="H223">
            <v>-1835.8119369801134</v>
          </cell>
          <cell r="I223">
            <v>0</v>
          </cell>
          <cell r="J223">
            <v>-1337.8016715822741</v>
          </cell>
          <cell r="K223">
            <v>-2667.4002725593746</v>
          </cell>
          <cell r="L223">
            <v>-1134.6392951523885</v>
          </cell>
          <cell r="M223">
            <v>-766.0962796388194</v>
          </cell>
          <cell r="N223">
            <v>-556.5368563272059</v>
          </cell>
          <cell r="O223">
            <v>-4991.5758583433926</v>
          </cell>
          <cell r="P223">
            <v>0</v>
          </cell>
          <cell r="Q223">
            <v>-5294.2423773482442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F224">
            <v>-0.39149039785115747</v>
          </cell>
          <cell r="G224">
            <v>1.5407841083069798</v>
          </cell>
          <cell r="H224">
            <v>11.124772711948026</v>
          </cell>
          <cell r="I224">
            <v>3.7740985834680032</v>
          </cell>
          <cell r="J224">
            <v>10.997907488781493</v>
          </cell>
          <cell r="K224">
            <v>10.573643258132506</v>
          </cell>
          <cell r="L224">
            <v>8.7789201496634632</v>
          </cell>
          <cell r="M224">
            <v>11.114336675731465</v>
          </cell>
          <cell r="N224">
            <v>16.589708282845095</v>
          </cell>
          <cell r="O224">
            <v>8.9824338578910101</v>
          </cell>
          <cell r="P224">
            <v>12.191774953855202</v>
          </cell>
          <cell r="Q224">
            <v>0.47052131417149212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</row>
        <row r="225">
          <cell r="F225">
            <v>1594.8850887729786</v>
          </cell>
          <cell r="G225">
            <v>-9.2353464908082969</v>
          </cell>
          <cell r="H225">
            <v>-3.5281719838967547</v>
          </cell>
          <cell r="I225">
            <v>-33.462563702836633</v>
          </cell>
          <cell r="J225">
            <v>-492.86893465509638</v>
          </cell>
          <cell r="K225">
            <v>-2.8943719890667126</v>
          </cell>
          <cell r="L225">
            <v>-338.15414532122668</v>
          </cell>
          <cell r="M225">
            <v>-1057.257640906726</v>
          </cell>
          <cell r="N225">
            <v>-233.39735607628245</v>
          </cell>
          <cell r="O225">
            <v>-3.9116975440410897</v>
          </cell>
          <cell r="P225">
            <v>-87.066217772138771</v>
          </cell>
          <cell r="Q225">
            <v>4.880833295697812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</row>
        <row r="226">
          <cell r="F226">
            <v>-211.4906000001356</v>
          </cell>
          <cell r="G226">
            <v>-853.95619999989867</v>
          </cell>
          <cell r="H226">
            <v>-384.2386000007391</v>
          </cell>
          <cell r="I226">
            <v>0</v>
          </cell>
          <cell r="J226">
            <v>0</v>
          </cell>
          <cell r="K226">
            <v>0</v>
          </cell>
          <cell r="L226">
            <v>-3.9949058212805539</v>
          </cell>
          <cell r="M226">
            <v>-7.2304491121321917</v>
          </cell>
          <cell r="N226">
            <v>-15.254602613393217</v>
          </cell>
          <cell r="O226">
            <v>0</v>
          </cell>
          <cell r="P226">
            <v>-226.88980000000447</v>
          </cell>
          <cell r="Q226">
            <v>-844.2754000001587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-6619.0766309965402</v>
          </cell>
          <cell r="G227">
            <v>-3967.4305526562966</v>
          </cell>
          <cell r="H227">
            <v>-195.89439856354147</v>
          </cell>
          <cell r="I227">
            <v>-569.10002862755209</v>
          </cell>
          <cell r="J227">
            <v>-1897.3673827419989</v>
          </cell>
          <cell r="K227">
            <v>-2332.1713697118685</v>
          </cell>
          <cell r="L227">
            <v>-473.61502933502197</v>
          </cell>
          <cell r="M227">
            <v>-601.49236987624317</v>
          </cell>
          <cell r="N227">
            <v>-331.79957132786512</v>
          </cell>
          <cell r="O227">
            <v>-2472.8016140097752</v>
          </cell>
          <cell r="P227">
            <v>-3098.705235812813</v>
          </cell>
          <cell r="Q227">
            <v>-3161.0540606603026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</row>
        <row r="228">
          <cell r="F228">
            <v>-1449.4131375085562</v>
          </cell>
          <cell r="G228">
            <v>-899.69504614360631</v>
          </cell>
          <cell r="H228">
            <v>-2444.6714451825246</v>
          </cell>
          <cell r="I228">
            <v>-1219.2326662535779</v>
          </cell>
          <cell r="J228">
            <v>-1275.678728508763</v>
          </cell>
          <cell r="K228">
            <v>-2819.6725089969113</v>
          </cell>
          <cell r="L228">
            <v>-1576.1314403424039</v>
          </cell>
          <cell r="M228">
            <v>-2149.9111762540415</v>
          </cell>
          <cell r="N228">
            <v>-4843.8575445516035</v>
          </cell>
          <cell r="O228">
            <v>-3181.5148339606822</v>
          </cell>
          <cell r="P228">
            <v>-3938.4364013681188</v>
          </cell>
          <cell r="Q228">
            <v>4482.2557433992624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</row>
        <row r="230">
          <cell r="F230">
            <v>-11264.453480001539</v>
          </cell>
          <cell r="G230">
            <v>-9100.0573600009084</v>
          </cell>
          <cell r="H230">
            <v>-4853.0197799988091</v>
          </cell>
          <cell r="I230">
            <v>-2613.2885600011796</v>
          </cell>
          <cell r="J230">
            <v>-4992.7188099976629</v>
          </cell>
          <cell r="K230">
            <v>-7811.5648799985647</v>
          </cell>
          <cell r="L230">
            <v>-4087.0410900004208</v>
          </cell>
          <cell r="M230">
            <v>-5863.5337300002575</v>
          </cell>
          <cell r="N230">
            <v>-8649.4344199970365</v>
          </cell>
          <cell r="O230">
            <v>-14430.324469998479</v>
          </cell>
          <cell r="P230">
            <v>-7338.9058799985796</v>
          </cell>
          <cell r="Q230">
            <v>-4811.9647400006652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6">
          <cell r="A236" t="str">
            <v>Total Gas Fuel Burn Expense</v>
          </cell>
          <cell r="F236">
            <v>-11264.453479997814</v>
          </cell>
          <cell r="G236">
            <v>-9100.0573600009084</v>
          </cell>
          <cell r="H236">
            <v>-4853.0197799950838</v>
          </cell>
          <cell r="I236">
            <v>-2613.2885600011796</v>
          </cell>
          <cell r="J236">
            <v>-4992.7188099976629</v>
          </cell>
          <cell r="K236">
            <v>-7811.5648799985647</v>
          </cell>
          <cell r="L236">
            <v>-4087.0410900041461</v>
          </cell>
          <cell r="M236">
            <v>-5863.5337300002575</v>
          </cell>
          <cell r="N236">
            <v>-8649.4344199970365</v>
          </cell>
          <cell r="O236">
            <v>-14430.324469998479</v>
          </cell>
          <cell r="P236">
            <v>-7338.9058799985796</v>
          </cell>
          <cell r="Q236">
            <v>-4811.9647400006652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8">
          <cell r="A238" t="str">
            <v>Other Generation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3">
          <cell r="A243" t="str">
            <v>Total Other Generation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</row>
        <row r="245">
          <cell r="A245" t="str">
            <v>IRP Resources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70">
          <cell r="A270" t="str">
            <v>Total IRP Resources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2">
          <cell r="A272" t="str">
            <v>Growth Station Resources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-70.200659999999971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1">
          <cell r="A281" t="str">
            <v>Total Growth Station Resources</v>
          </cell>
          <cell r="F281">
            <v>0</v>
          </cell>
          <cell r="G281">
            <v>0</v>
          </cell>
          <cell r="H281">
            <v>0</v>
          </cell>
          <cell r="I281">
            <v>-70.200659999987693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 t="str">
            <v>=</v>
          </cell>
          <cell r="G282" t="str">
            <v>=</v>
          </cell>
          <cell r="H282" t="str">
            <v>=</v>
          </cell>
          <cell r="I282" t="str">
            <v>=</v>
          </cell>
          <cell r="J282" t="str">
            <v>=</v>
          </cell>
          <cell r="K282" t="str">
            <v>=</v>
          </cell>
          <cell r="L282" t="str">
            <v>=</v>
          </cell>
          <cell r="M282" t="str">
            <v>=</v>
          </cell>
          <cell r="N282" t="str">
            <v>=</v>
          </cell>
          <cell r="O282" t="str">
            <v>=</v>
          </cell>
          <cell r="P282" t="str">
            <v>=</v>
          </cell>
          <cell r="Q282" t="str">
            <v>=</v>
          </cell>
          <cell r="R282" t="str">
            <v>=</v>
          </cell>
          <cell r="S282" t="str">
            <v>=</v>
          </cell>
          <cell r="T282" t="str">
            <v>=</v>
          </cell>
          <cell r="U282" t="str">
            <v>=</v>
          </cell>
          <cell r="V282" t="str">
            <v>=</v>
          </cell>
          <cell r="W282" t="str">
            <v>=</v>
          </cell>
          <cell r="X282" t="str">
            <v>=</v>
          </cell>
          <cell r="Y282" t="str">
            <v>=</v>
          </cell>
          <cell r="Z282" t="str">
            <v>=</v>
          </cell>
          <cell r="AA282" t="str">
            <v>=</v>
          </cell>
          <cell r="AB282" t="str">
            <v>=</v>
          </cell>
          <cell r="AC282" t="str">
            <v>=</v>
          </cell>
          <cell r="AD282" t="str">
            <v>=</v>
          </cell>
          <cell r="AE282" t="str">
            <v>=</v>
          </cell>
          <cell r="AF282" t="str">
            <v>=</v>
          </cell>
          <cell r="AG282" t="str">
            <v>=</v>
          </cell>
          <cell r="AH282" t="str">
            <v>=</v>
          </cell>
          <cell r="AI282" t="str">
            <v>=</v>
          </cell>
          <cell r="AJ282" t="str">
            <v>=</v>
          </cell>
          <cell r="AK282" t="str">
            <v>=</v>
          </cell>
          <cell r="AL282" t="str">
            <v>=</v>
          </cell>
          <cell r="AM282" t="str">
            <v>=</v>
          </cell>
          <cell r="AN282" t="str">
            <v>=</v>
          </cell>
          <cell r="AO282" t="str">
            <v>=</v>
          </cell>
          <cell r="AP282" t="str">
            <v>=</v>
          </cell>
          <cell r="AQ282" t="str">
            <v>=</v>
          </cell>
          <cell r="AR282" t="str">
            <v>=</v>
          </cell>
          <cell r="AS282" t="str">
            <v>=</v>
          </cell>
          <cell r="AT282" t="str">
            <v>=</v>
          </cell>
          <cell r="AU282" t="str">
            <v>=</v>
          </cell>
          <cell r="AV282" t="str">
            <v>=</v>
          </cell>
          <cell r="AW282" t="str">
            <v>=</v>
          </cell>
          <cell r="AX282" t="str">
            <v>=</v>
          </cell>
          <cell r="AY282" t="str">
            <v>=</v>
          </cell>
          <cell r="AZ282" t="str">
            <v>=</v>
          </cell>
          <cell r="BA282" t="str">
            <v>=</v>
          </cell>
          <cell r="BB282" t="str">
            <v>=</v>
          </cell>
          <cell r="BC282" t="str">
            <v>=</v>
          </cell>
          <cell r="BD282" t="str">
            <v>=</v>
          </cell>
          <cell r="BE282" t="str">
            <v>=</v>
          </cell>
          <cell r="BF282" t="str">
            <v>=</v>
          </cell>
          <cell r="BG282" t="str">
            <v>=</v>
          </cell>
          <cell r="BH282" t="str">
            <v>=</v>
          </cell>
          <cell r="BI282" t="str">
            <v>=</v>
          </cell>
          <cell r="BJ282" t="str">
            <v>=</v>
          </cell>
          <cell r="BK282" t="str">
            <v>=</v>
          </cell>
          <cell r="BL282" t="str">
            <v>=</v>
          </cell>
          <cell r="BM282" t="str">
            <v>=</v>
          </cell>
          <cell r="BN282" t="str">
            <v>=</v>
          </cell>
          <cell r="BO282" t="str">
            <v>=</v>
          </cell>
          <cell r="BP282" t="str">
            <v>=</v>
          </cell>
          <cell r="BQ282" t="str">
            <v>=</v>
          </cell>
          <cell r="BR282" t="str">
            <v>=</v>
          </cell>
          <cell r="BS282" t="str">
            <v>=</v>
          </cell>
          <cell r="BT282" t="str">
            <v>=</v>
          </cell>
          <cell r="BU282" t="str">
            <v>=</v>
          </cell>
          <cell r="BV282" t="str">
            <v>=</v>
          </cell>
          <cell r="BW282" t="str">
            <v>=</v>
          </cell>
          <cell r="BX282" t="str">
            <v>=</v>
          </cell>
          <cell r="BY282" t="str">
            <v>=</v>
          </cell>
          <cell r="BZ282" t="str">
            <v>=</v>
          </cell>
          <cell r="CA282" t="str">
            <v>=</v>
          </cell>
          <cell r="CB282" t="str">
            <v>=</v>
          </cell>
          <cell r="CC282" t="str">
            <v>=</v>
          </cell>
          <cell r="CD282" t="str">
            <v>=</v>
          </cell>
          <cell r="CE282" t="str">
            <v>=</v>
          </cell>
          <cell r="CF282" t="str">
            <v>=</v>
          </cell>
          <cell r="CG282" t="str">
            <v>=</v>
          </cell>
          <cell r="CH282" t="str">
            <v>=</v>
          </cell>
          <cell r="CI282" t="str">
            <v>=</v>
          </cell>
          <cell r="CJ282" t="str">
            <v>=</v>
          </cell>
          <cell r="CK282" t="str">
            <v>=</v>
          </cell>
          <cell r="CL282" t="str">
            <v>=</v>
          </cell>
          <cell r="CM282" t="str">
            <v>=</v>
          </cell>
          <cell r="CN282" t="str">
            <v>=</v>
          </cell>
          <cell r="CO282" t="str">
            <v>=</v>
          </cell>
          <cell r="CP282" t="str">
            <v>=</v>
          </cell>
          <cell r="CQ282" t="str">
            <v>=</v>
          </cell>
          <cell r="CR282" t="str">
            <v>=</v>
          </cell>
          <cell r="CS282" t="str">
            <v>=</v>
          </cell>
          <cell r="CT282" t="str">
            <v>=</v>
          </cell>
          <cell r="CU282" t="str">
            <v>=</v>
          </cell>
          <cell r="CV282" t="str">
            <v>=</v>
          </cell>
          <cell r="CW282" t="str">
            <v>=</v>
          </cell>
          <cell r="CX282" t="str">
            <v>=</v>
          </cell>
          <cell r="CY282" t="str">
            <v>=</v>
          </cell>
          <cell r="CZ282" t="str">
            <v>=</v>
          </cell>
          <cell r="DA282" t="str">
            <v>=</v>
          </cell>
          <cell r="DB282" t="str">
            <v>=</v>
          </cell>
          <cell r="DC282" t="str">
            <v>=</v>
          </cell>
          <cell r="DD282" t="str">
            <v>=</v>
          </cell>
          <cell r="DE282" t="str">
            <v>=</v>
          </cell>
          <cell r="DF282" t="str">
            <v>=</v>
          </cell>
          <cell r="DG282" t="str">
            <v>=</v>
          </cell>
          <cell r="DH282" t="str">
            <v>=</v>
          </cell>
          <cell r="DI282" t="str">
            <v>=</v>
          </cell>
          <cell r="DJ282" t="str">
            <v>=</v>
          </cell>
          <cell r="DK282" t="str">
            <v>=</v>
          </cell>
          <cell r="DL282" t="str">
            <v>=</v>
          </cell>
          <cell r="DM282" t="str">
            <v>=</v>
          </cell>
          <cell r="DN282" t="str">
            <v>=</v>
          </cell>
          <cell r="DO282" t="str">
            <v>=</v>
          </cell>
          <cell r="DP282" t="str">
            <v>=</v>
          </cell>
          <cell r="DQ282" t="str">
            <v>=</v>
          </cell>
          <cell r="DR282" t="str">
            <v>=</v>
          </cell>
          <cell r="DS282" t="str">
            <v>=</v>
          </cell>
          <cell r="DT282" t="str">
            <v>=</v>
          </cell>
          <cell r="DU282" t="str">
            <v>=</v>
          </cell>
          <cell r="DV282" t="str">
            <v>=</v>
          </cell>
          <cell r="DW282" t="str">
            <v>=</v>
          </cell>
          <cell r="DX282" t="str">
            <v>=</v>
          </cell>
          <cell r="DY282" t="str">
            <v>=</v>
          </cell>
          <cell r="DZ282" t="str">
            <v>=</v>
          </cell>
          <cell r="EA282" t="str">
            <v>=</v>
          </cell>
          <cell r="EB282" t="str">
            <v>=</v>
          </cell>
          <cell r="EC282" t="str">
            <v>=</v>
          </cell>
          <cell r="ED282" t="str">
            <v>=</v>
          </cell>
        </row>
        <row r="283">
          <cell r="A283" t="str">
            <v>Net Power Cost</v>
          </cell>
          <cell r="F283">
            <v>-75793.645719319582</v>
          </cell>
          <cell r="G283">
            <v>-75676.644351571798</v>
          </cell>
          <cell r="H283">
            <v>-68001.017447680235</v>
          </cell>
          <cell r="I283">
            <v>-63612.879795446992</v>
          </cell>
          <cell r="J283">
            <v>-61748.44690681994</v>
          </cell>
          <cell r="K283">
            <v>-63317.073433145881</v>
          </cell>
          <cell r="L283">
            <v>-123819.40338626504</v>
          </cell>
          <cell r="M283">
            <v>-122991.51546859741</v>
          </cell>
          <cell r="N283">
            <v>-84635.196303963661</v>
          </cell>
          <cell r="O283">
            <v>-64263.824452698231</v>
          </cell>
          <cell r="P283">
            <v>-66748.589920654893</v>
          </cell>
          <cell r="Q283">
            <v>-68445.054812505841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 t="e">
            <v>#N/A</v>
          </cell>
          <cell r="AH283" t="e">
            <v>#N/A</v>
          </cell>
          <cell r="AI283" t="e">
            <v>#N/A</v>
          </cell>
          <cell r="AJ283" t="e">
            <v>#N/A</v>
          </cell>
          <cell r="AK283" t="e">
            <v>#N/A</v>
          </cell>
          <cell r="AL283" t="e">
            <v>#N/A</v>
          </cell>
          <cell r="AM283" t="e">
            <v>#N/A</v>
          </cell>
          <cell r="AN283" t="e">
            <v>#N/A</v>
          </cell>
          <cell r="AO283" t="e">
            <v>#N/A</v>
          </cell>
          <cell r="AP283" t="e">
            <v>#N/A</v>
          </cell>
          <cell r="AQ283" t="e">
            <v>#N/A</v>
          </cell>
          <cell r="AR283" t="e">
            <v>#N/A</v>
          </cell>
          <cell r="AS283" t="e">
            <v>#N/A</v>
          </cell>
          <cell r="AT283" t="e">
            <v>#N/A</v>
          </cell>
          <cell r="AU283" t="e">
            <v>#N/A</v>
          </cell>
          <cell r="AV283" t="e">
            <v>#N/A</v>
          </cell>
          <cell r="AW283" t="e">
            <v>#N/A</v>
          </cell>
          <cell r="AX283" t="e">
            <v>#N/A</v>
          </cell>
          <cell r="AY283" t="e">
            <v>#N/A</v>
          </cell>
          <cell r="AZ283" t="e">
            <v>#N/A</v>
          </cell>
          <cell r="BA283" t="e">
            <v>#N/A</v>
          </cell>
          <cell r="BB283" t="e">
            <v>#N/A</v>
          </cell>
          <cell r="BC283" t="e">
            <v>#N/A</v>
          </cell>
          <cell r="BD283" t="e">
            <v>#N/A</v>
          </cell>
          <cell r="BE283" t="e">
            <v>#N/A</v>
          </cell>
          <cell r="BF283" t="e">
            <v>#N/A</v>
          </cell>
          <cell r="BG283" t="e">
            <v>#N/A</v>
          </cell>
          <cell r="BH283" t="e">
            <v>#N/A</v>
          </cell>
          <cell r="BI283" t="e">
            <v>#N/A</v>
          </cell>
          <cell r="BJ283" t="e">
            <v>#N/A</v>
          </cell>
          <cell r="BK283" t="e">
            <v>#N/A</v>
          </cell>
          <cell r="BL283" t="e">
            <v>#N/A</v>
          </cell>
          <cell r="BM283" t="e">
            <v>#N/A</v>
          </cell>
          <cell r="BN283" t="e">
            <v>#N/A</v>
          </cell>
          <cell r="BO283" t="e">
            <v>#N/A</v>
          </cell>
          <cell r="BP283" t="e">
            <v>#N/A</v>
          </cell>
          <cell r="BQ283" t="e">
            <v>#N/A</v>
          </cell>
          <cell r="BR283" t="e">
            <v>#N/A</v>
          </cell>
          <cell r="BS283" t="e">
            <v>#N/A</v>
          </cell>
          <cell r="BT283" t="e">
            <v>#N/A</v>
          </cell>
          <cell r="BU283" t="e">
            <v>#N/A</v>
          </cell>
          <cell r="BV283" t="e">
            <v>#N/A</v>
          </cell>
          <cell r="BW283" t="e">
            <v>#N/A</v>
          </cell>
          <cell r="BX283" t="e">
            <v>#N/A</v>
          </cell>
          <cell r="BY283" t="e">
            <v>#N/A</v>
          </cell>
          <cell r="BZ283" t="e">
            <v>#N/A</v>
          </cell>
          <cell r="CA283" t="e">
            <v>#N/A</v>
          </cell>
          <cell r="CB283" t="e">
            <v>#N/A</v>
          </cell>
          <cell r="CC283" t="e">
            <v>#N/A</v>
          </cell>
          <cell r="CD283" t="e">
            <v>#N/A</v>
          </cell>
          <cell r="CE283" t="e">
            <v>#N/A</v>
          </cell>
          <cell r="CF283" t="e">
            <v>#N/A</v>
          </cell>
          <cell r="CG283" t="e">
            <v>#N/A</v>
          </cell>
          <cell r="CH283" t="e">
            <v>#N/A</v>
          </cell>
          <cell r="CI283" t="e">
            <v>#N/A</v>
          </cell>
          <cell r="CJ283" t="e">
            <v>#N/A</v>
          </cell>
          <cell r="CK283" t="e">
            <v>#N/A</v>
          </cell>
          <cell r="CL283" t="e">
            <v>#N/A</v>
          </cell>
          <cell r="CM283" t="e">
            <v>#N/A</v>
          </cell>
          <cell r="CN283" t="e">
            <v>#N/A</v>
          </cell>
          <cell r="CO283" t="e">
            <v>#N/A</v>
          </cell>
          <cell r="CP283" t="e">
            <v>#N/A</v>
          </cell>
          <cell r="CQ283" t="e">
            <v>#N/A</v>
          </cell>
          <cell r="CR283" t="e">
            <v>#N/A</v>
          </cell>
          <cell r="CS283" t="e">
            <v>#N/A</v>
          </cell>
          <cell r="CT283" t="e">
            <v>#N/A</v>
          </cell>
          <cell r="CU283" t="e">
            <v>#N/A</v>
          </cell>
          <cell r="CV283" t="e">
            <v>#N/A</v>
          </cell>
          <cell r="CW283" t="e">
            <v>#N/A</v>
          </cell>
          <cell r="CX283" t="e">
            <v>#N/A</v>
          </cell>
          <cell r="CY283" t="e">
            <v>#N/A</v>
          </cell>
          <cell r="CZ283" t="e">
            <v>#N/A</v>
          </cell>
          <cell r="DA283" t="e">
            <v>#N/A</v>
          </cell>
          <cell r="DB283" t="e">
            <v>#N/A</v>
          </cell>
          <cell r="DC283" t="e">
            <v>#N/A</v>
          </cell>
          <cell r="DD283" t="e">
            <v>#N/A</v>
          </cell>
          <cell r="DE283" t="e">
            <v>#N/A</v>
          </cell>
          <cell r="DF283" t="e">
            <v>#N/A</v>
          </cell>
          <cell r="DG283" t="e">
            <v>#N/A</v>
          </cell>
          <cell r="DH283" t="e">
            <v>#N/A</v>
          </cell>
          <cell r="DI283" t="e">
            <v>#N/A</v>
          </cell>
          <cell r="DJ283" t="e">
            <v>#N/A</v>
          </cell>
          <cell r="DK283" t="e">
            <v>#N/A</v>
          </cell>
          <cell r="DL283" t="e">
            <v>#N/A</v>
          </cell>
          <cell r="DM283" t="e">
            <v>#N/A</v>
          </cell>
          <cell r="DN283" t="e">
            <v>#N/A</v>
          </cell>
          <cell r="DO283" t="e">
            <v>#N/A</v>
          </cell>
          <cell r="DP283" t="e">
            <v>#N/A</v>
          </cell>
          <cell r="DQ283" t="e">
            <v>#N/A</v>
          </cell>
          <cell r="DR283" t="e">
            <v>#N/A</v>
          </cell>
          <cell r="DS283" t="e">
            <v>#N/A</v>
          </cell>
          <cell r="DT283" t="e">
            <v>#N/A</v>
          </cell>
          <cell r="DU283" t="e">
            <v>#N/A</v>
          </cell>
          <cell r="DV283" t="e">
            <v>#N/A</v>
          </cell>
          <cell r="DW283" t="e">
            <v>#N/A</v>
          </cell>
          <cell r="DX283" t="e">
            <v>#N/A</v>
          </cell>
          <cell r="DY283" t="e">
            <v>#N/A</v>
          </cell>
          <cell r="DZ283" t="e">
            <v>#N/A</v>
          </cell>
          <cell r="EA283" t="e">
            <v>#N/A</v>
          </cell>
          <cell r="EB283" t="e">
            <v>#N/A</v>
          </cell>
          <cell r="EC283" t="e">
            <v>#N/A</v>
          </cell>
          <cell r="ED283" t="e">
            <v>#N/A</v>
          </cell>
        </row>
        <row r="284">
          <cell r="F284" t="str">
            <v>=</v>
          </cell>
          <cell r="G284" t="str">
            <v>=</v>
          </cell>
          <cell r="H284" t="str">
            <v>=</v>
          </cell>
          <cell r="I284" t="str">
            <v>=</v>
          </cell>
          <cell r="J284" t="str">
            <v>=</v>
          </cell>
          <cell r="K284" t="str">
            <v>=</v>
          </cell>
          <cell r="L284" t="str">
            <v>=</v>
          </cell>
          <cell r="M284" t="str">
            <v>=</v>
          </cell>
          <cell r="N284" t="str">
            <v>=</v>
          </cell>
          <cell r="O284" t="str">
            <v>=</v>
          </cell>
          <cell r="P284" t="str">
            <v>=</v>
          </cell>
          <cell r="Q284" t="str">
            <v>=</v>
          </cell>
          <cell r="R284" t="str">
            <v>=</v>
          </cell>
          <cell r="S284" t="str">
            <v>=</v>
          </cell>
          <cell r="T284" t="str">
            <v>=</v>
          </cell>
          <cell r="U284" t="str">
            <v>=</v>
          </cell>
          <cell r="V284" t="str">
            <v>=</v>
          </cell>
          <cell r="W284" t="str">
            <v>=</v>
          </cell>
          <cell r="X284" t="str">
            <v>=</v>
          </cell>
          <cell r="Y284" t="str">
            <v>=</v>
          </cell>
          <cell r="Z284" t="str">
            <v>=</v>
          </cell>
          <cell r="AA284" t="str">
            <v>=</v>
          </cell>
          <cell r="AB284" t="str">
            <v>=</v>
          </cell>
          <cell r="AC284" t="str">
            <v>=</v>
          </cell>
          <cell r="AD284" t="str">
            <v>=</v>
          </cell>
          <cell r="AE284" t="str">
            <v>=</v>
          </cell>
          <cell r="AF284" t="str">
            <v>=</v>
          </cell>
          <cell r="AG284" t="str">
            <v>=</v>
          </cell>
          <cell r="AH284" t="str">
            <v>=</v>
          </cell>
          <cell r="AI284" t="str">
            <v>=</v>
          </cell>
          <cell r="AJ284" t="str">
            <v>=</v>
          </cell>
          <cell r="AK284" t="str">
            <v>=</v>
          </cell>
          <cell r="AL284" t="str">
            <v>=</v>
          </cell>
          <cell r="AM284" t="str">
            <v>=</v>
          </cell>
          <cell r="AN284" t="str">
            <v>=</v>
          </cell>
          <cell r="AO284" t="str">
            <v>=</v>
          </cell>
          <cell r="AP284" t="str">
            <v>=</v>
          </cell>
          <cell r="AQ284" t="str">
            <v>=</v>
          </cell>
          <cell r="AR284" t="str">
            <v>=</v>
          </cell>
          <cell r="AS284" t="str">
            <v>=</v>
          </cell>
          <cell r="AT284" t="str">
            <v>=</v>
          </cell>
          <cell r="AU284" t="str">
            <v>=</v>
          </cell>
          <cell r="AV284" t="str">
            <v>=</v>
          </cell>
          <cell r="AW284" t="str">
            <v>=</v>
          </cell>
          <cell r="AX284" t="str">
            <v>=</v>
          </cell>
          <cell r="AY284" t="str">
            <v>=</v>
          </cell>
          <cell r="AZ284" t="str">
            <v>=</v>
          </cell>
          <cell r="BA284" t="str">
            <v>=</v>
          </cell>
          <cell r="BB284" t="str">
            <v>=</v>
          </cell>
          <cell r="BC284" t="str">
            <v>=</v>
          </cell>
          <cell r="BD284" t="str">
            <v>=</v>
          </cell>
          <cell r="BE284" t="str">
            <v>=</v>
          </cell>
          <cell r="BF284" t="str">
            <v>=</v>
          </cell>
          <cell r="BG284" t="str">
            <v>=</v>
          </cell>
          <cell r="BH284" t="str">
            <v>=</v>
          </cell>
          <cell r="BI284" t="str">
            <v>=</v>
          </cell>
          <cell r="BJ284" t="str">
            <v>=</v>
          </cell>
          <cell r="BK284" t="str">
            <v>=</v>
          </cell>
          <cell r="BL284" t="str">
            <v>=</v>
          </cell>
          <cell r="BM284" t="str">
            <v>=</v>
          </cell>
          <cell r="BN284" t="str">
            <v>=</v>
          </cell>
          <cell r="BO284" t="str">
            <v>=</v>
          </cell>
          <cell r="BP284" t="str">
            <v>=</v>
          </cell>
          <cell r="BQ284" t="str">
            <v>=</v>
          </cell>
          <cell r="BR284" t="str">
            <v>=</v>
          </cell>
          <cell r="BS284" t="str">
            <v>=</v>
          </cell>
          <cell r="BT284" t="str">
            <v>=</v>
          </cell>
          <cell r="BU284" t="str">
            <v>=</v>
          </cell>
          <cell r="BV284" t="str">
            <v>=</v>
          </cell>
          <cell r="BW284" t="str">
            <v>=</v>
          </cell>
          <cell r="BX284" t="str">
            <v>=</v>
          </cell>
          <cell r="BY284" t="str">
            <v>=</v>
          </cell>
          <cell r="BZ284" t="str">
            <v>=</v>
          </cell>
          <cell r="CA284" t="str">
            <v>=</v>
          </cell>
          <cell r="CB284" t="str">
            <v>=</v>
          </cell>
          <cell r="CC284" t="str">
            <v>=</v>
          </cell>
          <cell r="CD284" t="str">
            <v>=</v>
          </cell>
          <cell r="CE284" t="str">
            <v>=</v>
          </cell>
          <cell r="CF284" t="str">
            <v>=</v>
          </cell>
          <cell r="CG284" t="str">
            <v>=</v>
          </cell>
          <cell r="CH284" t="str">
            <v>=</v>
          </cell>
          <cell r="CI284" t="str">
            <v>=</v>
          </cell>
          <cell r="CJ284" t="str">
            <v>=</v>
          </cell>
          <cell r="CK284" t="str">
            <v>=</v>
          </cell>
          <cell r="CL284" t="str">
            <v>=</v>
          </cell>
          <cell r="CM284" t="str">
            <v>=</v>
          </cell>
          <cell r="CN284" t="str">
            <v>=</v>
          </cell>
          <cell r="CO284" t="str">
            <v>=</v>
          </cell>
          <cell r="CP284" t="str">
            <v>=</v>
          </cell>
          <cell r="CQ284" t="str">
            <v>=</v>
          </cell>
          <cell r="CR284" t="str">
            <v>=</v>
          </cell>
          <cell r="CS284" t="str">
            <v>=</v>
          </cell>
          <cell r="CT284" t="str">
            <v>=</v>
          </cell>
          <cell r="CU284" t="str">
            <v>=</v>
          </cell>
          <cell r="CV284" t="str">
            <v>=</v>
          </cell>
          <cell r="CW284" t="str">
            <v>=</v>
          </cell>
          <cell r="CX284" t="str">
            <v>=</v>
          </cell>
          <cell r="CY284" t="str">
            <v>=</v>
          </cell>
          <cell r="CZ284" t="str">
            <v>=</v>
          </cell>
          <cell r="DA284" t="str">
            <v>=</v>
          </cell>
          <cell r="DB284" t="str">
            <v>=</v>
          </cell>
          <cell r="DC284" t="str">
            <v>=</v>
          </cell>
          <cell r="DD284" t="str">
            <v>=</v>
          </cell>
          <cell r="DE284" t="str">
            <v>=</v>
          </cell>
          <cell r="DF284" t="str">
            <v>=</v>
          </cell>
          <cell r="DG284" t="str">
            <v>=</v>
          </cell>
          <cell r="DH284" t="str">
            <v>=</v>
          </cell>
          <cell r="DI284" t="str">
            <v>=</v>
          </cell>
          <cell r="DJ284" t="str">
            <v>=</v>
          </cell>
          <cell r="DK284" t="str">
            <v>=</v>
          </cell>
          <cell r="DL284" t="str">
            <v>=</v>
          </cell>
          <cell r="DM284" t="str">
            <v>=</v>
          </cell>
          <cell r="DN284" t="str">
            <v>=</v>
          </cell>
          <cell r="DO284" t="str">
            <v>=</v>
          </cell>
          <cell r="DP284" t="str">
            <v>=</v>
          </cell>
          <cell r="DQ284" t="str">
            <v>=</v>
          </cell>
          <cell r="DR284" t="str">
            <v>=</v>
          </cell>
          <cell r="DS284" t="str">
            <v>=</v>
          </cell>
          <cell r="DT284" t="str">
            <v>=</v>
          </cell>
          <cell r="DU284" t="str">
            <v>=</v>
          </cell>
          <cell r="DV284" t="str">
            <v>=</v>
          </cell>
          <cell r="DW284" t="str">
            <v>=</v>
          </cell>
          <cell r="DX284" t="str">
            <v>=</v>
          </cell>
          <cell r="DY284" t="str">
            <v>=</v>
          </cell>
          <cell r="DZ284" t="str">
            <v>=</v>
          </cell>
          <cell r="EA284" t="str">
            <v>=</v>
          </cell>
          <cell r="EB284" t="str">
            <v>=</v>
          </cell>
          <cell r="EC284" t="str">
            <v>=</v>
          </cell>
          <cell r="ED284" t="str">
            <v>=</v>
          </cell>
        </row>
        <row r="285">
          <cell r="A285" t="str">
            <v>Net Power Cost/Net System Load</v>
          </cell>
          <cell r="F285">
            <v>-1.4307003955348563E-2</v>
          </cell>
          <cell r="G285">
            <v>-1.5833446227222936E-2</v>
          </cell>
          <cell r="H285">
            <v>-1.4188774367273282E-2</v>
          </cell>
          <cell r="I285">
            <v>-1.4005824268675582E-2</v>
          </cell>
          <cell r="J285">
            <v>-1.3074927446844242E-2</v>
          </cell>
          <cell r="K285">
            <v>-1.2763321933267235E-2</v>
          </cell>
          <cell r="L285">
            <v>-2.1701850824296542E-2</v>
          </cell>
          <cell r="M285">
            <v>-2.255870741954169E-2</v>
          </cell>
          <cell r="N285">
            <v>-1.7805767845946008E-2</v>
          </cell>
          <cell r="O285">
            <v>-1.3729379165734912E-2</v>
          </cell>
          <cell r="P285">
            <v>-1.3839909787858318E-2</v>
          </cell>
          <cell r="Q285">
            <v>-1.2812036306964814E-2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19.330774142365893</v>
          </cell>
          <cell r="G286">
            <v>20.632032419347148</v>
          </cell>
          <cell r="H286">
            <v>17.343304933504783</v>
          </cell>
          <cell r="I286">
            <v>16.764937749169036</v>
          </cell>
          <cell r="J286">
            <v>15.748619418809026</v>
          </cell>
          <cell r="K286">
            <v>16.686979083160942</v>
          </cell>
          <cell r="L286">
            <v>31.579493222507455</v>
          </cell>
          <cell r="M286">
            <v>31.368344725826194</v>
          </cell>
          <cell r="N286">
            <v>22.305291035200206</v>
          </cell>
          <cell r="O286">
            <v>16.390153346365672</v>
          </cell>
          <cell r="P286">
            <v>17.591342483832726</v>
          </cell>
          <cell r="Q286">
            <v>17.456554348132521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A288" t="str">
            <v>Adjustments to Load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A297" t="str">
            <v>Net System Load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9">
          <cell r="A299" t="str">
            <v>Special Sales For Resale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East Area Sales (WCA Sale)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Hurricane Sale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LADWP (IPP Layoff)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Shell Sale 2013-2014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SMUD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UMPA II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3">
          <cell r="C313" t="str">
            <v>COB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Four Corners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Mid Columbia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Mona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Palo Verde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SP15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STF Index Trades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4">
          <cell r="C324" t="str">
            <v>COB</v>
          </cell>
          <cell r="F324">
            <v>0</v>
          </cell>
          <cell r="G324">
            <v>0</v>
          </cell>
          <cell r="H324">
            <v>10.540000000008149</v>
          </cell>
          <cell r="I324">
            <v>5.0099999999947613</v>
          </cell>
          <cell r="J324">
            <v>28.823999999993248</v>
          </cell>
          <cell r="K324">
            <v>129.59399999999732</v>
          </cell>
          <cell r="L324">
            <v>61.389999999999418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Four Corners</v>
          </cell>
          <cell r="F325">
            <v>310.97000000000116</v>
          </cell>
          <cell r="G325">
            <v>273.07000000000698</v>
          </cell>
          <cell r="H325">
            <v>147.56399999999849</v>
          </cell>
          <cell r="I325">
            <v>139.91400000000431</v>
          </cell>
          <cell r="J325">
            <v>37.584999999999127</v>
          </cell>
          <cell r="K325">
            <v>0</v>
          </cell>
          <cell r="L325">
            <v>6.3799999999901047</v>
          </cell>
          <cell r="M325">
            <v>0</v>
          </cell>
          <cell r="N325">
            <v>20.869999999995343</v>
          </cell>
          <cell r="O325">
            <v>-48.839999999996508</v>
          </cell>
          <cell r="P325">
            <v>218.08999999999651</v>
          </cell>
          <cell r="Q325">
            <v>296.38999999998487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Mid Columbia</v>
          </cell>
          <cell r="F326">
            <v>1.5659999999988941</v>
          </cell>
          <cell r="G326">
            <v>24.504000000000815</v>
          </cell>
          <cell r="H326">
            <v>56.779999999998836</v>
          </cell>
          <cell r="I326">
            <v>518.67500000000291</v>
          </cell>
          <cell r="J326">
            <v>211.61699999999837</v>
          </cell>
          <cell r="K326">
            <v>257.97699999999895</v>
          </cell>
          <cell r="L326">
            <v>297.73999999999069</v>
          </cell>
          <cell r="M326">
            <v>36.980999999999767</v>
          </cell>
          <cell r="N326">
            <v>86.639999999999418</v>
          </cell>
          <cell r="O326">
            <v>37.899999999994179</v>
          </cell>
          <cell r="P326">
            <v>26.453999999997905</v>
          </cell>
          <cell r="Q326">
            <v>5.2699999999895226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Mona</v>
          </cell>
          <cell r="F327">
            <v>173.16499999997905</v>
          </cell>
          <cell r="G327">
            <v>114.06500000000233</v>
          </cell>
          <cell r="H327">
            <v>67.136999999987893</v>
          </cell>
          <cell r="I327">
            <v>38.246000000006461</v>
          </cell>
          <cell r="J327">
            <v>99.588000000003376</v>
          </cell>
          <cell r="K327">
            <v>10.23399999999674</v>
          </cell>
          <cell r="L327">
            <v>35.969999999986612</v>
          </cell>
          <cell r="M327">
            <v>0</v>
          </cell>
          <cell r="N327">
            <v>97.375</v>
          </cell>
          <cell r="O327">
            <v>86.831999999994878</v>
          </cell>
          <cell r="P327">
            <v>24.125</v>
          </cell>
          <cell r="Q327">
            <v>146.22000000000116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Palo Verde</v>
          </cell>
          <cell r="F328">
            <v>0</v>
          </cell>
          <cell r="G328">
            <v>5.113999999997759</v>
          </cell>
          <cell r="H328">
            <v>0</v>
          </cell>
          <cell r="I328">
            <v>48.330000000001746</v>
          </cell>
          <cell r="J328">
            <v>26.197000000000116</v>
          </cell>
          <cell r="K328">
            <v>15.80000000000291</v>
          </cell>
          <cell r="L328">
            <v>19.039999999979045</v>
          </cell>
          <cell r="M328">
            <v>43.730000000039581</v>
          </cell>
          <cell r="N328">
            <v>1.870000000053551</v>
          </cell>
          <cell r="O328">
            <v>96.670000000012806</v>
          </cell>
          <cell r="P328">
            <v>199.19000000000233</v>
          </cell>
          <cell r="Q328">
            <v>42.270000000018626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SP15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Trapped Energy - Curtailment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Trapped Energy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F332">
            <v>485.70100000000093</v>
          </cell>
          <cell r="G332">
            <v>416.75300000002608</v>
          </cell>
          <cell r="H332">
            <v>282.02100000000792</v>
          </cell>
          <cell r="I332">
            <v>750.17499999998836</v>
          </cell>
          <cell r="J332">
            <v>403.81099999998696</v>
          </cell>
          <cell r="K332">
            <v>413.60499999998137</v>
          </cell>
          <cell r="L332">
            <v>420.5199999997858</v>
          </cell>
          <cell r="M332">
            <v>80.71100000012666</v>
          </cell>
          <cell r="N332">
            <v>206.75500000012107</v>
          </cell>
          <cell r="O332">
            <v>172.56200000003446</v>
          </cell>
          <cell r="P332">
            <v>467.85900000005495</v>
          </cell>
          <cell r="Q332">
            <v>490.15000000002328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4">
          <cell r="A334" t="str">
            <v>Total Special Sales For Resale</v>
          </cell>
          <cell r="F334">
            <v>485.70100000000093</v>
          </cell>
          <cell r="G334">
            <v>416.75300000002608</v>
          </cell>
          <cell r="H334">
            <v>282.02099999994971</v>
          </cell>
          <cell r="I334">
            <v>750.17500000004657</v>
          </cell>
          <cell r="J334">
            <v>403.81099999998696</v>
          </cell>
          <cell r="K334">
            <v>413.60499999998137</v>
          </cell>
          <cell r="L334">
            <v>420.5199999997858</v>
          </cell>
          <cell r="M334">
            <v>80.71100000012666</v>
          </cell>
          <cell r="N334">
            <v>206.75500000012107</v>
          </cell>
          <cell r="O334">
            <v>172.56200000003446</v>
          </cell>
          <cell r="P334">
            <v>467.85900000005495</v>
          </cell>
          <cell r="Q334">
            <v>490.15000000002328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F335" t="str">
            <v>=</v>
          </cell>
          <cell r="G335" t="str">
            <v>=</v>
          </cell>
          <cell r="H335" t="str">
            <v>=</v>
          </cell>
          <cell r="I335" t="str">
            <v>=</v>
          </cell>
          <cell r="J335" t="str">
            <v>=</v>
          </cell>
          <cell r="K335" t="str">
            <v>=</v>
          </cell>
          <cell r="L335" t="str">
            <v>=</v>
          </cell>
          <cell r="M335" t="str">
            <v>=</v>
          </cell>
          <cell r="N335" t="str">
            <v>=</v>
          </cell>
          <cell r="O335" t="str">
            <v>=</v>
          </cell>
          <cell r="P335" t="str">
            <v>=</v>
          </cell>
          <cell r="Q335" t="str">
            <v>=</v>
          </cell>
          <cell r="R335" t="str">
            <v>=</v>
          </cell>
          <cell r="S335" t="str">
            <v>=</v>
          </cell>
          <cell r="T335" t="str">
            <v>=</v>
          </cell>
          <cell r="U335" t="str">
            <v>=</v>
          </cell>
          <cell r="V335" t="str">
            <v>=</v>
          </cell>
          <cell r="W335" t="str">
            <v>=</v>
          </cell>
          <cell r="X335" t="str">
            <v>=</v>
          </cell>
          <cell r="Y335" t="str">
            <v>=</v>
          </cell>
          <cell r="Z335" t="str">
            <v>=</v>
          </cell>
          <cell r="AA335" t="str">
            <v>=</v>
          </cell>
          <cell r="AB335" t="str">
            <v>=</v>
          </cell>
          <cell r="AC335" t="str">
            <v>=</v>
          </cell>
          <cell r="AD335" t="str">
            <v>=</v>
          </cell>
          <cell r="AE335" t="str">
            <v>=</v>
          </cell>
          <cell r="AF335" t="str">
            <v>=</v>
          </cell>
          <cell r="AG335" t="str">
            <v>=</v>
          </cell>
          <cell r="AH335" t="str">
            <v>=</v>
          </cell>
          <cell r="AI335" t="str">
            <v>=</v>
          </cell>
          <cell r="AJ335" t="str">
            <v>=</v>
          </cell>
          <cell r="AK335" t="str">
            <v>=</v>
          </cell>
          <cell r="AL335" t="str">
            <v>=</v>
          </cell>
          <cell r="AM335" t="str">
            <v>=</v>
          </cell>
          <cell r="AN335" t="str">
            <v>=</v>
          </cell>
          <cell r="AO335" t="str">
            <v>=</v>
          </cell>
          <cell r="AP335" t="str">
            <v>=</v>
          </cell>
          <cell r="AQ335" t="str">
            <v>=</v>
          </cell>
          <cell r="AR335" t="str">
            <v>=</v>
          </cell>
          <cell r="AS335" t="str">
            <v>=</v>
          </cell>
          <cell r="AT335" t="str">
            <v>=</v>
          </cell>
          <cell r="AU335" t="str">
            <v>=</v>
          </cell>
          <cell r="AV335" t="str">
            <v>=</v>
          </cell>
          <cell r="AW335" t="str">
            <v>=</v>
          </cell>
          <cell r="AX335" t="str">
            <v>=</v>
          </cell>
          <cell r="AY335" t="str">
            <v>=</v>
          </cell>
          <cell r="AZ335" t="str">
            <v>=</v>
          </cell>
          <cell r="BA335" t="str">
            <v>=</v>
          </cell>
          <cell r="BB335" t="str">
            <v>=</v>
          </cell>
          <cell r="BC335" t="str">
            <v>=</v>
          </cell>
          <cell r="BD335" t="str">
            <v>=</v>
          </cell>
          <cell r="BE335" t="str">
            <v>=</v>
          </cell>
          <cell r="BF335" t="str">
            <v>=</v>
          </cell>
          <cell r="BG335" t="str">
            <v>=</v>
          </cell>
          <cell r="BH335" t="str">
            <v>=</v>
          </cell>
          <cell r="BI335" t="str">
            <v>=</v>
          </cell>
          <cell r="BJ335" t="str">
            <v>=</v>
          </cell>
          <cell r="BK335" t="str">
            <v>=</v>
          </cell>
          <cell r="BL335" t="str">
            <v>=</v>
          </cell>
          <cell r="BM335" t="str">
            <v>=</v>
          </cell>
          <cell r="BN335" t="str">
            <v>=</v>
          </cell>
          <cell r="BO335" t="str">
            <v>=</v>
          </cell>
          <cell r="BP335" t="str">
            <v>=</v>
          </cell>
          <cell r="BQ335" t="str">
            <v>=</v>
          </cell>
          <cell r="BR335" t="str">
            <v>=</v>
          </cell>
          <cell r="BS335" t="str">
            <v>=</v>
          </cell>
          <cell r="BT335" t="str">
            <v>=</v>
          </cell>
          <cell r="BU335" t="str">
            <v>=</v>
          </cell>
          <cell r="BV335" t="str">
            <v>=</v>
          </cell>
          <cell r="BW335" t="str">
            <v>=</v>
          </cell>
          <cell r="BX335" t="str">
            <v>=</v>
          </cell>
          <cell r="BY335" t="str">
            <v>=</v>
          </cell>
          <cell r="BZ335" t="str">
            <v>=</v>
          </cell>
          <cell r="CA335" t="str">
            <v>=</v>
          </cell>
          <cell r="CB335" t="str">
            <v>=</v>
          </cell>
          <cell r="CC335" t="str">
            <v>=</v>
          </cell>
          <cell r="CD335" t="str">
            <v>=</v>
          </cell>
          <cell r="CE335" t="str">
            <v>=</v>
          </cell>
          <cell r="CF335" t="str">
            <v>=</v>
          </cell>
          <cell r="CG335" t="str">
            <v>=</v>
          </cell>
          <cell r="CH335" t="str">
            <v>=</v>
          </cell>
          <cell r="CI335" t="str">
            <v>=</v>
          </cell>
          <cell r="CJ335" t="str">
            <v>=</v>
          </cell>
          <cell r="CK335" t="str">
            <v>=</v>
          </cell>
          <cell r="CL335" t="str">
            <v>=</v>
          </cell>
          <cell r="CM335" t="str">
            <v>=</v>
          </cell>
          <cell r="CN335" t="str">
            <v>=</v>
          </cell>
          <cell r="CO335" t="str">
            <v>=</v>
          </cell>
          <cell r="CP335" t="str">
            <v>=</v>
          </cell>
          <cell r="CQ335" t="str">
            <v>=</v>
          </cell>
          <cell r="CR335" t="str">
            <v>=</v>
          </cell>
          <cell r="CS335" t="str">
            <v>=</v>
          </cell>
          <cell r="CT335" t="str">
            <v>=</v>
          </cell>
          <cell r="CU335" t="str">
            <v>=</v>
          </cell>
          <cell r="CV335" t="str">
            <v>=</v>
          </cell>
          <cell r="CW335" t="str">
            <v>=</v>
          </cell>
          <cell r="CX335" t="str">
            <v>=</v>
          </cell>
          <cell r="CY335" t="str">
            <v>=</v>
          </cell>
          <cell r="CZ335" t="str">
            <v>=</v>
          </cell>
          <cell r="DA335" t="str">
            <v>=</v>
          </cell>
          <cell r="DB335" t="str">
            <v>=</v>
          </cell>
          <cell r="DC335" t="str">
            <v>=</v>
          </cell>
          <cell r="DD335" t="str">
            <v>=</v>
          </cell>
          <cell r="DE335" t="str">
            <v>=</v>
          </cell>
          <cell r="DF335" t="str">
            <v>=</v>
          </cell>
          <cell r="DG335" t="str">
            <v>=</v>
          </cell>
          <cell r="DH335" t="str">
            <v>=</v>
          </cell>
          <cell r="DI335" t="str">
            <v>=</v>
          </cell>
          <cell r="DJ335" t="str">
            <v>=</v>
          </cell>
          <cell r="DK335" t="str">
            <v>=</v>
          </cell>
          <cell r="DL335" t="str">
            <v>=</v>
          </cell>
          <cell r="DM335" t="str">
            <v>=</v>
          </cell>
          <cell r="DN335" t="str">
            <v>=</v>
          </cell>
          <cell r="DO335" t="str">
            <v>=</v>
          </cell>
          <cell r="DP335" t="str">
            <v>=</v>
          </cell>
          <cell r="DQ335" t="str">
            <v>=</v>
          </cell>
          <cell r="DR335" t="str">
            <v>=</v>
          </cell>
          <cell r="DS335" t="str">
            <v>=</v>
          </cell>
          <cell r="DT335" t="str">
            <v>=</v>
          </cell>
          <cell r="DU335" t="str">
            <v>=</v>
          </cell>
          <cell r="DV335" t="str">
            <v>=</v>
          </cell>
          <cell r="DW335" t="str">
            <v>=</v>
          </cell>
          <cell r="DX335" t="str">
            <v>=</v>
          </cell>
          <cell r="DY335" t="str">
            <v>=</v>
          </cell>
          <cell r="DZ335" t="str">
            <v>=</v>
          </cell>
          <cell r="EA335" t="str">
            <v>=</v>
          </cell>
          <cell r="EB335" t="str">
            <v>=</v>
          </cell>
          <cell r="EC335" t="str">
            <v>=</v>
          </cell>
          <cell r="ED335" t="str">
            <v>=</v>
          </cell>
        </row>
        <row r="336">
          <cell r="A336" t="str">
            <v>Total Requirements</v>
          </cell>
          <cell r="F336">
            <v>485.70099999941885</v>
          </cell>
          <cell r="G336">
            <v>416.75300000049174</v>
          </cell>
          <cell r="H336">
            <v>282.02099999971688</v>
          </cell>
          <cell r="I336">
            <v>750.17499999981374</v>
          </cell>
          <cell r="J336">
            <v>403.81099999975413</v>
          </cell>
          <cell r="K336">
            <v>413.60500000044703</v>
          </cell>
          <cell r="L336">
            <v>420.51999999955297</v>
          </cell>
          <cell r="M336">
            <v>80.71100000012666</v>
          </cell>
          <cell r="N336">
            <v>206.75500000081956</v>
          </cell>
          <cell r="O336">
            <v>172.56199999991804</v>
          </cell>
          <cell r="P336">
            <v>467.85900000017136</v>
          </cell>
          <cell r="Q336">
            <v>490.14999999944121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F337" t="str">
            <v>=</v>
          </cell>
          <cell r="G337" t="str">
            <v>=</v>
          </cell>
          <cell r="H337" t="str">
            <v>=</v>
          </cell>
          <cell r="I337" t="str">
            <v>=</v>
          </cell>
          <cell r="J337" t="str">
            <v>=</v>
          </cell>
          <cell r="K337" t="str">
            <v>=</v>
          </cell>
          <cell r="L337" t="str">
            <v>=</v>
          </cell>
          <cell r="M337" t="str">
            <v>=</v>
          </cell>
          <cell r="N337" t="str">
            <v>=</v>
          </cell>
          <cell r="O337" t="str">
            <v>=</v>
          </cell>
          <cell r="P337" t="str">
            <v>=</v>
          </cell>
          <cell r="Q337" t="str">
            <v>=</v>
          </cell>
          <cell r="R337" t="str">
            <v>=</v>
          </cell>
          <cell r="S337" t="str">
            <v>=</v>
          </cell>
          <cell r="T337" t="str">
            <v>=</v>
          </cell>
          <cell r="U337" t="str">
            <v>=</v>
          </cell>
          <cell r="V337" t="str">
            <v>=</v>
          </cell>
          <cell r="W337" t="str">
            <v>=</v>
          </cell>
          <cell r="X337" t="str">
            <v>=</v>
          </cell>
          <cell r="Y337" t="str">
            <v>=</v>
          </cell>
          <cell r="Z337" t="str">
            <v>=</v>
          </cell>
          <cell r="AA337" t="str">
            <v>=</v>
          </cell>
          <cell r="AB337" t="str">
            <v>=</v>
          </cell>
          <cell r="AC337" t="str">
            <v>=</v>
          </cell>
          <cell r="AD337" t="str">
            <v>=</v>
          </cell>
          <cell r="AE337" t="str">
            <v>=</v>
          </cell>
          <cell r="AF337" t="str">
            <v>=</v>
          </cell>
          <cell r="AG337" t="str">
            <v>=</v>
          </cell>
          <cell r="AH337" t="str">
            <v>=</v>
          </cell>
          <cell r="AI337" t="str">
            <v>=</v>
          </cell>
          <cell r="AJ337" t="str">
            <v>=</v>
          </cell>
          <cell r="AK337" t="str">
            <v>=</v>
          </cell>
          <cell r="AL337" t="str">
            <v>=</v>
          </cell>
          <cell r="AM337" t="str">
            <v>=</v>
          </cell>
          <cell r="AN337" t="str">
            <v>=</v>
          </cell>
          <cell r="AO337" t="str">
            <v>=</v>
          </cell>
          <cell r="AP337" t="str">
            <v>=</v>
          </cell>
          <cell r="AQ337" t="str">
            <v>=</v>
          </cell>
          <cell r="AR337" t="str">
            <v>=</v>
          </cell>
          <cell r="AS337" t="str">
            <v>=</v>
          </cell>
          <cell r="AT337" t="str">
            <v>=</v>
          </cell>
          <cell r="AU337" t="str">
            <v>=</v>
          </cell>
          <cell r="AV337" t="str">
            <v>=</v>
          </cell>
          <cell r="AW337" t="str">
            <v>=</v>
          </cell>
          <cell r="AX337" t="str">
            <v>=</v>
          </cell>
          <cell r="AY337" t="str">
            <v>=</v>
          </cell>
          <cell r="AZ337" t="str">
            <v>=</v>
          </cell>
          <cell r="BA337" t="str">
            <v>=</v>
          </cell>
          <cell r="BB337" t="str">
            <v>=</v>
          </cell>
          <cell r="BC337" t="str">
            <v>=</v>
          </cell>
          <cell r="BD337" t="str">
            <v>=</v>
          </cell>
          <cell r="BE337" t="str">
            <v>=</v>
          </cell>
          <cell r="BF337" t="str">
            <v>=</v>
          </cell>
          <cell r="BG337" t="str">
            <v>=</v>
          </cell>
          <cell r="BH337" t="str">
            <v>=</v>
          </cell>
          <cell r="BI337" t="str">
            <v>=</v>
          </cell>
          <cell r="BJ337" t="str">
            <v>=</v>
          </cell>
          <cell r="BK337" t="str">
            <v>=</v>
          </cell>
          <cell r="BL337" t="str">
            <v>=</v>
          </cell>
          <cell r="BM337" t="str">
            <v>=</v>
          </cell>
          <cell r="BN337" t="str">
            <v>=</v>
          </cell>
          <cell r="BO337" t="str">
            <v>=</v>
          </cell>
          <cell r="BP337" t="str">
            <v>=</v>
          </cell>
          <cell r="BQ337" t="str">
            <v>=</v>
          </cell>
          <cell r="BR337" t="str">
            <v>=</v>
          </cell>
          <cell r="BS337" t="str">
            <v>=</v>
          </cell>
          <cell r="BT337" t="str">
            <v>=</v>
          </cell>
          <cell r="BU337" t="str">
            <v>=</v>
          </cell>
          <cell r="BV337" t="str">
            <v>=</v>
          </cell>
          <cell r="BW337" t="str">
            <v>=</v>
          </cell>
          <cell r="BX337" t="str">
            <v>=</v>
          </cell>
          <cell r="BY337" t="str">
            <v>=</v>
          </cell>
          <cell r="BZ337" t="str">
            <v>=</v>
          </cell>
          <cell r="CA337" t="str">
            <v>=</v>
          </cell>
          <cell r="CB337" t="str">
            <v>=</v>
          </cell>
          <cell r="CC337" t="str">
            <v>=</v>
          </cell>
          <cell r="CD337" t="str">
            <v>=</v>
          </cell>
          <cell r="CE337" t="str">
            <v>=</v>
          </cell>
          <cell r="CF337" t="str">
            <v>=</v>
          </cell>
          <cell r="CG337" t="str">
            <v>=</v>
          </cell>
          <cell r="CH337" t="str">
            <v>=</v>
          </cell>
          <cell r="CI337" t="str">
            <v>=</v>
          </cell>
          <cell r="CJ337" t="str">
            <v>=</v>
          </cell>
          <cell r="CK337" t="str">
            <v>=</v>
          </cell>
          <cell r="CL337" t="str">
            <v>=</v>
          </cell>
          <cell r="CM337" t="str">
            <v>=</v>
          </cell>
          <cell r="CN337" t="str">
            <v>=</v>
          </cell>
          <cell r="CO337" t="str">
            <v>=</v>
          </cell>
          <cell r="CP337" t="str">
            <v>=</v>
          </cell>
          <cell r="CQ337" t="str">
            <v>=</v>
          </cell>
          <cell r="CR337" t="str">
            <v>=</v>
          </cell>
          <cell r="CS337" t="str">
            <v>=</v>
          </cell>
          <cell r="CT337" t="str">
            <v>=</v>
          </cell>
          <cell r="CU337" t="str">
            <v>=</v>
          </cell>
          <cell r="CV337" t="str">
            <v>=</v>
          </cell>
          <cell r="CW337" t="str">
            <v>=</v>
          </cell>
          <cell r="CX337" t="str">
            <v>=</v>
          </cell>
          <cell r="CY337" t="str">
            <v>=</v>
          </cell>
          <cell r="CZ337" t="str">
            <v>=</v>
          </cell>
          <cell r="DA337" t="str">
            <v>=</v>
          </cell>
          <cell r="DB337" t="str">
            <v>=</v>
          </cell>
          <cell r="DC337" t="str">
            <v>=</v>
          </cell>
          <cell r="DD337" t="str">
            <v>=</v>
          </cell>
          <cell r="DE337" t="str">
            <v>=</v>
          </cell>
          <cell r="DF337" t="str">
            <v>=</v>
          </cell>
          <cell r="DG337" t="str">
            <v>=</v>
          </cell>
          <cell r="DH337" t="str">
            <v>=</v>
          </cell>
          <cell r="DI337" t="str">
            <v>=</v>
          </cell>
          <cell r="DJ337" t="str">
            <v>=</v>
          </cell>
          <cell r="DK337" t="str">
            <v>=</v>
          </cell>
          <cell r="DL337" t="str">
            <v>=</v>
          </cell>
          <cell r="DM337" t="str">
            <v>=</v>
          </cell>
          <cell r="DN337" t="str">
            <v>=</v>
          </cell>
          <cell r="DO337" t="str">
            <v>=</v>
          </cell>
          <cell r="DP337" t="str">
            <v>=</v>
          </cell>
          <cell r="DQ337" t="str">
            <v>=</v>
          </cell>
          <cell r="DR337" t="str">
            <v>=</v>
          </cell>
          <cell r="DS337" t="str">
            <v>=</v>
          </cell>
          <cell r="DT337" t="str">
            <v>=</v>
          </cell>
          <cell r="DU337" t="str">
            <v>=</v>
          </cell>
          <cell r="DV337" t="str">
            <v>=</v>
          </cell>
          <cell r="DW337" t="str">
            <v>=</v>
          </cell>
          <cell r="DX337" t="str">
            <v>=</v>
          </cell>
          <cell r="DY337" t="str">
            <v>=</v>
          </cell>
          <cell r="DZ337" t="str">
            <v>=</v>
          </cell>
          <cell r="EA337" t="str">
            <v>=</v>
          </cell>
          <cell r="EB337" t="str">
            <v>=</v>
          </cell>
          <cell r="EC337" t="str">
            <v>=</v>
          </cell>
          <cell r="ED337" t="str">
            <v>=</v>
          </cell>
        </row>
        <row r="339">
          <cell r="A339" t="str">
            <v>Purchased Power &amp; Net Interchange</v>
          </cell>
        </row>
        <row r="341">
          <cell r="C341" t="str">
            <v>APS Supplemental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 t="str">
            <v xml:space="preserve">Combine Hills Wind 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 t="str">
            <v>Cedar Springs Wind I_II_III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 t="str">
            <v>Cove Mountain Solar I and II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 t="str">
            <v>Hunter Solar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 t="str">
            <v>Milican Solar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7">
          <cell r="C347" t="str">
            <v>Milford Solar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</row>
        <row r="348">
          <cell r="C348" t="str">
            <v>Prineville Solar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C349" t="str">
            <v>Sigurd Solar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C350" t="str">
            <v>Deseret Purchase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C351" t="str">
            <v>Ekola Flats,TB Flats I and II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Soda Lake Geothermal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Gemstate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Hermiston Purchase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Hurricane Purchase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IPP Purchase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MagCorp Reserves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8">
          <cell r="C358" t="str">
            <v>Nucor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</row>
        <row r="359">
          <cell r="C359" t="str">
            <v>Old Mill Solar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C360" t="str">
            <v>P4 Production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C361" t="str">
            <v>Pavant III Solar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C362" t="str">
            <v>PGE Cove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C363" t="str">
            <v>Rock River Wind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 t="str">
            <v>Small Purchases east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C365" t="str">
            <v>Small Purchases west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C366" t="str">
            <v>Three Buttes Wind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C367" t="str">
            <v xml:space="preserve">Top of the World Wind 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Tri-State Purchase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70">
          <cell r="C370" t="str">
            <v>UAMPS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 t="str">
            <v>UMPA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C372" t="str">
            <v>Wolverine Creek Wind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7">
          <cell r="C377" t="str">
            <v>QF - 434 - UT - Gas</v>
          </cell>
          <cell r="F377">
            <v>3920.88</v>
          </cell>
          <cell r="G377">
            <v>3667.92</v>
          </cell>
          <cell r="H377">
            <v>3920.88</v>
          </cell>
          <cell r="I377">
            <v>3794.4</v>
          </cell>
          <cell r="J377">
            <v>3920.88</v>
          </cell>
          <cell r="K377">
            <v>3794.4</v>
          </cell>
          <cell r="L377">
            <v>3920.88</v>
          </cell>
          <cell r="M377">
            <v>3920.88</v>
          </cell>
          <cell r="N377">
            <v>3794.4</v>
          </cell>
          <cell r="O377">
            <v>3920.88</v>
          </cell>
          <cell r="P377">
            <v>3794.4</v>
          </cell>
          <cell r="Q377">
            <v>3920.88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C378" t="str">
            <v>Curtailment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C379" t="str">
            <v>Net Generation</v>
          </cell>
          <cell r="F379">
            <v>3920.88</v>
          </cell>
          <cell r="G379">
            <v>3667.92</v>
          </cell>
          <cell r="H379">
            <v>3920.88</v>
          </cell>
          <cell r="I379">
            <v>3794.4</v>
          </cell>
          <cell r="J379">
            <v>3920.88</v>
          </cell>
          <cell r="K379">
            <v>3794.4</v>
          </cell>
          <cell r="L379">
            <v>3920.88</v>
          </cell>
          <cell r="M379">
            <v>3920.88</v>
          </cell>
          <cell r="N379">
            <v>3794.4</v>
          </cell>
          <cell r="O379">
            <v>3920.88</v>
          </cell>
          <cell r="P379">
            <v>3794.4</v>
          </cell>
          <cell r="Q379">
            <v>3920.88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1">
          <cell r="C381" t="str">
            <v>Potential QFs  -  Central Oregon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Potential QFs  -  West Main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Potential QFs  -  Walla Walla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C384" t="str">
            <v>Potential QFs  -  IPC West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C385" t="str">
            <v>Potential QFs  -  Clover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C386" t="str">
            <v>Potential QFs  -  PP-GC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7">
          <cell r="C387" t="str">
            <v>Potential QFs  -  Utah North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</row>
        <row r="388">
          <cell r="C388" t="str">
            <v>Potential QFs  -  Utah South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 t="str">
            <v>Potential QFs  -  Trona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C390" t="str">
            <v>Potential QFs  -  Wyoming Northeast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2">
          <cell r="C392" t="str">
            <v>QF California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QF Idaho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QF Oregon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QF Utah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QF Washington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C397" t="str">
            <v>QF Wyoming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C399" t="str">
            <v>Biomass QF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C400" t="str">
            <v>Black Cap II Solar QF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1">
          <cell r="C401" t="str">
            <v>Champlin Blue Mtn Wind QF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</row>
        <row r="402">
          <cell r="C402" t="str">
            <v>Chevron Wind QF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 xml:space="preserve">Douglas County Forest Products QF   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Evergreen BioPower QF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Everpower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First Wind QF Projects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Five Pine Wind QF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 t="str">
            <v>Foote Creek II &amp; III Wind QF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Kennecott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C410" t="str">
            <v>Latigo Wind Park QF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1">
          <cell r="C411" t="str">
            <v>Sage I &amp; II Solar QF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2">
          <cell r="C412" t="str">
            <v>Sage III Solar QF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C413" t="str">
            <v>Boswell Wind QF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</row>
        <row r="414">
          <cell r="C414" t="str">
            <v>Monticello Wind QF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5">
          <cell r="C415" t="str">
            <v>Mountain Wind 1 QF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</row>
        <row r="416">
          <cell r="C416" t="str">
            <v>Mountain Wind 2 QF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C417" t="str">
            <v>North Point Wind QF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</row>
        <row r="418">
          <cell r="C418" t="str">
            <v>Ochoco Solar QF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</row>
        <row r="419">
          <cell r="C419" t="str">
            <v>Orchard Wind Farm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>Oregon Sch 37 QFs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Oregon Wind Farm QF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Pavant Solar QF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Pioneer Wind Park I QF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Power County North Wind QF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Power County South Wind QF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Roseburg Dillard QF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Sigurd Solar QF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Spanish Fork Wind 2 QF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Sunnyside QF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Glen Canyon A &amp; B Solar QFs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Sweetwater Solar QF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Tesoro QF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Three Peaks Solar QF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Threemile Canyon Wind QF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US Magnesium QF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Utah Pavant Solar I &amp; II QF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Utah Red Hills Solar QF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Utah SunEdison Wind QF Projects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Utah Sch 37 Solar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1">
          <cell r="F441">
            <v>3920.8800000000047</v>
          </cell>
          <cell r="G441">
            <v>3667.9199999999255</v>
          </cell>
          <cell r="H441">
            <v>3920.8800000000047</v>
          </cell>
          <cell r="I441">
            <v>3794.4000000000233</v>
          </cell>
          <cell r="J441">
            <v>3920.8800000000047</v>
          </cell>
          <cell r="K441">
            <v>3794.3999999999069</v>
          </cell>
          <cell r="L441">
            <v>3920.8800000000047</v>
          </cell>
          <cell r="M441">
            <v>3920.8799999998882</v>
          </cell>
          <cell r="N441">
            <v>3794.4000000000233</v>
          </cell>
          <cell r="O441">
            <v>3920.8800000000047</v>
          </cell>
          <cell r="P441">
            <v>3794.4000000000233</v>
          </cell>
          <cell r="Q441">
            <v>3920.8800000000047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4">
          <cell r="C444" t="str">
            <v xml:space="preserve">Douglas - Wells 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Grant Reasonable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 t="str">
            <v xml:space="preserve">Grant Surplus 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 t="str">
            <v>Grant - Wanapum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1">
          <cell r="F451">
            <v>3920.8800000000047</v>
          </cell>
          <cell r="G451">
            <v>3667.9199999999255</v>
          </cell>
          <cell r="H451">
            <v>3920.8800000000047</v>
          </cell>
          <cell r="I451">
            <v>3794.4000000000233</v>
          </cell>
          <cell r="J451">
            <v>3920.8800000000047</v>
          </cell>
          <cell r="K451">
            <v>3794.3999999999069</v>
          </cell>
          <cell r="L451">
            <v>3920.8800000000047</v>
          </cell>
          <cell r="M451">
            <v>3920.8799999998882</v>
          </cell>
          <cell r="N451">
            <v>3794.4000000000233</v>
          </cell>
          <cell r="O451">
            <v>3920.8800000000047</v>
          </cell>
          <cell r="P451">
            <v>3794.4000000000233</v>
          </cell>
          <cell r="Q451">
            <v>3920.8800000000047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4">
          <cell r="C454" t="str">
            <v>APS Exchange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BPA FC II Wind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6">
          <cell r="C456" t="str">
            <v>BPA FC IV Wind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7">
          <cell r="C457" t="str">
            <v>BPA Exchange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58">
          <cell r="C458" t="str">
            <v>BPA So. Idaho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</row>
        <row r="459">
          <cell r="C459" t="str">
            <v>Cowlitz Swift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 t="str">
            <v>EWEB FC I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PSCo Exchange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PSCO FC III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 t="str">
            <v>Redding Exchange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 t="str">
            <v>SCL State Line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9">
          <cell r="C469" t="str">
            <v>COB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 t="str">
            <v>Four Corners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 t="str">
            <v>Mid Columbia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Mona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Palo Verde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SP15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5">
          <cell r="C475" t="str">
            <v>STF Index Trades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80">
          <cell r="C480" t="str">
            <v>COB</v>
          </cell>
          <cell r="F480">
            <v>0</v>
          </cell>
          <cell r="G480">
            <v>0</v>
          </cell>
          <cell r="H480">
            <v>-5.2700199999999882</v>
          </cell>
          <cell r="I480">
            <v>0</v>
          </cell>
          <cell r="J480">
            <v>-10.386700000000019</v>
          </cell>
          <cell r="K480">
            <v>-66.823899999999412</v>
          </cell>
          <cell r="L480">
            <v>-69.927400000000489</v>
          </cell>
          <cell r="M480">
            <v>-51.166330000000016</v>
          </cell>
          <cell r="N480">
            <v>-10.233400000000074</v>
          </cell>
          <cell r="O480">
            <v>0</v>
          </cell>
          <cell r="P480">
            <v>0</v>
          </cell>
          <cell r="Q480">
            <v>-15.503999999998996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Four Corners</v>
          </cell>
          <cell r="F481">
            <v>-243.55000000000109</v>
          </cell>
          <cell r="G481">
            <v>-350.44000000000233</v>
          </cell>
          <cell r="H481">
            <v>-357.51000000000931</v>
          </cell>
          <cell r="I481">
            <v>-564.88000000000466</v>
          </cell>
          <cell r="J481">
            <v>-697.01000000000931</v>
          </cell>
          <cell r="K481">
            <v>-82.631000000001222</v>
          </cell>
          <cell r="L481">
            <v>-29.432199999999966</v>
          </cell>
          <cell r="M481">
            <v>-10.233093</v>
          </cell>
          <cell r="N481">
            <v>-34.337999999999965</v>
          </cell>
          <cell r="O481">
            <v>-656.35500000001048</v>
          </cell>
          <cell r="P481">
            <v>-534.13999999999942</v>
          </cell>
          <cell r="Q481">
            <v>-90.52100000000064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Mid Columbia</v>
          </cell>
          <cell r="F482">
            <v>0</v>
          </cell>
          <cell r="G482">
            <v>-46.356999999999971</v>
          </cell>
          <cell r="H482">
            <v>-171.88699999999881</v>
          </cell>
          <cell r="I482">
            <v>-814.85999999998603</v>
          </cell>
          <cell r="J482">
            <v>-879.14000000001397</v>
          </cell>
          <cell r="K482">
            <v>-673.71999999997206</v>
          </cell>
          <cell r="L482">
            <v>-913.44999999999709</v>
          </cell>
          <cell r="M482">
            <v>-1053.0499999999884</v>
          </cell>
          <cell r="N482">
            <v>-498.21499999999651</v>
          </cell>
          <cell r="O482">
            <v>-35.816100000000006</v>
          </cell>
          <cell r="P482">
            <v>-86.115000000001601</v>
          </cell>
          <cell r="Q482">
            <v>-5.1159999999999854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>Mona</v>
          </cell>
          <cell r="F483">
            <v>-34.948800000000119</v>
          </cell>
          <cell r="G483">
            <v>-9.875</v>
          </cell>
          <cell r="H483">
            <v>-20.772999999999683</v>
          </cell>
          <cell r="I483">
            <v>23.706599999999526</v>
          </cell>
          <cell r="J483">
            <v>-8.658610000000408</v>
          </cell>
          <cell r="K483">
            <v>0</v>
          </cell>
          <cell r="L483">
            <v>-5.1167999999999978</v>
          </cell>
          <cell r="M483">
            <v>0</v>
          </cell>
          <cell r="N483">
            <v>-0.44347999999996546</v>
          </cell>
          <cell r="O483">
            <v>-24.473999999999705</v>
          </cell>
          <cell r="P483">
            <v>-5.8059999999995853</v>
          </cell>
          <cell r="Q483">
            <v>-23.854900000000043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 t="str">
            <v>Palo Verde</v>
          </cell>
          <cell r="F484">
            <v>-61.209999999991851</v>
          </cell>
          <cell r="G484">
            <v>-181.69999999999709</v>
          </cell>
          <cell r="H484">
            <v>-87.740000000005239</v>
          </cell>
          <cell r="I484">
            <v>-68.94999999999709</v>
          </cell>
          <cell r="J484">
            <v>-59.026000000005297</v>
          </cell>
          <cell r="K484">
            <v>-5.1160000000018044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 t="str">
            <v>SP15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Emergency Purchases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8">
          <cell r="F488">
            <v>-339.70879999999306</v>
          </cell>
          <cell r="G488">
            <v>-588.37200000003213</v>
          </cell>
          <cell r="H488">
            <v>-643.18002000002889</v>
          </cell>
          <cell r="I488">
            <v>-1424.9833999999682</v>
          </cell>
          <cell r="J488">
            <v>-1654.2213099999353</v>
          </cell>
          <cell r="K488">
            <v>-828.29089999996359</v>
          </cell>
          <cell r="L488">
            <v>-1017.9264000000258</v>
          </cell>
          <cell r="M488">
            <v>-1114.4494229999837</v>
          </cell>
          <cell r="N488">
            <v>-543.22987999999896</v>
          </cell>
          <cell r="O488">
            <v>-716.64510000002338</v>
          </cell>
          <cell r="P488">
            <v>-626.06100000000151</v>
          </cell>
          <cell r="Q488">
            <v>-134.99590000000171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90">
          <cell r="A490" t="str">
            <v xml:space="preserve">Total Purchased Power &amp; Net Interchange </v>
          </cell>
          <cell r="F490">
            <v>3581.1711999997497</v>
          </cell>
          <cell r="G490">
            <v>3079.5479999999516</v>
          </cell>
          <cell r="H490">
            <v>3277.699980000034</v>
          </cell>
          <cell r="I490">
            <v>2369.4166000001132</v>
          </cell>
          <cell r="J490">
            <v>2266.6586899999529</v>
          </cell>
          <cell r="K490">
            <v>2966.1091000000015</v>
          </cell>
          <cell r="L490">
            <v>2902.9535999998916</v>
          </cell>
          <cell r="M490">
            <v>2806.4305769999046</v>
          </cell>
          <cell r="N490">
            <v>3251.1701200000243</v>
          </cell>
          <cell r="O490">
            <v>3204.2348999999231</v>
          </cell>
          <cell r="P490">
            <v>3168.3390000001527</v>
          </cell>
          <cell r="Q490">
            <v>3785.8840999999084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2">
          <cell r="A492" t="str">
            <v>Coal Generation</v>
          </cell>
        </row>
        <row r="493">
          <cell r="C493" t="str">
            <v>Cholla</v>
          </cell>
          <cell r="F493">
            <v>-169.78510999999708</v>
          </cell>
          <cell r="G493">
            <v>-87.339380000004894</v>
          </cell>
          <cell r="H493">
            <v>-43.693579999991925</v>
          </cell>
          <cell r="I493">
            <v>-20.466740000003483</v>
          </cell>
          <cell r="J493">
            <v>-10.233219999994617</v>
          </cell>
          <cell r="K493">
            <v>-5.1164200000057463</v>
          </cell>
          <cell r="L493">
            <v>-52.472399999998743</v>
          </cell>
          <cell r="M493">
            <v>-24.036850000004051</v>
          </cell>
          <cell r="N493">
            <v>-12.630120000001625</v>
          </cell>
          <cell r="O493">
            <v>-30.699970000001485</v>
          </cell>
          <cell r="P493">
            <v>-81.865999999994528</v>
          </cell>
          <cell r="Q493">
            <v>-93.545530000003055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Colstrip</v>
          </cell>
          <cell r="F494">
            <v>0</v>
          </cell>
          <cell r="G494">
            <v>0</v>
          </cell>
          <cell r="H494">
            <v>-5.2700249999907101</v>
          </cell>
          <cell r="I494">
            <v>-5.2697760000010021</v>
          </cell>
          <cell r="J494">
            <v>-15.810054999994463</v>
          </cell>
          <cell r="K494">
            <v>-5.2700199999962933</v>
          </cell>
          <cell r="L494">
            <v>0</v>
          </cell>
          <cell r="M494">
            <v>0</v>
          </cell>
          <cell r="N494">
            <v>0</v>
          </cell>
          <cell r="O494">
            <v>-5.2700199999962933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Craig</v>
          </cell>
          <cell r="F495">
            <v>-46.828219999995781</v>
          </cell>
          <cell r="G495">
            <v>-15.503538000019034</v>
          </cell>
          <cell r="H495">
            <v>0</v>
          </cell>
          <cell r="I495">
            <v>0</v>
          </cell>
          <cell r="J495">
            <v>-10.386570000002393</v>
          </cell>
          <cell r="K495">
            <v>0</v>
          </cell>
          <cell r="L495">
            <v>-8.8715099999972153</v>
          </cell>
          <cell r="M495">
            <v>-5.5894799999950919</v>
          </cell>
          <cell r="N495">
            <v>0</v>
          </cell>
          <cell r="O495">
            <v>-7.9330460000055609</v>
          </cell>
          <cell r="P495">
            <v>-22.301405000005616</v>
          </cell>
          <cell r="Q495">
            <v>-52.2467719999986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Dave Johnston</v>
          </cell>
          <cell r="F496">
            <v>0</v>
          </cell>
          <cell r="G496">
            <v>0</v>
          </cell>
          <cell r="H496">
            <v>-32.540111999958754</v>
          </cell>
          <cell r="I496">
            <v>-40.374196999939159</v>
          </cell>
          <cell r="J496">
            <v>-86.472569999925327</v>
          </cell>
          <cell r="K496">
            <v>-42.159894999989774</v>
          </cell>
          <cell r="L496">
            <v>0</v>
          </cell>
          <cell r="M496">
            <v>0</v>
          </cell>
          <cell r="N496">
            <v>-5.2700199999380857</v>
          </cell>
          <cell r="O496">
            <v>-5.2697799999732524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Hayden</v>
          </cell>
          <cell r="F497">
            <v>-52.615347999992082</v>
          </cell>
          <cell r="G497">
            <v>-17.85901699999522</v>
          </cell>
          <cell r="H497">
            <v>-8.0656399999970745</v>
          </cell>
          <cell r="I497">
            <v>-5.1166850000008708</v>
          </cell>
          <cell r="J497">
            <v>-5.1166860000012093</v>
          </cell>
          <cell r="K497">
            <v>0</v>
          </cell>
          <cell r="L497">
            <v>-20.469431999998051</v>
          </cell>
          <cell r="M497">
            <v>-0.80998399999953108</v>
          </cell>
          <cell r="N497">
            <v>-9.006294999991951</v>
          </cell>
          <cell r="O497">
            <v>-5.8339019999984885</v>
          </cell>
          <cell r="P497">
            <v>-11.248525999999401</v>
          </cell>
          <cell r="Q497">
            <v>-35.816407999998773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Hunter</v>
          </cell>
          <cell r="F498">
            <v>-1524.7326689999318</v>
          </cell>
          <cell r="G498">
            <v>-1174.7534730000189</v>
          </cell>
          <cell r="H498">
            <v>-881.7234569999855</v>
          </cell>
          <cell r="I498">
            <v>-386.57579999993322</v>
          </cell>
          <cell r="J498">
            <v>-494.7506459999131</v>
          </cell>
          <cell r="K498">
            <v>-498.5435399999842</v>
          </cell>
          <cell r="L498">
            <v>-975.47094599995762</v>
          </cell>
          <cell r="M498">
            <v>-863.25162500003353</v>
          </cell>
          <cell r="N498">
            <v>-1069.7191710000625</v>
          </cell>
          <cell r="O498">
            <v>-569.46622000006028</v>
          </cell>
          <cell r="P498">
            <v>-672.77939499996137</v>
          </cell>
          <cell r="Q498">
            <v>-1276.0473810000112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Huntington</v>
          </cell>
          <cell r="F499">
            <v>-11.206749999895692</v>
          </cell>
          <cell r="G499">
            <v>-79.817109999945387</v>
          </cell>
          <cell r="H499">
            <v>-176.79165000002831</v>
          </cell>
          <cell r="I499">
            <v>-261.74289600003976</v>
          </cell>
          <cell r="J499">
            <v>-382.29579400003422</v>
          </cell>
          <cell r="K499">
            <v>-588.69704999995884</v>
          </cell>
          <cell r="L499">
            <v>-105.40012999996543</v>
          </cell>
          <cell r="M499">
            <v>-15.810059999930672</v>
          </cell>
          <cell r="N499">
            <v>-42.160159999970347</v>
          </cell>
          <cell r="O499">
            <v>-263.58706000004895</v>
          </cell>
          <cell r="P499">
            <v>-234.47962999995798</v>
          </cell>
          <cell r="Q499">
            <v>-142.44293999997899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Jim Bridger</v>
          </cell>
          <cell r="F500">
            <v>-612.80781999987084</v>
          </cell>
          <cell r="G500">
            <v>-711.48991700005718</v>
          </cell>
          <cell r="H500">
            <v>-1487.3166360000614</v>
          </cell>
          <cell r="I500">
            <v>-594.01512999995612</v>
          </cell>
          <cell r="J500">
            <v>-354.9281530000153</v>
          </cell>
          <cell r="K500">
            <v>-677.8858069999842</v>
          </cell>
          <cell r="L500">
            <v>-1038.3265980000142</v>
          </cell>
          <cell r="M500">
            <v>-1427.9557839998743</v>
          </cell>
          <cell r="N500">
            <v>-1307.0545409999322</v>
          </cell>
          <cell r="O500">
            <v>-988.41838500002632</v>
          </cell>
          <cell r="P500">
            <v>-1145.7721350000938</v>
          </cell>
          <cell r="Q500">
            <v>-1276.1395560000092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Naughton</v>
          </cell>
          <cell r="F501">
            <v>0</v>
          </cell>
          <cell r="G501">
            <v>-42.160151000018232</v>
          </cell>
          <cell r="H501">
            <v>-45.802718000020832</v>
          </cell>
          <cell r="I501">
            <v>-93.348841999977594</v>
          </cell>
          <cell r="J501">
            <v>-112.08070300001418</v>
          </cell>
          <cell r="K501">
            <v>-111.28328200001852</v>
          </cell>
          <cell r="L501">
            <v>-10.54003900004318</v>
          </cell>
          <cell r="M501">
            <v>-5.2700199999962933</v>
          </cell>
          <cell r="N501">
            <v>-5.2700199999962933</v>
          </cell>
          <cell r="O501">
            <v>-59.340434000041569</v>
          </cell>
          <cell r="P501">
            <v>-10.540040000021691</v>
          </cell>
          <cell r="Q501">
            <v>-26.34985400000005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Wyodak</v>
          </cell>
          <cell r="F502">
            <v>0</v>
          </cell>
          <cell r="G502">
            <v>0</v>
          </cell>
          <cell r="H502">
            <v>-5.270009999992908</v>
          </cell>
          <cell r="I502">
            <v>0</v>
          </cell>
          <cell r="J502">
            <v>-1.3854400000127498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Ramp Loss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5">
          <cell r="A505" t="str">
            <v>Total Coal Generation</v>
          </cell>
          <cell r="F505">
            <v>-2417.9759169993922</v>
          </cell>
          <cell r="G505">
            <v>-2128.9225860000588</v>
          </cell>
          <cell r="H505">
            <v>-2686.4738280004822</v>
          </cell>
          <cell r="I505">
            <v>-1406.9100660001859</v>
          </cell>
          <cell r="J505">
            <v>-1473.4598369994201</v>
          </cell>
          <cell r="K505">
            <v>-1928.9560139998794</v>
          </cell>
          <cell r="L505">
            <v>-2211.5510549992323</v>
          </cell>
          <cell r="M505">
            <v>-2342.7238029995933</v>
          </cell>
          <cell r="N505">
            <v>-2451.1103270002641</v>
          </cell>
          <cell r="O505">
            <v>-1935.8188170003705</v>
          </cell>
          <cell r="P505">
            <v>-2178.9871310004964</v>
          </cell>
          <cell r="Q505">
            <v>-2902.58844100032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7">
          <cell r="A507" t="str">
            <v>Gas Generation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-67.743609999975888</v>
          </cell>
          <cell r="J508">
            <v>0</v>
          </cell>
          <cell r="K508">
            <v>0</v>
          </cell>
          <cell r="L508">
            <v>-42.006829999998445</v>
          </cell>
          <cell r="M508">
            <v>-92.644999999960419</v>
          </cell>
          <cell r="N508">
            <v>-192.37631999998121</v>
          </cell>
          <cell r="O508">
            <v>-289.17240999999922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-247.69193499998073</v>
          </cell>
          <cell r="G510">
            <v>-192.99375400002464</v>
          </cell>
          <cell r="H510">
            <v>-119.81238600000506</v>
          </cell>
          <cell r="I510">
            <v>0</v>
          </cell>
          <cell r="J510">
            <v>-110.36459399998421</v>
          </cell>
          <cell r="K510">
            <v>-213.81556999997701</v>
          </cell>
          <cell r="L510">
            <v>-72.378557999967597</v>
          </cell>
          <cell r="M510">
            <v>-54.909796000050846</v>
          </cell>
          <cell r="N510">
            <v>-45.118077000021003</v>
          </cell>
          <cell r="O510">
            <v>-375.08909999998286</v>
          </cell>
          <cell r="P510">
            <v>0</v>
          </cell>
          <cell r="Q510">
            <v>-322.69606799993198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29.846663999999691</v>
          </cell>
          <cell r="G512">
            <v>-0.46000800000001618</v>
          </cell>
          <cell r="H512">
            <v>-0.6133430000008957</v>
          </cell>
          <cell r="I512">
            <v>-1.9932649999991554</v>
          </cell>
          <cell r="J512">
            <v>-25.220682999999553</v>
          </cell>
          <cell r="K512">
            <v>-0.92013600000063889</v>
          </cell>
          <cell r="L512">
            <v>-16.479796499999793</v>
          </cell>
          <cell r="M512">
            <v>-50.03028600000107</v>
          </cell>
          <cell r="N512">
            <v>-11.299796499999502</v>
          </cell>
          <cell r="O512">
            <v>-1.3800259999989066</v>
          </cell>
          <cell r="P512">
            <v>-5.2141110000011395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-14.52813999998034</v>
          </cell>
          <cell r="G513">
            <v>-59.578229999984615</v>
          </cell>
          <cell r="H513">
            <v>-28.694100000022445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-18.404860000009649</v>
          </cell>
          <cell r="Q513">
            <v>-64.884850000002189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-372.62933000002522</v>
          </cell>
          <cell r="G514">
            <v>-230.84334999999555</v>
          </cell>
          <cell r="H514">
            <v>-19.956949999992503</v>
          </cell>
          <cell r="I514">
            <v>-50.956950000021607</v>
          </cell>
          <cell r="J514">
            <v>-157.5424799999746</v>
          </cell>
          <cell r="K514">
            <v>-202.10707000002731</v>
          </cell>
          <cell r="L514">
            <v>-36.88990999996895</v>
          </cell>
          <cell r="M514">
            <v>-47.5833800000255</v>
          </cell>
          <cell r="N514">
            <v>-31.619869999994989</v>
          </cell>
          <cell r="O514">
            <v>-204.29133999999613</v>
          </cell>
          <cell r="P514">
            <v>-240.77572999999393</v>
          </cell>
          <cell r="Q514">
            <v>-206.94848000002094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-72.48340000002645</v>
          </cell>
          <cell r="G515">
            <v>-49.957699999999022</v>
          </cell>
          <cell r="H515">
            <v>-140.16780299998936</v>
          </cell>
          <cell r="I515">
            <v>-86.506915000005392</v>
          </cell>
          <cell r="J515">
            <v>-96.155599999969127</v>
          </cell>
          <cell r="K515">
            <v>-206.59261299995705</v>
          </cell>
          <cell r="L515">
            <v>-103.04407000000356</v>
          </cell>
          <cell r="M515">
            <v>-137.84088999999221</v>
          </cell>
          <cell r="N515">
            <v>-312.8635409999988</v>
          </cell>
          <cell r="O515">
            <v>-225.92349800007651</v>
          </cell>
          <cell r="P515">
            <v>-257.10624999995343</v>
          </cell>
          <cell r="Q515">
            <v>201.35383000000729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8">
          <cell r="A518" t="str">
            <v>Total Gas Generation</v>
          </cell>
          <cell r="F518">
            <v>-677.48614099994302</v>
          </cell>
          <cell r="G518">
            <v>-533.83304199995473</v>
          </cell>
          <cell r="H518">
            <v>-309.2445819999557</v>
          </cell>
          <cell r="I518">
            <v>-207.20073999988381</v>
          </cell>
          <cell r="J518">
            <v>-389.28335699986201</v>
          </cell>
          <cell r="K518">
            <v>-623.43538899975829</v>
          </cell>
          <cell r="L518">
            <v>-270.7991645000875</v>
          </cell>
          <cell r="M518">
            <v>-383.00935199996457</v>
          </cell>
          <cell r="N518">
            <v>-593.2776044998318</v>
          </cell>
          <cell r="O518">
            <v>-1095.8563739999663</v>
          </cell>
          <cell r="P518">
            <v>-521.50095100002363</v>
          </cell>
          <cell r="Q518">
            <v>-393.17556799971499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20">
          <cell r="A520" t="str">
            <v>Hydro Generation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4">
          <cell r="A524" t="str">
            <v>Total Hydro Generation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6">
          <cell r="A526" t="str">
            <v>Other Generation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6">
          <cell r="A546" t="str">
            <v>Total Other Generation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8">
          <cell r="A548" t="str">
            <v>IRP Resources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3">
          <cell r="A573" t="str">
            <v>Total IRP Resources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5">
          <cell r="A575" t="str">
            <v>Growth Station Resources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-5.1166750000000008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4">
          <cell r="A584" t="str">
            <v>Total Growth Station Resources</v>
          </cell>
          <cell r="F584">
            <v>0</v>
          </cell>
          <cell r="G584">
            <v>0</v>
          </cell>
          <cell r="H584">
            <v>0</v>
          </cell>
          <cell r="I584">
            <v>-5.1166750000002139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 t="str">
            <v>=</v>
          </cell>
          <cell r="G585" t="str">
            <v>=</v>
          </cell>
          <cell r="H585" t="str">
            <v>=</v>
          </cell>
          <cell r="I585" t="str">
            <v>=</v>
          </cell>
          <cell r="J585" t="str">
            <v>=</v>
          </cell>
          <cell r="K585" t="str">
            <v>=</v>
          </cell>
          <cell r="L585" t="str">
            <v>=</v>
          </cell>
          <cell r="M585" t="str">
            <v>=</v>
          </cell>
          <cell r="N585" t="str">
            <v>=</v>
          </cell>
          <cell r="O585" t="str">
            <v>=</v>
          </cell>
          <cell r="P585" t="str">
            <v>=</v>
          </cell>
          <cell r="Q585" t="str">
            <v>=</v>
          </cell>
          <cell r="R585" t="str">
            <v>=</v>
          </cell>
          <cell r="S585" t="str">
            <v>=</v>
          </cell>
          <cell r="T585" t="str">
            <v>=</v>
          </cell>
          <cell r="U585" t="str">
            <v>=</v>
          </cell>
          <cell r="V585" t="str">
            <v>=</v>
          </cell>
          <cell r="W585" t="str">
            <v>=</v>
          </cell>
          <cell r="X585" t="str">
            <v>=</v>
          </cell>
          <cell r="Y585" t="str">
            <v>=</v>
          </cell>
          <cell r="Z585" t="str">
            <v>=</v>
          </cell>
          <cell r="AA585" t="str">
            <v>=</v>
          </cell>
          <cell r="AB585" t="str">
            <v>=</v>
          </cell>
          <cell r="AC585" t="str">
            <v>=</v>
          </cell>
          <cell r="AD585" t="str">
            <v>=</v>
          </cell>
          <cell r="AE585" t="str">
            <v>=</v>
          </cell>
          <cell r="AF585" t="str">
            <v>=</v>
          </cell>
          <cell r="AG585" t="str">
            <v>=</v>
          </cell>
          <cell r="AH585" t="str">
            <v>=</v>
          </cell>
          <cell r="AI585" t="str">
            <v>=</v>
          </cell>
          <cell r="AJ585" t="str">
            <v>=</v>
          </cell>
          <cell r="AK585" t="str">
            <v>=</v>
          </cell>
          <cell r="AL585" t="str">
            <v>=</v>
          </cell>
          <cell r="AM585" t="str">
            <v>=</v>
          </cell>
          <cell r="AN585" t="str">
            <v>=</v>
          </cell>
          <cell r="AO585" t="str">
            <v>=</v>
          </cell>
          <cell r="AP585" t="str">
            <v>=</v>
          </cell>
          <cell r="AQ585" t="str">
            <v>=</v>
          </cell>
          <cell r="AR585" t="str">
            <v>=</v>
          </cell>
          <cell r="AS585" t="str">
            <v>=</v>
          </cell>
          <cell r="AT585" t="str">
            <v>=</v>
          </cell>
          <cell r="AU585" t="str">
            <v>=</v>
          </cell>
          <cell r="AV585" t="str">
            <v>=</v>
          </cell>
          <cell r="AW585" t="str">
            <v>=</v>
          </cell>
          <cell r="AX585" t="str">
            <v>=</v>
          </cell>
          <cell r="AY585" t="str">
            <v>=</v>
          </cell>
          <cell r="AZ585" t="str">
            <v>=</v>
          </cell>
          <cell r="BA585" t="str">
            <v>=</v>
          </cell>
          <cell r="BB585" t="str">
            <v>=</v>
          </cell>
          <cell r="BC585" t="str">
            <v>=</v>
          </cell>
          <cell r="BD585" t="str">
            <v>=</v>
          </cell>
          <cell r="BE585" t="str">
            <v>=</v>
          </cell>
          <cell r="BF585" t="str">
            <v>=</v>
          </cell>
          <cell r="BG585" t="str">
            <v>=</v>
          </cell>
          <cell r="BH585" t="str">
            <v>=</v>
          </cell>
          <cell r="BI585" t="str">
            <v>=</v>
          </cell>
          <cell r="BJ585" t="str">
            <v>=</v>
          </cell>
          <cell r="BK585" t="str">
            <v>=</v>
          </cell>
          <cell r="BL585" t="str">
            <v>=</v>
          </cell>
          <cell r="BM585" t="str">
            <v>=</v>
          </cell>
          <cell r="BN585" t="str">
            <v>=</v>
          </cell>
          <cell r="BO585" t="str">
            <v>=</v>
          </cell>
          <cell r="BP585" t="str">
            <v>=</v>
          </cell>
          <cell r="BQ585" t="str">
            <v>=</v>
          </cell>
          <cell r="BR585" t="str">
            <v>=</v>
          </cell>
          <cell r="BS585" t="str">
            <v>=</v>
          </cell>
          <cell r="BT585" t="str">
            <v>=</v>
          </cell>
          <cell r="BU585" t="str">
            <v>=</v>
          </cell>
          <cell r="BV585" t="str">
            <v>=</v>
          </cell>
          <cell r="BW585" t="str">
            <v>=</v>
          </cell>
          <cell r="BX585" t="str">
            <v>=</v>
          </cell>
          <cell r="BY585" t="str">
            <v>=</v>
          </cell>
          <cell r="BZ585" t="str">
            <v>=</v>
          </cell>
          <cell r="CA585" t="str">
            <v>=</v>
          </cell>
          <cell r="CB585" t="str">
            <v>=</v>
          </cell>
          <cell r="CC585" t="str">
            <v>=</v>
          </cell>
          <cell r="CD585" t="str">
            <v>=</v>
          </cell>
          <cell r="CE585" t="str">
            <v>=</v>
          </cell>
          <cell r="CF585" t="str">
            <v>=</v>
          </cell>
          <cell r="CG585" t="str">
            <v>=</v>
          </cell>
          <cell r="CH585" t="str">
            <v>=</v>
          </cell>
          <cell r="CI585" t="str">
            <v>=</v>
          </cell>
          <cell r="CJ585" t="str">
            <v>=</v>
          </cell>
          <cell r="CK585" t="str">
            <v>=</v>
          </cell>
          <cell r="CL585" t="str">
            <v>=</v>
          </cell>
          <cell r="CM585" t="str">
            <v>=</v>
          </cell>
          <cell r="CN585" t="str">
            <v>=</v>
          </cell>
          <cell r="CO585" t="str">
            <v>=</v>
          </cell>
          <cell r="CP585" t="str">
            <v>=</v>
          </cell>
          <cell r="CQ585" t="str">
            <v>=</v>
          </cell>
          <cell r="CR585" t="str">
            <v>=</v>
          </cell>
          <cell r="CS585" t="str">
            <v>=</v>
          </cell>
          <cell r="CT585" t="str">
            <v>=</v>
          </cell>
          <cell r="CU585" t="str">
            <v>=</v>
          </cell>
          <cell r="CV585" t="str">
            <v>=</v>
          </cell>
          <cell r="CW585" t="str">
            <v>=</v>
          </cell>
          <cell r="CX585" t="str">
            <v>=</v>
          </cell>
          <cell r="CY585" t="str">
            <v>=</v>
          </cell>
          <cell r="CZ585" t="str">
            <v>=</v>
          </cell>
          <cell r="DA585" t="str">
            <v>=</v>
          </cell>
          <cell r="DB585" t="str">
            <v>=</v>
          </cell>
          <cell r="DC585" t="str">
            <v>=</v>
          </cell>
          <cell r="DD585" t="str">
            <v>=</v>
          </cell>
          <cell r="DE585" t="str">
            <v>=</v>
          </cell>
          <cell r="DF585" t="str">
            <v>=</v>
          </cell>
          <cell r="DG585" t="str">
            <v>=</v>
          </cell>
          <cell r="DH585" t="str">
            <v>=</v>
          </cell>
          <cell r="DI585" t="str">
            <v>=</v>
          </cell>
          <cell r="DJ585" t="str">
            <v>=</v>
          </cell>
          <cell r="DK585" t="str">
            <v>=</v>
          </cell>
          <cell r="DL585" t="str">
            <v>=</v>
          </cell>
          <cell r="DM585" t="str">
            <v>=</v>
          </cell>
          <cell r="DN585" t="str">
            <v>=</v>
          </cell>
          <cell r="DO585" t="str">
            <v>=</v>
          </cell>
          <cell r="DP585" t="str">
            <v>=</v>
          </cell>
          <cell r="DQ585" t="str">
            <v>=</v>
          </cell>
          <cell r="DR585" t="str">
            <v>=</v>
          </cell>
          <cell r="DS585" t="str">
            <v>=</v>
          </cell>
          <cell r="DT585" t="str">
            <v>=</v>
          </cell>
          <cell r="DU585" t="str">
            <v>=</v>
          </cell>
          <cell r="DV585" t="str">
            <v>=</v>
          </cell>
          <cell r="DW585" t="str">
            <v>=</v>
          </cell>
          <cell r="DX585" t="str">
            <v>=</v>
          </cell>
          <cell r="DY585" t="str">
            <v>=</v>
          </cell>
          <cell r="DZ585" t="str">
            <v>=</v>
          </cell>
          <cell r="EA585" t="str">
            <v>=</v>
          </cell>
          <cell r="EB585" t="str">
            <v>=</v>
          </cell>
          <cell r="EC585" t="str">
            <v>=</v>
          </cell>
          <cell r="ED585" t="str">
            <v>=</v>
          </cell>
        </row>
        <row r="586">
          <cell r="A586" t="str">
            <v>Total Resources</v>
          </cell>
          <cell r="F586">
            <v>485.70914200041443</v>
          </cell>
          <cell r="G586">
            <v>416.7923720004037</v>
          </cell>
          <cell r="H586">
            <v>281.98156999982893</v>
          </cell>
          <cell r="I586">
            <v>750.18911900091916</v>
          </cell>
          <cell r="J586">
            <v>403.91549600102007</v>
          </cell>
          <cell r="K586">
            <v>413.71769700013101</v>
          </cell>
          <cell r="L586">
            <v>420.60338050127029</v>
          </cell>
          <cell r="M586">
            <v>80.697422000579536</v>
          </cell>
          <cell r="N586">
            <v>206.7821885002777</v>
          </cell>
          <cell r="O586">
            <v>172.55970899946988</v>
          </cell>
          <cell r="P586">
            <v>467.85091799963266</v>
          </cell>
          <cell r="Q586">
            <v>490.12009099964052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 t="str">
            <v>=</v>
          </cell>
          <cell r="G587" t="str">
            <v>=</v>
          </cell>
          <cell r="H587" t="str">
            <v>=</v>
          </cell>
          <cell r="I587" t="str">
            <v>=</v>
          </cell>
          <cell r="J587" t="str">
            <v>=</v>
          </cell>
          <cell r="K587" t="str">
            <v>=</v>
          </cell>
          <cell r="L587" t="str">
            <v>=</v>
          </cell>
          <cell r="M587" t="str">
            <v>=</v>
          </cell>
          <cell r="N587" t="str">
            <v>=</v>
          </cell>
          <cell r="O587" t="str">
            <v>=</v>
          </cell>
          <cell r="P587" t="str">
            <v>=</v>
          </cell>
          <cell r="Q587" t="str">
            <v>=</v>
          </cell>
          <cell r="R587" t="str">
            <v>=</v>
          </cell>
          <cell r="S587" t="str">
            <v>=</v>
          </cell>
          <cell r="T587" t="str">
            <v>=</v>
          </cell>
          <cell r="U587" t="str">
            <v>=</v>
          </cell>
          <cell r="V587" t="str">
            <v>=</v>
          </cell>
          <cell r="W587" t="str">
            <v>=</v>
          </cell>
          <cell r="X587" t="str">
            <v>=</v>
          </cell>
          <cell r="Y587" t="str">
            <v>=</v>
          </cell>
          <cell r="Z587" t="str">
            <v>=</v>
          </cell>
          <cell r="AA587" t="str">
            <v>=</v>
          </cell>
          <cell r="AB587" t="str">
            <v>=</v>
          </cell>
          <cell r="AC587" t="str">
            <v>=</v>
          </cell>
          <cell r="AD587" t="str">
            <v>=</v>
          </cell>
          <cell r="AE587" t="str">
            <v>=</v>
          </cell>
          <cell r="AF587" t="str">
            <v>=</v>
          </cell>
          <cell r="AG587" t="str">
            <v>=</v>
          </cell>
          <cell r="AH587" t="str">
            <v>=</v>
          </cell>
          <cell r="AI587" t="str">
            <v>=</v>
          </cell>
          <cell r="AJ587" t="str">
            <v>=</v>
          </cell>
          <cell r="AK587" t="str">
            <v>=</v>
          </cell>
          <cell r="AL587" t="str">
            <v>=</v>
          </cell>
          <cell r="AM587" t="str">
            <v>=</v>
          </cell>
          <cell r="AN587" t="str">
            <v>=</v>
          </cell>
          <cell r="AO587" t="str">
            <v>=</v>
          </cell>
          <cell r="AP587" t="str">
            <v>=</v>
          </cell>
          <cell r="AQ587" t="str">
            <v>=</v>
          </cell>
          <cell r="AR587" t="str">
            <v>=</v>
          </cell>
          <cell r="AS587" t="str">
            <v>=</v>
          </cell>
          <cell r="AT587" t="str">
            <v>=</v>
          </cell>
          <cell r="AU587" t="str">
            <v>=</v>
          </cell>
          <cell r="AV587" t="str">
            <v>=</v>
          </cell>
          <cell r="AW587" t="str">
            <v>=</v>
          </cell>
          <cell r="AX587" t="str">
            <v>=</v>
          </cell>
          <cell r="AY587" t="str">
            <v>=</v>
          </cell>
          <cell r="AZ587" t="str">
            <v>=</v>
          </cell>
          <cell r="BA587" t="str">
            <v>=</v>
          </cell>
          <cell r="BB587" t="str">
            <v>=</v>
          </cell>
          <cell r="BC587" t="str">
            <v>=</v>
          </cell>
          <cell r="BD587" t="str">
            <v>=</v>
          </cell>
          <cell r="BE587" t="str">
            <v>=</v>
          </cell>
          <cell r="BF587" t="str">
            <v>=</v>
          </cell>
          <cell r="BG587" t="str">
            <v>=</v>
          </cell>
          <cell r="BH587" t="str">
            <v>=</v>
          </cell>
          <cell r="BI587" t="str">
            <v>=</v>
          </cell>
          <cell r="BJ587" t="str">
            <v>=</v>
          </cell>
          <cell r="BK587" t="str">
            <v>=</v>
          </cell>
          <cell r="BL587" t="str">
            <v>=</v>
          </cell>
          <cell r="BM587" t="str">
            <v>=</v>
          </cell>
          <cell r="BN587" t="str">
            <v>=</v>
          </cell>
          <cell r="BO587" t="str">
            <v>=</v>
          </cell>
          <cell r="BP587" t="str">
            <v>=</v>
          </cell>
          <cell r="BQ587" t="str">
            <v>=</v>
          </cell>
          <cell r="BR587" t="str">
            <v>=</v>
          </cell>
          <cell r="BS587" t="str">
            <v>=</v>
          </cell>
          <cell r="BT587" t="str">
            <v>=</v>
          </cell>
          <cell r="BU587" t="str">
            <v>=</v>
          </cell>
          <cell r="BV587" t="str">
            <v>=</v>
          </cell>
          <cell r="BW587" t="str">
            <v>=</v>
          </cell>
          <cell r="BX587" t="str">
            <v>=</v>
          </cell>
          <cell r="BY587" t="str">
            <v>=</v>
          </cell>
          <cell r="BZ587" t="str">
            <v>=</v>
          </cell>
          <cell r="CA587" t="str">
            <v>=</v>
          </cell>
          <cell r="CB587" t="str">
            <v>=</v>
          </cell>
          <cell r="CC587" t="str">
            <v>=</v>
          </cell>
          <cell r="CD587" t="str">
            <v>=</v>
          </cell>
          <cell r="CE587" t="str">
            <v>=</v>
          </cell>
          <cell r="CF587" t="str">
            <v>=</v>
          </cell>
          <cell r="CG587" t="str">
            <v>=</v>
          </cell>
          <cell r="CH587" t="str">
            <v>=</v>
          </cell>
          <cell r="CI587" t="str">
            <v>=</v>
          </cell>
          <cell r="CJ587" t="str">
            <v>=</v>
          </cell>
          <cell r="CK587" t="str">
            <v>=</v>
          </cell>
          <cell r="CL587" t="str">
            <v>=</v>
          </cell>
          <cell r="CM587" t="str">
            <v>=</v>
          </cell>
          <cell r="CN587" t="str">
            <v>=</v>
          </cell>
          <cell r="CO587" t="str">
            <v>=</v>
          </cell>
          <cell r="CP587" t="str">
            <v>=</v>
          </cell>
          <cell r="CQ587" t="str">
            <v>=</v>
          </cell>
          <cell r="CR587" t="str">
            <v>=</v>
          </cell>
          <cell r="CS587" t="str">
            <v>=</v>
          </cell>
          <cell r="CT587" t="str">
            <v>=</v>
          </cell>
          <cell r="CU587" t="str">
            <v>=</v>
          </cell>
          <cell r="CV587" t="str">
            <v>=</v>
          </cell>
          <cell r="CW587" t="str">
            <v>=</v>
          </cell>
          <cell r="CX587" t="str">
            <v>=</v>
          </cell>
          <cell r="CY587" t="str">
            <v>=</v>
          </cell>
          <cell r="CZ587" t="str">
            <v>=</v>
          </cell>
          <cell r="DA587" t="str">
            <v>=</v>
          </cell>
          <cell r="DB587" t="str">
            <v>=</v>
          </cell>
          <cell r="DC587" t="str">
            <v>=</v>
          </cell>
          <cell r="DD587" t="str">
            <v>=</v>
          </cell>
          <cell r="DE587" t="str">
            <v>=</v>
          </cell>
          <cell r="DF587" t="str">
            <v>=</v>
          </cell>
          <cell r="DG587" t="str">
            <v>=</v>
          </cell>
          <cell r="DH587" t="str">
            <v>=</v>
          </cell>
          <cell r="DI587" t="str">
            <v>=</v>
          </cell>
          <cell r="DJ587" t="str">
            <v>=</v>
          </cell>
          <cell r="DK587" t="str">
            <v>=</v>
          </cell>
          <cell r="DL587" t="str">
            <v>=</v>
          </cell>
          <cell r="DM587" t="str">
            <v>=</v>
          </cell>
          <cell r="DN587" t="str">
            <v>=</v>
          </cell>
          <cell r="DO587" t="str">
            <v>=</v>
          </cell>
          <cell r="DP587" t="str">
            <v>=</v>
          </cell>
          <cell r="DQ587" t="str">
            <v>=</v>
          </cell>
          <cell r="DR587" t="str">
            <v>=</v>
          </cell>
          <cell r="DS587" t="str">
            <v>=</v>
          </cell>
          <cell r="DT587" t="str">
            <v>=</v>
          </cell>
          <cell r="DU587" t="str">
            <v>=</v>
          </cell>
          <cell r="DV587" t="str">
            <v>=</v>
          </cell>
          <cell r="DW587" t="str">
            <v>=</v>
          </cell>
          <cell r="DX587" t="str">
            <v>=</v>
          </cell>
          <cell r="DY587" t="str">
            <v>=</v>
          </cell>
          <cell r="DZ587" t="str">
            <v>=</v>
          </cell>
          <cell r="EA587" t="str">
            <v>=</v>
          </cell>
          <cell r="EB587" t="str">
            <v>=</v>
          </cell>
          <cell r="EC587" t="str">
            <v>=</v>
          </cell>
          <cell r="ED587" t="str">
            <v>=</v>
          </cell>
        </row>
        <row r="588"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  <cell r="BP588" t="str">
            <v/>
          </cell>
          <cell r="BQ588" t="str">
            <v/>
          </cell>
          <cell r="BR588" t="str">
            <v/>
          </cell>
          <cell r="BS588" t="str">
            <v/>
          </cell>
          <cell r="BT588" t="str">
            <v/>
          </cell>
          <cell r="BU588" t="str">
            <v/>
          </cell>
          <cell r="BV588" t="str">
            <v/>
          </cell>
          <cell r="BW588" t="str">
            <v/>
          </cell>
          <cell r="BX588" t="str">
            <v/>
          </cell>
          <cell r="BY588" t="str">
            <v/>
          </cell>
          <cell r="BZ588" t="str">
            <v/>
          </cell>
          <cell r="CA588" t="str">
            <v/>
          </cell>
          <cell r="CB588" t="str">
            <v/>
          </cell>
          <cell r="CC588" t="str">
            <v/>
          </cell>
          <cell r="CD588" t="str">
            <v/>
          </cell>
          <cell r="CE588" t="str">
            <v/>
          </cell>
          <cell r="CF588" t="str">
            <v/>
          </cell>
          <cell r="CG588" t="str">
            <v/>
          </cell>
          <cell r="CH588" t="str">
            <v/>
          </cell>
          <cell r="CI588" t="str">
            <v/>
          </cell>
          <cell r="CJ588" t="str">
            <v/>
          </cell>
          <cell r="CK588" t="str">
            <v/>
          </cell>
          <cell r="CL588" t="str">
            <v/>
          </cell>
          <cell r="CM588" t="str">
            <v/>
          </cell>
          <cell r="CN588" t="str">
            <v/>
          </cell>
          <cell r="CO588" t="str">
            <v/>
          </cell>
          <cell r="CP588" t="str">
            <v/>
          </cell>
          <cell r="CQ588" t="str">
            <v/>
          </cell>
          <cell r="CR588" t="str">
            <v/>
          </cell>
          <cell r="CS588" t="str">
            <v/>
          </cell>
          <cell r="CT588" t="str">
            <v/>
          </cell>
          <cell r="CU588" t="str">
            <v/>
          </cell>
          <cell r="CV588" t="str">
            <v/>
          </cell>
          <cell r="CW588" t="str">
            <v/>
          </cell>
          <cell r="CX588" t="str">
            <v/>
          </cell>
          <cell r="CY588" t="str">
            <v/>
          </cell>
          <cell r="CZ588" t="str">
            <v/>
          </cell>
          <cell r="DA588" t="str">
            <v/>
          </cell>
          <cell r="DB588" t="str">
            <v/>
          </cell>
          <cell r="DC588" t="str">
            <v/>
          </cell>
          <cell r="DD588" t="str">
            <v/>
          </cell>
          <cell r="DE588" t="str">
            <v/>
          </cell>
          <cell r="DF588" t="str">
            <v/>
          </cell>
          <cell r="DG588" t="str">
            <v/>
          </cell>
          <cell r="DH588" t="str">
            <v/>
          </cell>
          <cell r="DI588" t="str">
            <v/>
          </cell>
          <cell r="DJ588" t="str">
            <v/>
          </cell>
          <cell r="DK588" t="str">
            <v/>
          </cell>
          <cell r="DL588" t="str">
            <v/>
          </cell>
          <cell r="DM588" t="str">
            <v/>
          </cell>
          <cell r="DN588" t="str">
            <v/>
          </cell>
          <cell r="DO588" t="str">
            <v/>
          </cell>
          <cell r="DP588" t="str">
            <v/>
          </cell>
          <cell r="DQ588" t="str">
            <v/>
          </cell>
          <cell r="DR588" t="str">
            <v/>
          </cell>
          <cell r="DS588" t="str">
            <v/>
          </cell>
          <cell r="DT588" t="str">
            <v/>
          </cell>
          <cell r="DU588" t="str">
            <v/>
          </cell>
          <cell r="DV588" t="str">
            <v/>
          </cell>
          <cell r="DW588" t="str">
            <v/>
          </cell>
          <cell r="DX588" t="str">
            <v/>
          </cell>
          <cell r="DY588" t="str">
            <v/>
          </cell>
          <cell r="DZ588" t="str">
            <v/>
          </cell>
          <cell r="EA588" t="str">
            <v/>
          </cell>
          <cell r="EB588" t="str">
            <v/>
          </cell>
          <cell r="EC588" t="str">
            <v/>
          </cell>
          <cell r="ED588" t="str">
            <v/>
          </cell>
        </row>
        <row r="589"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  <cell r="BP589" t="str">
            <v/>
          </cell>
          <cell r="BQ589" t="str">
            <v/>
          </cell>
          <cell r="BR589" t="str">
            <v/>
          </cell>
          <cell r="BS589" t="str">
            <v/>
          </cell>
          <cell r="BT589" t="str">
            <v/>
          </cell>
          <cell r="BU589" t="str">
            <v/>
          </cell>
          <cell r="BV589" t="str">
            <v/>
          </cell>
          <cell r="BW589" t="str">
            <v/>
          </cell>
          <cell r="BX589" t="str">
            <v/>
          </cell>
          <cell r="BY589" t="str">
            <v/>
          </cell>
          <cell r="BZ589" t="str">
            <v/>
          </cell>
          <cell r="CA589" t="str">
            <v/>
          </cell>
          <cell r="CB589" t="str">
            <v/>
          </cell>
          <cell r="CC589" t="str">
            <v/>
          </cell>
          <cell r="CD589" t="str">
            <v/>
          </cell>
          <cell r="CE589" t="str">
            <v/>
          </cell>
          <cell r="CF589" t="str">
            <v/>
          </cell>
          <cell r="CG589" t="str">
            <v/>
          </cell>
          <cell r="CH589" t="str">
            <v/>
          </cell>
          <cell r="CI589" t="str">
            <v/>
          </cell>
          <cell r="CJ589" t="str">
            <v/>
          </cell>
          <cell r="CK589" t="str">
            <v/>
          </cell>
          <cell r="CL589" t="str">
            <v/>
          </cell>
          <cell r="CM589" t="str">
            <v/>
          </cell>
          <cell r="CN589" t="str">
            <v/>
          </cell>
          <cell r="CO589" t="str">
            <v/>
          </cell>
          <cell r="CP589" t="str">
            <v/>
          </cell>
          <cell r="CQ589" t="str">
            <v/>
          </cell>
          <cell r="CR589" t="str">
            <v/>
          </cell>
          <cell r="CS589" t="str">
            <v/>
          </cell>
          <cell r="CT589" t="str">
            <v/>
          </cell>
          <cell r="CU589" t="str">
            <v/>
          </cell>
          <cell r="CV589" t="str">
            <v/>
          </cell>
          <cell r="CW589" t="str">
            <v/>
          </cell>
          <cell r="CX589" t="str">
            <v/>
          </cell>
          <cell r="CY589" t="str">
            <v/>
          </cell>
          <cell r="CZ589" t="str">
            <v/>
          </cell>
          <cell r="DA589" t="str">
            <v/>
          </cell>
          <cell r="DB589" t="str">
            <v/>
          </cell>
          <cell r="DC589" t="str">
            <v/>
          </cell>
          <cell r="DD589" t="str">
            <v/>
          </cell>
          <cell r="DE589" t="str">
            <v/>
          </cell>
          <cell r="DF589" t="str">
            <v/>
          </cell>
          <cell r="DG589" t="str">
            <v/>
          </cell>
          <cell r="DH589" t="str">
            <v/>
          </cell>
          <cell r="DI589" t="str">
            <v/>
          </cell>
          <cell r="DJ589" t="str">
            <v/>
          </cell>
          <cell r="DK589" t="str">
            <v/>
          </cell>
          <cell r="DL589" t="str">
            <v/>
          </cell>
          <cell r="DM589" t="str">
            <v/>
          </cell>
          <cell r="DN589" t="str">
            <v/>
          </cell>
          <cell r="DO589" t="str">
            <v/>
          </cell>
          <cell r="DP589" t="str">
            <v/>
          </cell>
          <cell r="DQ589" t="str">
            <v/>
          </cell>
          <cell r="DR589" t="str">
            <v/>
          </cell>
          <cell r="DS589" t="str">
            <v/>
          </cell>
          <cell r="DT589" t="str">
            <v/>
          </cell>
          <cell r="DU589" t="str">
            <v/>
          </cell>
          <cell r="DV589" t="str">
            <v/>
          </cell>
          <cell r="DW589" t="str">
            <v/>
          </cell>
          <cell r="DX589" t="str">
            <v/>
          </cell>
          <cell r="DY589" t="str">
            <v/>
          </cell>
          <cell r="DZ589" t="str">
            <v/>
          </cell>
          <cell r="EA589" t="str">
            <v/>
          </cell>
          <cell r="EB589" t="str">
            <v/>
          </cell>
          <cell r="EC589" t="str">
            <v/>
          </cell>
          <cell r="ED589" t="str">
            <v/>
          </cell>
        </row>
        <row r="590">
          <cell r="J590" t="str">
            <v>"The Rack"</v>
          </cell>
          <cell r="W590" t="str">
            <v>"The Rack"</v>
          </cell>
          <cell r="AJ590" t="str">
            <v>"The Rack"</v>
          </cell>
          <cell r="AW590" t="str">
            <v>"The Rack"</v>
          </cell>
          <cell r="BJ590" t="str">
            <v>"The Rack"</v>
          </cell>
          <cell r="BW590" t="str">
            <v>"The Rack"</v>
          </cell>
          <cell r="CJ590" t="str">
            <v>"The Rack"</v>
          </cell>
          <cell r="CW590" t="str">
            <v>"The Rack"</v>
          </cell>
          <cell r="DJ590" t="str">
            <v>"The Rack"</v>
          </cell>
          <cell r="DW590" t="str">
            <v>"The Rack"</v>
          </cell>
        </row>
        <row r="592">
          <cell r="A592" t="str">
            <v>Fuel Burned  (MMBtu)</v>
          </cell>
        </row>
        <row r="593">
          <cell r="F593">
            <v>-1684.4000000001397</v>
          </cell>
          <cell r="G593">
            <v>-871.69999999995343</v>
          </cell>
          <cell r="H593">
            <v>-437</v>
          </cell>
          <cell r="I593">
            <v>-203.19999999995343</v>
          </cell>
          <cell r="J593">
            <v>-100.39999999990687</v>
          </cell>
          <cell r="K593">
            <v>-50.899999999906868</v>
          </cell>
          <cell r="L593">
            <v>-520.10000000009313</v>
          </cell>
          <cell r="M593">
            <v>-240</v>
          </cell>
          <cell r="N593">
            <v>-125.5</v>
          </cell>
          <cell r="O593">
            <v>-301.79999999981374</v>
          </cell>
          <cell r="P593">
            <v>-807</v>
          </cell>
          <cell r="Q593">
            <v>-924.30000000004657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4">
          <cell r="F594">
            <v>0</v>
          </cell>
          <cell r="G594">
            <v>0</v>
          </cell>
          <cell r="H594">
            <v>-48.460000000079162</v>
          </cell>
          <cell r="I594">
            <v>-49.199999999953434</v>
          </cell>
          <cell r="J594">
            <v>-144.73000000009779</v>
          </cell>
          <cell r="K594">
            <v>-49.060000000055879</v>
          </cell>
          <cell r="L594">
            <v>0</v>
          </cell>
          <cell r="M594">
            <v>0</v>
          </cell>
          <cell r="N594">
            <v>0</v>
          </cell>
          <cell r="O594">
            <v>-48.310000000055879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-460.10000000009313</v>
          </cell>
          <cell r="G595">
            <v>-153.16999999992549</v>
          </cell>
          <cell r="H595">
            <v>0</v>
          </cell>
          <cell r="I595">
            <v>0</v>
          </cell>
          <cell r="J595">
            <v>-100.53000000002794</v>
          </cell>
          <cell r="K595">
            <v>0</v>
          </cell>
          <cell r="L595">
            <v>-90.100000000093132</v>
          </cell>
          <cell r="M595">
            <v>-56.5</v>
          </cell>
          <cell r="N595">
            <v>0</v>
          </cell>
          <cell r="O595">
            <v>-76.800000000046566</v>
          </cell>
          <cell r="P595">
            <v>-218.75</v>
          </cell>
          <cell r="Q595">
            <v>-512.71999999997206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0</v>
          </cell>
          <cell r="G596">
            <v>0</v>
          </cell>
          <cell r="H596">
            <v>-350</v>
          </cell>
          <cell r="I596">
            <v>-432.64999999990687</v>
          </cell>
          <cell r="J596">
            <v>-916.20999999949709</v>
          </cell>
          <cell r="K596">
            <v>-459.69000000040978</v>
          </cell>
          <cell r="L596">
            <v>0</v>
          </cell>
          <cell r="M596">
            <v>0</v>
          </cell>
          <cell r="N596">
            <v>-62</v>
          </cell>
          <cell r="O596">
            <v>-54.100000000558794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-523.29999999998836</v>
          </cell>
          <cell r="G597">
            <v>-176.02000000001863</v>
          </cell>
          <cell r="H597">
            <v>-78.820000000006985</v>
          </cell>
          <cell r="I597">
            <v>-50.909999999974389</v>
          </cell>
          <cell r="J597">
            <v>-51.519999999960419</v>
          </cell>
          <cell r="K597">
            <v>0</v>
          </cell>
          <cell r="L597">
            <v>-200.21999999997206</v>
          </cell>
          <cell r="M597">
            <v>-7.9799999999813735</v>
          </cell>
          <cell r="N597">
            <v>-93.179999999993015</v>
          </cell>
          <cell r="O597">
            <v>-61.5</v>
          </cell>
          <cell r="P597">
            <v>-117.44000000000233</v>
          </cell>
          <cell r="Q597">
            <v>-362.52000000001863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-15010.500000000931</v>
          </cell>
          <cell r="G598">
            <v>-11448.000000000931</v>
          </cell>
          <cell r="H598">
            <v>-8462.660000000149</v>
          </cell>
          <cell r="I598">
            <v>-3701.3999999999069</v>
          </cell>
          <cell r="J598">
            <v>-4778.1500000003725</v>
          </cell>
          <cell r="K598">
            <v>-4773.3599999998696</v>
          </cell>
          <cell r="L598">
            <v>-9405.4999999990687</v>
          </cell>
          <cell r="M598">
            <v>-8317.3000000007451</v>
          </cell>
          <cell r="N598">
            <v>-10313.399999999441</v>
          </cell>
          <cell r="O598">
            <v>-5457</v>
          </cell>
          <cell r="P598">
            <v>-6492.2100000004284</v>
          </cell>
          <cell r="Q598">
            <v>-12356.700000000186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-107</v>
          </cell>
          <cell r="G599">
            <v>-752</v>
          </cell>
          <cell r="H599">
            <v>-1672.5</v>
          </cell>
          <cell r="I599">
            <v>-2493.2999999998137</v>
          </cell>
          <cell r="J599">
            <v>-3672.4000000003725</v>
          </cell>
          <cell r="K599">
            <v>-5771.4000000003725</v>
          </cell>
          <cell r="L599">
            <v>-1026.5999999996275</v>
          </cell>
          <cell r="M599">
            <v>-145.70000000018626</v>
          </cell>
          <cell r="N599">
            <v>-403.40000000037253</v>
          </cell>
          <cell r="O599">
            <v>-2553.2000000001863</v>
          </cell>
          <cell r="P599">
            <v>-2308.3999999994412</v>
          </cell>
          <cell r="Q599">
            <v>-1390.0999999996275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-6215.1000000014901</v>
          </cell>
          <cell r="G600">
            <v>-7079.5999999996275</v>
          </cell>
          <cell r="H600">
            <v>-14567.900000000373</v>
          </cell>
          <cell r="I600">
            <v>-5802.0399999991059</v>
          </cell>
          <cell r="J600">
            <v>-3514.3400000007823</v>
          </cell>
          <cell r="K600">
            <v>-6615.1000000005588</v>
          </cell>
          <cell r="L600">
            <v>-10495</v>
          </cell>
          <cell r="M600">
            <v>-14091.099999999627</v>
          </cell>
          <cell r="N600">
            <v>-12688.299999999814</v>
          </cell>
          <cell r="O600">
            <v>-9693.359999999404</v>
          </cell>
          <cell r="P600">
            <v>-11165.099999999627</v>
          </cell>
          <cell r="Q600">
            <v>-12303.200000000186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0</v>
          </cell>
          <cell r="G601">
            <v>-414.3000000002794</v>
          </cell>
          <cell r="H601">
            <v>-450.20000000018626</v>
          </cell>
          <cell r="I601">
            <v>-874.5</v>
          </cell>
          <cell r="J601">
            <v>-1079</v>
          </cell>
          <cell r="K601">
            <v>-1095.1000000000931</v>
          </cell>
          <cell r="L601">
            <v>-97.599999999627471</v>
          </cell>
          <cell r="M601">
            <v>-50.699999999720603</v>
          </cell>
          <cell r="N601">
            <v>-57.799999999813735</v>
          </cell>
          <cell r="O601">
            <v>-585.89999999990687</v>
          </cell>
          <cell r="P601">
            <v>-106.29999999981374</v>
          </cell>
          <cell r="Q601">
            <v>-257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0</v>
          </cell>
          <cell r="G602">
            <v>0</v>
          </cell>
          <cell r="H602">
            <v>-58.200000000186265</v>
          </cell>
          <cell r="I602">
            <v>0</v>
          </cell>
          <cell r="J602">
            <v>-15.299999999813735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-417.30000000004657</v>
          </cell>
          <cell r="J604">
            <v>0</v>
          </cell>
          <cell r="K604">
            <v>0</v>
          </cell>
          <cell r="L604">
            <v>-247.30000000004657</v>
          </cell>
          <cell r="M604">
            <v>-553.79999999981374</v>
          </cell>
          <cell r="N604">
            <v>-1154.2999999998137</v>
          </cell>
          <cell r="O604">
            <v>-1748.5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</row>
        <row r="606">
          <cell r="F606">
            <v>-1488.5319999998901</v>
          </cell>
          <cell r="G606">
            <v>-1137.440000000177</v>
          </cell>
          <cell r="H606">
            <v>-709.0659999998752</v>
          </cell>
          <cell r="I606">
            <v>0</v>
          </cell>
          <cell r="J606">
            <v>-650.92899999977089</v>
          </cell>
          <cell r="K606">
            <v>-1249.1999999999534</v>
          </cell>
          <cell r="L606">
            <v>-482.43999999994412</v>
          </cell>
          <cell r="M606">
            <v>-334.3800000003539</v>
          </cell>
          <cell r="N606">
            <v>-264.42000000039116</v>
          </cell>
          <cell r="O606">
            <v>-2169.9049999997951</v>
          </cell>
          <cell r="P606">
            <v>0</v>
          </cell>
          <cell r="Q606">
            <v>-1930.3150000004098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495.87700000000768</v>
          </cell>
          <cell r="G608">
            <v>-3.819999999992433</v>
          </cell>
          <cell r="H608">
            <v>-4.885999999998603</v>
          </cell>
          <cell r="I608">
            <v>-16.324000000022352</v>
          </cell>
          <cell r="J608">
            <v>-206.99499999999534</v>
          </cell>
          <cell r="K608">
            <v>-7.3999999999941792</v>
          </cell>
          <cell r="L608">
            <v>-132.24499999999534</v>
          </cell>
          <cell r="M608">
            <v>-408.49000000004889</v>
          </cell>
          <cell r="N608">
            <v>-93.599999999976717</v>
          </cell>
          <cell r="O608">
            <v>-11.25700000001234</v>
          </cell>
          <cell r="P608">
            <v>-43.073000000033062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09">
          <cell r="F609">
            <v>-41.850000000093132</v>
          </cell>
          <cell r="G609">
            <v>-170.5</v>
          </cell>
          <cell r="H609">
            <v>-83.419999999983702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-55.949999999953434</v>
          </cell>
          <cell r="Q609">
            <v>-190.40000000002328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</row>
        <row r="610">
          <cell r="F610">
            <v>-2169.6999999997206</v>
          </cell>
          <cell r="G610">
            <v>-1338.8100000000559</v>
          </cell>
          <cell r="H610">
            <v>-118.10000000009313</v>
          </cell>
          <cell r="I610">
            <v>-278.70000000018626</v>
          </cell>
          <cell r="J610">
            <v>-895.39999999990687</v>
          </cell>
          <cell r="K610">
            <v>-1113.7000000001863</v>
          </cell>
          <cell r="L610">
            <v>-215.79999999981374</v>
          </cell>
          <cell r="M610">
            <v>-273.29999999981374</v>
          </cell>
          <cell r="N610">
            <v>-177</v>
          </cell>
          <cell r="O610">
            <v>-1166.2999999998137</v>
          </cell>
          <cell r="P610">
            <v>-1360.2000000001863</v>
          </cell>
          <cell r="Q610">
            <v>-1176.2999999998137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1">
          <cell r="F611">
            <v>-468.5</v>
          </cell>
          <cell r="G611">
            <v>-314.5</v>
          </cell>
          <cell r="H611">
            <v>-908.07400000002235</v>
          </cell>
          <cell r="I611">
            <v>-556.89400000008754</v>
          </cell>
          <cell r="J611">
            <v>-628.64999999990687</v>
          </cell>
          <cell r="K611">
            <v>-1329.6999999997206</v>
          </cell>
          <cell r="L611">
            <v>-669.5</v>
          </cell>
          <cell r="M611">
            <v>-909.16600000066683</v>
          </cell>
          <cell r="N611">
            <v>-2040.7800000002608</v>
          </cell>
          <cell r="O611">
            <v>-1448.3900000001304</v>
          </cell>
          <cell r="P611">
            <v>-1660.6000000000931</v>
          </cell>
          <cell r="Q611">
            <v>1594.3000000000466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3">
          <cell r="A623" t="str">
            <v>Burn Rate (MMBtu/MWh)</v>
          </cell>
        </row>
        <row r="624">
          <cell r="F624">
            <v>1E-3</v>
          </cell>
          <cell r="G624">
            <v>1E-3</v>
          </cell>
          <cell r="H624">
            <v>1E-3</v>
          </cell>
          <cell r="I624">
            <v>0</v>
          </cell>
          <cell r="J624">
            <v>0</v>
          </cell>
          <cell r="K624">
            <v>0</v>
          </cell>
          <cell r="L624">
            <v>1E-3</v>
          </cell>
          <cell r="M624">
            <v>0</v>
          </cell>
          <cell r="N624">
            <v>0</v>
          </cell>
          <cell r="O624">
            <v>0</v>
          </cell>
          <cell r="P624">
            <v>1E-3</v>
          </cell>
          <cell r="Q624">
            <v>1E-3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</row>
        <row r="628">
          <cell r="F628">
            <v>1E-3</v>
          </cell>
          <cell r="G628">
            <v>1E-3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1E-3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1E-3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</row>
        <row r="629">
          <cell r="F629">
            <v>1E-3</v>
          </cell>
          <cell r="G629">
            <v>1E-3</v>
          </cell>
          <cell r="H629">
            <v>2E-3</v>
          </cell>
          <cell r="I629">
            <v>1E-3</v>
          </cell>
          <cell r="J629">
            <v>1E-3</v>
          </cell>
          <cell r="K629">
            <v>1E-3</v>
          </cell>
          <cell r="L629">
            <v>1E-3</v>
          </cell>
          <cell r="M629">
            <v>1E-3</v>
          </cell>
          <cell r="N629">
            <v>2E-3</v>
          </cell>
          <cell r="O629">
            <v>2E-3</v>
          </cell>
          <cell r="P629">
            <v>2E-3</v>
          </cell>
          <cell r="Q629">
            <v>2E-3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1E-3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</row>
        <row r="631">
          <cell r="F631">
            <v>0</v>
          </cell>
          <cell r="G631">
            <v>0</v>
          </cell>
          <cell r="H631">
            <v>2E-3</v>
          </cell>
          <cell r="I631">
            <v>1E-3</v>
          </cell>
          <cell r="J631">
            <v>1E-3</v>
          </cell>
          <cell r="K631">
            <v>1E-3</v>
          </cell>
          <cell r="L631">
            <v>0</v>
          </cell>
          <cell r="M631">
            <v>1E-3</v>
          </cell>
          <cell r="N631">
            <v>2E-3</v>
          </cell>
          <cell r="O631">
            <v>2E-3</v>
          </cell>
          <cell r="P631">
            <v>2E-3</v>
          </cell>
          <cell r="Q631">
            <v>2E-3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1E-3</v>
          </cell>
          <cell r="J632">
            <v>1E-3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1E-3</v>
          </cell>
          <cell r="O635">
            <v>1E-3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</row>
        <row r="637">
          <cell r="F637">
            <v>2E-3</v>
          </cell>
          <cell r="G637">
            <v>2E-3</v>
          </cell>
          <cell r="H637">
            <v>1E-3</v>
          </cell>
          <cell r="I637">
            <v>0</v>
          </cell>
          <cell r="J637">
            <v>1E-3</v>
          </cell>
          <cell r="K637">
            <v>1E-3</v>
          </cell>
          <cell r="L637">
            <v>0</v>
          </cell>
          <cell r="M637">
            <v>0</v>
          </cell>
          <cell r="N637">
            <v>0</v>
          </cell>
          <cell r="O637">
            <v>2E-3</v>
          </cell>
          <cell r="P637">
            <v>0</v>
          </cell>
          <cell r="Q637">
            <v>1E-3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</row>
        <row r="639">
          <cell r="F639">
            <v>0</v>
          </cell>
          <cell r="G639">
            <v>1E-3</v>
          </cell>
          <cell r="H639">
            <v>1E-3</v>
          </cell>
          <cell r="I639">
            <v>2E-3</v>
          </cell>
          <cell r="J639">
            <v>1.6E-2</v>
          </cell>
          <cell r="K639">
            <v>1E-3</v>
          </cell>
          <cell r="L639">
            <v>5.0000000000000001E-3</v>
          </cell>
          <cell r="M639">
            <v>1.0999999999999999E-2</v>
          </cell>
          <cell r="N639">
            <v>4.0000000000000001E-3</v>
          </cell>
          <cell r="O639">
            <v>1E-3</v>
          </cell>
          <cell r="P639">
            <v>4.0000000000000001E-3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</row>
        <row r="640">
          <cell r="F640">
            <v>0</v>
          </cell>
          <cell r="G640">
            <v>1E-3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</row>
        <row r="641">
          <cell r="F641">
            <v>2E-3</v>
          </cell>
          <cell r="G641">
            <v>2E-3</v>
          </cell>
          <cell r="H641">
            <v>0</v>
          </cell>
          <cell r="I641">
            <v>0</v>
          </cell>
          <cell r="J641">
            <v>1E-3</v>
          </cell>
          <cell r="K641">
            <v>1E-3</v>
          </cell>
          <cell r="L641">
            <v>0</v>
          </cell>
          <cell r="M641">
            <v>0</v>
          </cell>
          <cell r="N641">
            <v>0</v>
          </cell>
          <cell r="O641">
            <v>1E-3</v>
          </cell>
          <cell r="P641">
            <v>1E-3</v>
          </cell>
          <cell r="Q641">
            <v>1E-3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</row>
        <row r="642">
          <cell r="F642">
            <v>0</v>
          </cell>
          <cell r="G642">
            <v>0</v>
          </cell>
          <cell r="H642">
            <v>1E-3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1E-3</v>
          </cell>
          <cell r="P642">
            <v>1E-3</v>
          </cell>
          <cell r="Q642">
            <v>1E-3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</row>
        <row r="654">
          <cell r="A654" t="str">
            <v>Average Fuel Cost ($/MMBtu)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4">
          <cell r="A684" t="str">
            <v>Peak Capacity (Nameplate)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6">
          <cell r="A726" t="str">
            <v>Capacity Factor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9">
          <cell r="F729">
            <v>-1E-3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-1E-3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-1E-3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-2E-3</v>
          </cell>
          <cell r="G734">
            <v>-1E-3</v>
          </cell>
          <cell r="H734">
            <v>-1E-3</v>
          </cell>
          <cell r="I734">
            <v>0</v>
          </cell>
          <cell r="J734">
            <v>-1E-3</v>
          </cell>
          <cell r="K734">
            <v>-1E-3</v>
          </cell>
          <cell r="L734">
            <v>-1E-3</v>
          </cell>
          <cell r="M734">
            <v>-1E-3</v>
          </cell>
          <cell r="N734">
            <v>-1E-3</v>
          </cell>
          <cell r="O734">
            <v>-1E-3</v>
          </cell>
          <cell r="P734">
            <v>-1E-3</v>
          </cell>
          <cell r="Q734">
            <v>-1E-3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-1E-3</v>
          </cell>
          <cell r="K735">
            <v>-1E-3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-1E-3</v>
          </cell>
          <cell r="G736">
            <v>-1E-3</v>
          </cell>
          <cell r="H736">
            <v>-1E-3</v>
          </cell>
          <cell r="I736">
            <v>-1E-3</v>
          </cell>
          <cell r="J736">
            <v>0</v>
          </cell>
          <cell r="K736">
            <v>-1E-3</v>
          </cell>
          <cell r="L736">
            <v>-1E-3</v>
          </cell>
          <cell r="M736">
            <v>-1E-3</v>
          </cell>
          <cell r="N736">
            <v>-1E-3</v>
          </cell>
          <cell r="O736">
            <v>-1E-3</v>
          </cell>
          <cell r="P736">
            <v>-1E-3</v>
          </cell>
          <cell r="Q736">
            <v>-1E-3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-1E-3</v>
          </cell>
          <cell r="O740">
            <v>-1E-3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-1E-3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-1E-3</v>
          </cell>
          <cell r="L742">
            <v>0</v>
          </cell>
          <cell r="M742">
            <v>0</v>
          </cell>
          <cell r="N742">
            <v>0</v>
          </cell>
          <cell r="O742">
            <v>-1E-3</v>
          </cell>
          <cell r="P742">
            <v>0</v>
          </cell>
          <cell r="Q742">
            <v>-1E-3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-1E-3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-1E-3</v>
          </cell>
          <cell r="G746">
            <v>-1E-3</v>
          </cell>
          <cell r="H746">
            <v>0</v>
          </cell>
          <cell r="I746">
            <v>0</v>
          </cell>
          <cell r="J746">
            <v>0</v>
          </cell>
          <cell r="K746">
            <v>-1E-3</v>
          </cell>
          <cell r="L746">
            <v>0</v>
          </cell>
          <cell r="M746">
            <v>0</v>
          </cell>
          <cell r="N746">
            <v>0</v>
          </cell>
          <cell r="O746">
            <v>-1E-3</v>
          </cell>
          <cell r="P746">
            <v>-1E-3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-1E-3</v>
          </cell>
          <cell r="O747">
            <v>0</v>
          </cell>
          <cell r="P747">
            <v>-1E-3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</row>
        <row r="772">
          <cell r="A772" t="str">
            <v>Integration Charge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1.8190934898203892E-2</v>
          </cell>
          <cell r="G871">
            <v>-2.2790145327686417E-2</v>
          </cell>
          <cell r="H871">
            <v>0</v>
          </cell>
          <cell r="I871">
            <v>0</v>
          </cell>
          <cell r="J871">
            <v>0</v>
          </cell>
          <cell r="K871">
            <v>-5.2614894709783755E-3</v>
          </cell>
          <cell r="L871">
            <v>-0.16639452788865583</v>
          </cell>
          <cell r="M871">
            <v>-0.31019745229102114</v>
          </cell>
          <cell r="N871">
            <v>-7.7878170804606128E-2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-8.9232291932646035E-3</v>
          </cell>
          <cell r="G875">
            <v>-1.9902611504491574E-2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4.7651926156575541E-2</v>
          </cell>
          <cell r="M875">
            <v>1.6289063859261432E-2</v>
          </cell>
          <cell r="N875">
            <v>-8.0630295627273085E-3</v>
          </cell>
          <cell r="O875">
            <v>-1.1193708674202441E-2</v>
          </cell>
          <cell r="P875">
            <v>-0.14655085397057022</v>
          </cell>
          <cell r="Q875">
            <v>-3.8330172940366225E-2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</row>
        <row r="888">
          <cell r="A888" t="str">
            <v>Additional Fixed Costs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0</v>
          </cell>
          <cell r="CY899">
            <v>0</v>
          </cell>
          <cell r="CZ899">
            <v>0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  <cell r="DF899">
            <v>0</v>
          </cell>
          <cell r="DG899">
            <v>0</v>
          </cell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T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</row>
        <row r="901">
          <cell r="J901" t="str">
            <v>Mills / kWh</v>
          </cell>
          <cell r="W901" t="str">
            <v>Mills / kWh</v>
          </cell>
          <cell r="AJ901" t="str">
            <v>Mills / kWh</v>
          </cell>
          <cell r="AW901" t="str">
            <v>Mills / kWh</v>
          </cell>
          <cell r="BJ901" t="str">
            <v>Mills / kWh</v>
          </cell>
          <cell r="BW901" t="str">
            <v>Mills / kWh</v>
          </cell>
          <cell r="CJ901" t="str">
            <v>Mills / kWh</v>
          </cell>
          <cell r="CW901" t="str">
            <v>Mills / kWh</v>
          </cell>
          <cell r="DJ901" t="str">
            <v>Mills / kWh</v>
          </cell>
          <cell r="DW901" t="str">
            <v>Mills / kWh</v>
          </cell>
        </row>
        <row r="902">
          <cell r="A902" t="str">
            <v>Special Sales For Resale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  <cell r="DF921">
            <v>0</v>
          </cell>
          <cell r="DG921">
            <v>0</v>
          </cell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T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0.03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8">
          <cell r="F928">
            <v>0.01</v>
          </cell>
          <cell r="G928">
            <v>0.01</v>
          </cell>
          <cell r="H928">
            <v>0</v>
          </cell>
          <cell r="I928">
            <v>0.01</v>
          </cell>
          <cell r="J928">
            <v>-0.01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0.04</v>
          </cell>
          <cell r="P928">
            <v>0</v>
          </cell>
          <cell r="Q928">
            <v>0.01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-0.04</v>
          </cell>
          <cell r="J929">
            <v>-0.02</v>
          </cell>
          <cell r="K929">
            <v>0</v>
          </cell>
          <cell r="L929">
            <v>0.02</v>
          </cell>
          <cell r="M929">
            <v>0.02</v>
          </cell>
          <cell r="N929">
            <v>0.02</v>
          </cell>
          <cell r="O929">
            <v>0</v>
          </cell>
          <cell r="P929">
            <v>0.01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-0.01</v>
          </cell>
          <cell r="G930">
            <v>-0.01</v>
          </cell>
          <cell r="H930">
            <v>-0.01</v>
          </cell>
          <cell r="I930">
            <v>-0.01</v>
          </cell>
          <cell r="J930">
            <v>0</v>
          </cell>
          <cell r="K930">
            <v>0</v>
          </cell>
          <cell r="L930">
            <v>0.01</v>
          </cell>
          <cell r="M930">
            <v>0</v>
          </cell>
          <cell r="N930">
            <v>0</v>
          </cell>
          <cell r="O930">
            <v>-0.01</v>
          </cell>
          <cell r="P930">
            <v>0</v>
          </cell>
          <cell r="Q930">
            <v>-0.01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-0.01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-0.01</v>
          </cell>
          <cell r="J935">
            <v>-0.01</v>
          </cell>
          <cell r="K935">
            <v>-0.01</v>
          </cell>
          <cell r="L935">
            <v>0.01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7">
          <cell r="A937" t="str">
            <v>Total Special Sales For Resale</v>
          </cell>
          <cell r="F937">
            <v>0</v>
          </cell>
          <cell r="G937">
            <v>0</v>
          </cell>
          <cell r="H937">
            <v>0</v>
          </cell>
          <cell r="I937">
            <v>-0.01</v>
          </cell>
          <cell r="J937">
            <v>0</v>
          </cell>
          <cell r="K937">
            <v>0</v>
          </cell>
          <cell r="L937">
            <v>0.01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</row>
        <row r="939">
          <cell r="A939" t="str">
            <v>Purchased Power &amp; Net Interchange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5"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5">
        <row r="3">
          <cell r="F3">
            <v>43831</v>
          </cell>
        </row>
        <row r="84">
          <cell r="EI84" t="str">
            <v>QF - 434 - UT - Gas</v>
          </cell>
          <cell r="EK84" t="str">
            <v>Not Used</v>
          </cell>
          <cell r="EM84" t="str">
            <v>Not Used</v>
          </cell>
          <cell r="EO84" t="str">
            <v>Not Used</v>
          </cell>
          <cell r="EQ84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72"/>
  <sheetViews>
    <sheetView tabSelected="1" view="pageBreakPreview" topLeftCell="A2" zoomScale="80" zoomScaleNormal="80" zoomScaleSheetLayoutView="80" workbookViewId="0">
      <selection activeCell="A3" sqref="A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5">
        <v>0</v>
      </c>
      <c r="CY3" t="s">
        <v>109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60</v>
      </c>
      <c r="Q4" s="182"/>
      <c r="CX4">
        <v>750</v>
      </c>
      <c r="CY4" t="s">
        <v>110</v>
      </c>
    </row>
    <row r="5" spans="2:103" customFormat="1" ht="15.75">
      <c r="B5" s="4" t="str">
        <f ca="1">'Table 5'!M4&amp; " - "&amp;TEXT(Study_MW,"#.0")&amp;" MW and "&amp;TEXT(Study_CF,"#.0%")&amp;" CF"</f>
        <v>Kennecott Refinery Non Firm - 6.2 MW and 85.0%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105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0" customFormat="1" ht="40.5" customHeight="1">
      <c r="B8" s="228"/>
      <c r="C8" s="228"/>
      <c r="D8" s="228"/>
      <c r="E8" s="230"/>
      <c r="F8" s="231"/>
      <c r="G8" s="229" t="s">
        <v>14</v>
      </c>
      <c r="H8" s="233"/>
      <c r="I8" s="243"/>
      <c r="K8" s="244" t="s">
        <v>60</v>
      </c>
      <c r="L8" s="244"/>
      <c r="P8" s="245" t="s">
        <v>91</v>
      </c>
      <c r="Q8" s="245"/>
      <c r="S8" s="247" t="s">
        <v>162</v>
      </c>
      <c r="T8" s="247" t="s">
        <v>163</v>
      </c>
      <c r="X8" s="247" t="s">
        <v>160</v>
      </c>
      <c r="Y8" s="247" t="s">
        <v>161</v>
      </c>
      <c r="Z8" s="240" t="s">
        <v>153</v>
      </c>
      <c r="AA8" s="240" t="s">
        <v>144</v>
      </c>
      <c r="AB8" s="240" t="s">
        <v>145</v>
      </c>
      <c r="AC8" s="240" t="s">
        <v>146</v>
      </c>
      <c r="AD8" s="240" t="s">
        <v>147</v>
      </c>
      <c r="AE8" s="240" t="s">
        <v>148</v>
      </c>
      <c r="AF8" s="240" t="s">
        <v>156</v>
      </c>
      <c r="AG8" s="240" t="s">
        <v>150</v>
      </c>
      <c r="AH8" s="240" t="s">
        <v>151</v>
      </c>
      <c r="AI8" s="240" t="s">
        <v>152</v>
      </c>
      <c r="AK8" s="245" t="s">
        <v>92</v>
      </c>
      <c r="AL8" s="245"/>
      <c r="AN8" s="247" t="s">
        <v>162</v>
      </c>
      <c r="AO8" s="247" t="s">
        <v>163</v>
      </c>
      <c r="AS8" s="247" t="s">
        <v>160</v>
      </c>
      <c r="AT8" s="247" t="s">
        <v>161</v>
      </c>
      <c r="AU8" s="240" t="str">
        <f t="shared" ref="AU8:BD9" si="0">Z8</f>
        <v>IRP17 Yakima Solar2030</v>
      </c>
      <c r="AV8" s="240" t="str">
        <f t="shared" si="0"/>
        <v>IRP17 Yakima Solar2032</v>
      </c>
      <c r="AW8" s="240" t="str">
        <f t="shared" si="0"/>
        <v>IRP17 Yakima Solar2033</v>
      </c>
      <c r="AX8" s="240" t="str">
        <f t="shared" si="0"/>
        <v>IRP17 Utah South Solar T2033</v>
      </c>
      <c r="AY8" s="240" t="str">
        <f t="shared" si="0"/>
        <v>IRP17 Utah South Solar T2035</v>
      </c>
      <c r="AZ8" s="240" t="str">
        <f t="shared" si="0"/>
        <v>IRP17 Utah South Solar F2035</v>
      </c>
      <c r="BA8" s="240" t="str">
        <f t="shared" si="0"/>
        <v>IRP17 SOregonCal Solar2030</v>
      </c>
      <c r="BB8" s="240" t="str">
        <f t="shared" si="0"/>
        <v>IRP17 SOregonCal Solar2031</v>
      </c>
      <c r="BC8" s="240" t="str">
        <f t="shared" si="0"/>
        <v>IRP17 SOregonCal Solar2032</v>
      </c>
      <c r="BD8" s="240" t="str">
        <f t="shared" si="0"/>
        <v>IRP17 SOregonCal Solar2033</v>
      </c>
      <c r="BF8" s="245" t="s">
        <v>93</v>
      </c>
      <c r="BG8" s="245"/>
      <c r="BJ8" s="247"/>
      <c r="BO8" s="247"/>
      <c r="CA8" s="245" t="s">
        <v>94</v>
      </c>
      <c r="CB8" s="245"/>
      <c r="CE8" s="249"/>
      <c r="CJ8" s="249"/>
      <c r="CX8" s="208" t="s">
        <v>93</v>
      </c>
      <c r="CY8" s="209" t="s">
        <v>94</v>
      </c>
    </row>
    <row r="9" spans="2:103" s="219" customFormat="1" ht="76.5" customHeight="1">
      <c r="B9" s="228"/>
      <c r="C9" s="229" t="s">
        <v>6</v>
      </c>
      <c r="D9" s="229"/>
      <c r="E9" s="230" t="s">
        <v>19</v>
      </c>
      <c r="F9" s="231"/>
      <c r="G9" s="232">
        <f ca="1">Study_CF</f>
        <v>0.85000000000000009</v>
      </c>
      <c r="H9" s="233"/>
      <c r="I9" s="234"/>
      <c r="K9" s="235" t="s">
        <v>61</v>
      </c>
      <c r="L9" s="235" t="s">
        <v>54</v>
      </c>
      <c r="M9" s="236" t="s">
        <v>95</v>
      </c>
      <c r="P9" s="219" t="s">
        <v>90</v>
      </c>
      <c r="Q9" s="219" t="s">
        <v>134</v>
      </c>
      <c r="R9" s="219" t="s">
        <v>86</v>
      </c>
      <c r="S9" s="219" t="s">
        <v>87</v>
      </c>
      <c r="T9" s="247" t="s">
        <v>87</v>
      </c>
      <c r="U9" s="219" t="s">
        <v>137</v>
      </c>
      <c r="V9" s="219" t="s">
        <v>138</v>
      </c>
      <c r="W9" s="219" t="s">
        <v>139</v>
      </c>
      <c r="X9" s="219" t="s">
        <v>136</v>
      </c>
      <c r="Y9" s="247" t="s">
        <v>136</v>
      </c>
      <c r="Z9" s="219" t="s">
        <v>89</v>
      </c>
      <c r="AA9" s="240" t="s">
        <v>89</v>
      </c>
      <c r="AB9" s="240" t="s">
        <v>89</v>
      </c>
      <c r="AC9" s="219" t="s">
        <v>141</v>
      </c>
      <c r="AD9" s="240" t="s">
        <v>141</v>
      </c>
      <c r="AE9" s="240" t="s">
        <v>155</v>
      </c>
      <c r="AF9" s="240" t="s">
        <v>135</v>
      </c>
      <c r="AG9" s="240" t="s">
        <v>135</v>
      </c>
      <c r="AH9" s="240" t="s">
        <v>135</v>
      </c>
      <c r="AI9" s="219" t="s">
        <v>135</v>
      </c>
      <c r="AJ9" s="238"/>
      <c r="AK9" s="219" t="str">
        <f t="shared" ref="AK9:AT9" si="1">P9</f>
        <v>IRP17 Aeolus Wind</v>
      </c>
      <c r="AL9" s="219" t="str">
        <f t="shared" si="1"/>
        <v>IRP17 WYAE WindCDR2021</v>
      </c>
      <c r="AM9" s="219" t="str">
        <f t="shared" si="1"/>
        <v>IRP17 Dave Johnston Wind</v>
      </c>
      <c r="AN9" s="219" t="str">
        <f t="shared" si="1"/>
        <v>IRP17 Goshen Wind 2</v>
      </c>
      <c r="AO9" s="247" t="str">
        <f t="shared" si="1"/>
        <v>IRP17 Goshen Wind 2</v>
      </c>
      <c r="AP9" s="219" t="str">
        <f t="shared" si="1"/>
        <v>IRP17 WallaW Wind</v>
      </c>
      <c r="AQ9" s="219" t="str">
        <f t="shared" si="1"/>
        <v>IRP17 Yakima Wind</v>
      </c>
      <c r="AR9" s="219" t="str">
        <f t="shared" si="1"/>
        <v>IRP17 S Oregon Wind</v>
      </c>
      <c r="AS9" s="219" t="str">
        <f t="shared" si="1"/>
        <v>IRP17 UT Wind</v>
      </c>
      <c r="AT9" s="247" t="str">
        <f t="shared" si="1"/>
        <v>IRP17 UT Wind</v>
      </c>
      <c r="AU9" s="219" t="str">
        <f t="shared" si="0"/>
        <v>IRP17 Yakima Solar</v>
      </c>
      <c r="AV9" s="240" t="str">
        <f t="shared" si="0"/>
        <v>IRP17 Yakima Solar</v>
      </c>
      <c r="AW9" s="240" t="str">
        <f t="shared" si="0"/>
        <v>IRP17 Yakima Solar</v>
      </c>
      <c r="AX9" s="240" t="str">
        <f t="shared" si="0"/>
        <v>IRP17 Utah South Solar T</v>
      </c>
      <c r="AY9" s="240" t="str">
        <f t="shared" si="0"/>
        <v>IRP17 Utah South Solar T</v>
      </c>
      <c r="AZ9" s="240" t="str">
        <f t="shared" si="0"/>
        <v>IRP17 Utah South Solar F</v>
      </c>
      <c r="BA9" s="240" t="str">
        <f t="shared" si="0"/>
        <v>IRP17 SOregonCal Solar</v>
      </c>
      <c r="BB9" s="240" t="str">
        <f t="shared" si="0"/>
        <v>IRP17 SOregonCal Solar</v>
      </c>
      <c r="BC9" s="240" t="str">
        <f t="shared" si="0"/>
        <v>IRP17 SOregonCal Solar</v>
      </c>
      <c r="BD9" s="240" t="str">
        <f t="shared" si="0"/>
        <v>IRP17 SOregonCal Solar</v>
      </c>
      <c r="BF9" s="219" t="str">
        <f>P9</f>
        <v>IRP17 Aeolus Wind</v>
      </c>
      <c r="BG9" s="219" t="str">
        <f>Q9</f>
        <v>IRP17 WYAE WindCDR2021</v>
      </c>
      <c r="BH9" s="219" t="str">
        <f>R9</f>
        <v>IRP17 Dave Johnston Wind</v>
      </c>
      <c r="BI9" s="248" t="str">
        <f>S8</f>
        <v>IRP17 Goshen Wind 2 2030</v>
      </c>
      <c r="BJ9" s="248" t="str">
        <f>T8</f>
        <v>IRP17 Goshen Wind 2 2033</v>
      </c>
      <c r="BK9" s="219" t="str">
        <f>U9</f>
        <v>IRP17 WallaW Wind</v>
      </c>
      <c r="BL9" s="219" t="str">
        <f>V9</f>
        <v>IRP17 Yakima Wind</v>
      </c>
      <c r="BM9" s="219" t="str">
        <f>W9</f>
        <v>IRP17 S Oregon Wind</v>
      </c>
      <c r="BN9" s="248" t="str">
        <f>X8</f>
        <v>IRP17 UT Wind 2030</v>
      </c>
      <c r="BO9" s="248" t="str">
        <f>Y8</f>
        <v>IRP17 UT Wind 2036</v>
      </c>
      <c r="BP9" s="242" t="s">
        <v>143</v>
      </c>
      <c r="BQ9" s="242" t="s">
        <v>144</v>
      </c>
      <c r="BR9" s="242" t="s">
        <v>145</v>
      </c>
      <c r="BS9" s="242" t="s">
        <v>146</v>
      </c>
      <c r="BT9" s="242" t="s">
        <v>147</v>
      </c>
      <c r="BU9" s="242" t="s">
        <v>148</v>
      </c>
      <c r="BV9" s="242" t="s">
        <v>149</v>
      </c>
      <c r="BW9" s="242" t="s">
        <v>150</v>
      </c>
      <c r="BX9" s="242" t="s">
        <v>151</v>
      </c>
      <c r="BY9" s="242" t="s">
        <v>152</v>
      </c>
      <c r="CA9" s="219" t="str">
        <f t="shared" ref="CA9:CT9" si="2">BF9</f>
        <v>IRP17 Aeolus Wind</v>
      </c>
      <c r="CB9" s="240" t="str">
        <f t="shared" si="2"/>
        <v>IRP17 WYAE WindCDR2021</v>
      </c>
      <c r="CC9" s="240" t="str">
        <f t="shared" si="2"/>
        <v>IRP17 Dave Johnston Wind</v>
      </c>
      <c r="CD9" s="240" t="str">
        <f t="shared" si="2"/>
        <v>IRP17 Goshen Wind 2 2030</v>
      </c>
      <c r="CE9" s="248" t="str">
        <f t="shared" si="2"/>
        <v>IRP17 Goshen Wind 2 2033</v>
      </c>
      <c r="CF9" s="240" t="str">
        <f t="shared" si="2"/>
        <v>IRP17 WallaW Wind</v>
      </c>
      <c r="CG9" s="240" t="str">
        <f t="shared" si="2"/>
        <v>IRP17 Yakima Wind</v>
      </c>
      <c r="CH9" s="240" t="str">
        <f t="shared" si="2"/>
        <v>IRP17 S Oregon Wind</v>
      </c>
      <c r="CI9" s="240" t="str">
        <f t="shared" si="2"/>
        <v>IRP17 UT Wind 2030</v>
      </c>
      <c r="CJ9" s="248" t="str">
        <f t="shared" si="2"/>
        <v>IRP17 UT Wind 2036</v>
      </c>
      <c r="CK9" s="240" t="str">
        <f t="shared" si="2"/>
        <v xml:space="preserve">IRP17 Yakima Solar2030 </v>
      </c>
      <c r="CL9" s="240" t="str">
        <f t="shared" si="2"/>
        <v>IRP17 Yakima Solar2032</v>
      </c>
      <c r="CM9" s="240" t="str">
        <f t="shared" si="2"/>
        <v>IRP17 Yakima Solar2033</v>
      </c>
      <c r="CN9" s="240" t="str">
        <f t="shared" si="2"/>
        <v>IRP17 Utah South Solar T2033</v>
      </c>
      <c r="CO9" s="240" t="str">
        <f t="shared" si="2"/>
        <v>IRP17 Utah South Solar T2035</v>
      </c>
      <c r="CP9" s="240" t="str">
        <f t="shared" si="2"/>
        <v>IRP17 Utah South Solar F2035</v>
      </c>
      <c r="CQ9" s="240" t="str">
        <f t="shared" si="2"/>
        <v>IRP17 SOregonCal Solar2030'</v>
      </c>
      <c r="CR9" s="240" t="str">
        <f t="shared" si="2"/>
        <v>IRP17 SOregonCal Solar2031</v>
      </c>
      <c r="CS9" s="240" t="str">
        <f t="shared" si="2"/>
        <v>IRP17 SOregonCal Solar2032</v>
      </c>
      <c r="CT9" s="240" t="str">
        <f t="shared" si="2"/>
        <v>IRP17 SOregonCal Solar2033</v>
      </c>
      <c r="CU9" s="219" t="s">
        <v>96</v>
      </c>
      <c r="CX9" s="219" t="s">
        <v>106</v>
      </c>
      <c r="CY9" s="219" t="s">
        <v>106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56</v>
      </c>
      <c r="F11" s="39"/>
      <c r="G11" s="12" t="s">
        <v>33</v>
      </c>
      <c r="H11" s="36"/>
      <c r="I11" s="89"/>
      <c r="K11" s="113" t="s">
        <v>62</v>
      </c>
      <c r="L11" s="114">
        <v>0.158</v>
      </c>
      <c r="M11" s="114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97</v>
      </c>
      <c r="BG11" t="s">
        <v>97</v>
      </c>
      <c r="BH11" t="s">
        <v>97</v>
      </c>
      <c r="BI11" t="s">
        <v>97</v>
      </c>
      <c r="BK11" t="s">
        <v>97</v>
      </c>
      <c r="BL11" t="s">
        <v>97</v>
      </c>
      <c r="BM11" t="s">
        <v>97</v>
      </c>
      <c r="BN11" t="s">
        <v>97</v>
      </c>
      <c r="BP11" t="s">
        <v>97</v>
      </c>
      <c r="BQ11" t="s">
        <v>97</v>
      </c>
      <c r="BR11" t="s">
        <v>97</v>
      </c>
      <c r="BS11" t="s">
        <v>97</v>
      </c>
      <c r="BT11" t="s">
        <v>97</v>
      </c>
      <c r="BU11" t="s">
        <v>97</v>
      </c>
      <c r="BV11" t="s">
        <v>97</v>
      </c>
      <c r="BW11" t="s">
        <v>97</v>
      </c>
      <c r="BX11" t="s">
        <v>97</v>
      </c>
      <c r="BY11" t="s">
        <v>97</v>
      </c>
      <c r="CA11" t="s">
        <v>98</v>
      </c>
      <c r="CB11" t="s">
        <v>98</v>
      </c>
      <c r="CC11" t="s">
        <v>98</v>
      </c>
      <c r="CD11" t="s">
        <v>98</v>
      </c>
      <c r="CE11" t="s">
        <v>98</v>
      </c>
      <c r="CF11" t="s">
        <v>98</v>
      </c>
      <c r="CG11" t="s">
        <v>98</v>
      </c>
      <c r="CH11" t="s">
        <v>98</v>
      </c>
      <c r="CI11" t="s">
        <v>98</v>
      </c>
      <c r="CJ11" t="s">
        <v>98</v>
      </c>
      <c r="CK11" t="s">
        <v>98</v>
      </c>
      <c r="CL11" t="s">
        <v>98</v>
      </c>
      <c r="CM11" t="s">
        <v>98</v>
      </c>
      <c r="CN11" t="s">
        <v>98</v>
      </c>
      <c r="CO11" t="s">
        <v>98</v>
      </c>
      <c r="CP11" t="s">
        <v>98</v>
      </c>
      <c r="CQ11" t="s">
        <v>98</v>
      </c>
      <c r="CR11" t="s">
        <v>98</v>
      </c>
      <c r="CS11" t="s">
        <v>98</v>
      </c>
      <c r="CT11" t="s">
        <v>98</v>
      </c>
      <c r="CU11" t="s">
        <v>98</v>
      </c>
      <c r="CX11" t="s">
        <v>97</v>
      </c>
      <c r="CY11" t="s">
        <v>98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35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2020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20.28557382230823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20.28557382230823</v>
      </c>
      <c r="H13" s="36"/>
      <c r="I13" s="193"/>
      <c r="J13" s="193"/>
      <c r="K13" s="113" t="s">
        <v>63</v>
      </c>
      <c r="L13" s="114">
        <v>0.59672377662708742</v>
      </c>
      <c r="M13" s="114">
        <v>0.64803174039612643</v>
      </c>
      <c r="O13">
        <f t="shared" ref="O13:O32" si="4">B13</f>
        <v>2020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-0.91</v>
      </c>
      <c r="BG13">
        <f>VLOOKUP($O13,'Table 3 EV2020 Wind_2021'!$B$10:$K$36,10,FALSE)</f>
        <v>38.85</v>
      </c>
      <c r="BH13">
        <f>VLOOKUP($O13,'Table 3 DJ Wind 2030'!$B$10:$J$36,9,FALSE)</f>
        <v>42.52</v>
      </c>
      <c r="BI13">
        <f>VLOOKUP($O13,'Table 3 ID Wind 2030'!$B$10:$J$36,9,FALSE)</f>
        <v>40.06</v>
      </c>
      <c r="BJ13">
        <f>VLOOKUP($O13,'Table 3 ID Wind 2033'!$B$10:$J$36,9,FALSE)</f>
        <v>40.06</v>
      </c>
      <c r="BK13">
        <f>VLOOKUP($O13,'Table 3 WW Wind 2035'!$B$10:$J$36,9,FALSE)</f>
        <v>40.06</v>
      </c>
      <c r="BL13">
        <f>VLOOKUP($O13,'Table 3 YK Wind 2035'!$B$10:$J$36,9,FALSE)</f>
        <v>40.06</v>
      </c>
      <c r="BM13">
        <f>VLOOKUP($O13,'Table 3 OR Wind 2035'!$B$10:$J$36,9,FALSE)</f>
        <v>40.06</v>
      </c>
      <c r="BN13">
        <f>VLOOKUP($O13,'Table 3 UT Wind 2030'!$B$10:$J$36,9,FALSE)</f>
        <v>40.06</v>
      </c>
      <c r="BO13">
        <f>VLOOKUP($O13,'Table 3 UT Wind 2036'!$B$10:$J$36,9,FALSE)</f>
        <v>40.06</v>
      </c>
      <c r="BP13">
        <f>VLOOKUP($O13,'Table 3 YK Solar 2030'!$B$10:$J$36,9,FALSE)</f>
        <v>19.98</v>
      </c>
      <c r="BQ13">
        <f>VLOOKUP($O13,'Table 3 YK Solar 2032'!$B$10:$J$36,9,FALSE)</f>
        <v>19.98</v>
      </c>
      <c r="BR13">
        <f>VLOOKUP($O13,'Table 3 YK Solar 2033'!$B$10:$J$36,9,FALSE)</f>
        <v>19.98</v>
      </c>
      <c r="BS13">
        <f>VLOOKUP($O13,'Table 3 UT Solar 2033 ST'!$B$10:$J$36,9,FALSE)</f>
        <v>20.99</v>
      </c>
      <c r="BT13">
        <f>VLOOKUP($O13,'Table 3 UT Solar 2035 ST'!$B$10:$J$36,9,FALSE)</f>
        <v>20.99</v>
      </c>
      <c r="BU13">
        <f>VLOOKUP($O13,'Table 3 UT Solar 2035 FT'!$B$10:$J$36,9,FALSE)</f>
        <v>19.96</v>
      </c>
      <c r="BV13">
        <f>VLOOKUP($O13,'Table 3 OR Solar 2030'!$B$10:$J$36,9,FALSE)</f>
        <v>21.02</v>
      </c>
      <c r="BW13">
        <f>VLOOKUP($O13,'Table 3 OR Solar 2031'!$B$10:$J$36,9,FALSE)</f>
        <v>21.02</v>
      </c>
      <c r="BX13">
        <f>VLOOKUP($O13,'Table 3 OR Solar 2032'!$B$10:$J$36,9,FALSE)</f>
        <v>21.02</v>
      </c>
      <c r="BY13">
        <f>VLOOKUP($O13,'Table 3 OR Solar 2033'!$B$10:$J$36,9,FALSE)</f>
        <v>21.02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2020</v>
      </c>
      <c r="CX13" s="89">
        <f>IFERROR(VLOOKUP($CW13,'Table 3 TransCost D2 '!$B$10:$E$34,4,FALSE),0)</f>
        <v>7.9249999999999998</v>
      </c>
      <c r="CY13" s="193">
        <f>$CX$5*CX13/1000</f>
        <v>0</v>
      </c>
    </row>
    <row r="14" spans="2:103" customFormat="1" hidden="1">
      <c r="B14" s="15">
        <f t="shared" ref="B14:B34" si="25">B13+1</f>
        <v>2021</v>
      </c>
      <c r="C14" s="9">
        <f t="shared" si="3"/>
        <v>0</v>
      </c>
      <c r="D14" s="45"/>
      <c r="E14" s="9" t="e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93"/>
      <c r="J14" s="193"/>
      <c r="K14" s="113" t="s">
        <v>64</v>
      </c>
      <c r="L14" s="114">
        <v>1</v>
      </c>
      <c r="M14" s="114">
        <v>1</v>
      </c>
      <c r="O14">
        <f t="shared" si="4"/>
        <v>2021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-7.39</v>
      </c>
      <c r="BG14">
        <f>VLOOKUP($O14,'Table 3 EV2020 Wind_2021'!$B$10:$K$36,10,FALSE)</f>
        <v>-9.2899999999999991</v>
      </c>
      <c r="BH14">
        <f>VLOOKUP($O14,'Table 3 DJ Wind 2030'!$B$10:$J$36,9,FALSE)</f>
        <v>43.55</v>
      </c>
      <c r="BI14">
        <f>VLOOKUP($O14,'Table 3 ID Wind 2030'!$B$10:$J$36,9,FALSE)</f>
        <v>41.02</v>
      </c>
      <c r="BJ14">
        <f>VLOOKUP($O14,'Table 3 ID Wind 2033'!$B$10:$J$36,9,FALSE)</f>
        <v>41.02</v>
      </c>
      <c r="BK14">
        <f>VLOOKUP($O14,'Table 3 WW Wind 2035'!$B$10:$J$36,9,FALSE)</f>
        <v>41.02</v>
      </c>
      <c r="BL14">
        <f>VLOOKUP($O14,'Table 3 YK Wind 2035'!$B$10:$J$36,9,FALSE)</f>
        <v>41.02</v>
      </c>
      <c r="BM14">
        <f>VLOOKUP($O14,'Table 3 OR Wind 2035'!$B$10:$J$36,9,FALSE)</f>
        <v>41.02</v>
      </c>
      <c r="BN14">
        <f>VLOOKUP($O14,'Table 3 UT Wind 2030'!$B$10:$J$36,9,FALSE)</f>
        <v>41.02</v>
      </c>
      <c r="BO14">
        <f>VLOOKUP($O14,'Table 3 UT Wind 2036'!$B$10:$J$36,9,FALSE)</f>
        <v>41.02</v>
      </c>
      <c r="BP14">
        <f>VLOOKUP($O14,'Table 3 YK Solar 2030'!$B$10:$J$36,9,FALSE)</f>
        <v>20.46</v>
      </c>
      <c r="BQ14">
        <f>VLOOKUP($O14,'Table 3 YK Solar 2032'!$B$10:$J$36,9,FALSE)</f>
        <v>20.46</v>
      </c>
      <c r="BR14">
        <f>VLOOKUP($O14,'Table 3 YK Solar 2033'!$B$10:$J$36,9,FALSE)</f>
        <v>20.46</v>
      </c>
      <c r="BS14">
        <f>VLOOKUP($O14,'Table 3 UT Solar 2033 ST'!$B$10:$J$36,9,FALSE)</f>
        <v>21.49</v>
      </c>
      <c r="BT14">
        <f>VLOOKUP($O14,'Table 3 UT Solar 2035 ST'!$B$10:$J$36,9,FALSE)</f>
        <v>21.49</v>
      </c>
      <c r="BU14">
        <f>VLOOKUP($O14,'Table 3 UT Solar 2035 FT'!$B$10:$J$36,9,FALSE)</f>
        <v>20.440000000000001</v>
      </c>
      <c r="BV14">
        <f>VLOOKUP($O14,'Table 3 OR Solar 2030'!$B$10:$J$36,9,FALSE)</f>
        <v>21.52</v>
      </c>
      <c r="BW14">
        <f>VLOOKUP($O14,'Table 3 OR Solar 2031'!$B$10:$J$36,9,FALSE)</f>
        <v>21.52</v>
      </c>
      <c r="BX14">
        <f>VLOOKUP($O14,'Table 3 OR Solar 2032'!$B$10:$J$36,9,FALSE)</f>
        <v>21.52</v>
      </c>
      <c r="BY14">
        <f>VLOOKUP($O14,'Table 3 OR Solar 2033'!$B$10:$J$36,9,FALSE)</f>
        <v>21.52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2021</v>
      </c>
      <c r="CX14" s="89">
        <f>IFERROR(VLOOKUP($CW14,'Table 3 TransCost D2 '!$B$10:$E$34,4,FALSE),0)</f>
        <v>48.5910167356733</v>
      </c>
      <c r="CY14" s="193">
        <f t="shared" ref="CY14:CY33" si="27">$CX$5*CX14/1000</f>
        <v>0</v>
      </c>
    </row>
    <row r="15" spans="2:103" customFormat="1" hidden="1">
      <c r="B15" s="15">
        <f t="shared" si="25"/>
        <v>2022</v>
      </c>
      <c r="C15" s="9">
        <f t="shared" si="3"/>
        <v>0</v>
      </c>
      <c r="D15" s="45"/>
      <c r="E15" s="9" t="e">
        <f t="shared" ca="1" si="26"/>
        <v>#DIV/0!</v>
      </c>
      <c r="F15" s="37"/>
      <c r="G15" s="14" t="e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93"/>
      <c r="J15" s="193"/>
      <c r="K15" s="113" t="s">
        <v>65</v>
      </c>
      <c r="L15" s="114">
        <v>1</v>
      </c>
      <c r="M15" s="114">
        <v>1</v>
      </c>
      <c r="O15">
        <f t="shared" si="4"/>
        <v>2022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-4.75</v>
      </c>
      <c r="BG15">
        <f>VLOOKUP($O15,'Table 3 EV2020 Wind_2021'!$B$10:$K$36,10,FALSE)</f>
        <v>-6.7</v>
      </c>
      <c r="BH15">
        <f>VLOOKUP($O15,'Table 3 DJ Wind 2030'!$B$10:$J$36,9,FALSE)</f>
        <v>44.6</v>
      </c>
      <c r="BI15">
        <f>VLOOKUP($O15,'Table 3 ID Wind 2030'!$B$10:$J$36,9,FALSE)</f>
        <v>42</v>
      </c>
      <c r="BJ15">
        <f>VLOOKUP($O15,'Table 3 ID Wind 2033'!$B$10:$J$36,9,FALSE)</f>
        <v>42</v>
      </c>
      <c r="BK15">
        <f>VLOOKUP($O15,'Table 3 WW Wind 2035'!$B$10:$J$36,9,FALSE)</f>
        <v>42</v>
      </c>
      <c r="BL15">
        <f>VLOOKUP($O15,'Table 3 YK Wind 2035'!$B$10:$J$36,9,FALSE)</f>
        <v>42</v>
      </c>
      <c r="BM15">
        <f>VLOOKUP($O15,'Table 3 OR Wind 2035'!$B$10:$J$36,9,FALSE)</f>
        <v>42</v>
      </c>
      <c r="BN15">
        <f>VLOOKUP($O15,'Table 3 UT Wind 2030'!$B$10:$J$36,9,FALSE)</f>
        <v>42</v>
      </c>
      <c r="BO15">
        <f>VLOOKUP($O15,'Table 3 UT Wind 2036'!$B$10:$J$36,9,FALSE)</f>
        <v>42</v>
      </c>
      <c r="BP15">
        <f>VLOOKUP($O15,'Table 3 YK Solar 2030'!$B$10:$J$36,9,FALSE)</f>
        <v>20.95</v>
      </c>
      <c r="BQ15">
        <f>VLOOKUP($O15,'Table 3 YK Solar 2032'!$B$10:$J$36,9,FALSE)</f>
        <v>20.95</v>
      </c>
      <c r="BR15">
        <f>VLOOKUP($O15,'Table 3 YK Solar 2033'!$B$10:$J$36,9,FALSE)</f>
        <v>20.95</v>
      </c>
      <c r="BS15">
        <f>VLOOKUP($O15,'Table 3 UT Solar 2033 ST'!$B$10:$J$36,9,FALSE)</f>
        <v>22.01</v>
      </c>
      <c r="BT15">
        <f>VLOOKUP($O15,'Table 3 UT Solar 2035 ST'!$B$10:$J$36,9,FALSE)</f>
        <v>22.01</v>
      </c>
      <c r="BU15">
        <f>VLOOKUP($O15,'Table 3 UT Solar 2035 FT'!$B$10:$J$36,9,FALSE)</f>
        <v>20.93</v>
      </c>
      <c r="BV15">
        <f>VLOOKUP($O15,'Table 3 OR Solar 2030'!$B$10:$J$36,9,FALSE)</f>
        <v>22.04</v>
      </c>
      <c r="BW15">
        <f>VLOOKUP($O15,'Table 3 OR Solar 2031'!$B$10:$J$36,9,FALSE)</f>
        <v>22.04</v>
      </c>
      <c r="BX15">
        <f>VLOOKUP($O15,'Table 3 OR Solar 2032'!$B$10:$J$36,9,FALSE)</f>
        <v>22.04</v>
      </c>
      <c r="BY15">
        <f>VLOOKUP($O15,'Table 3 OR Solar 2033'!$B$10:$J$36,9,FALSE)</f>
        <v>22.04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2022</v>
      </c>
      <c r="CX15" s="89">
        <f>IFERROR(VLOOKUP($CW15,'Table 3 TransCost D2 '!$B$10:$E$34,4,FALSE),0)</f>
        <v>49.76</v>
      </c>
      <c r="CY15" s="193">
        <f t="shared" si="27"/>
        <v>0</v>
      </c>
    </row>
    <row r="16" spans="2:103" customFormat="1" hidden="1">
      <c r="B16" s="15">
        <f t="shared" si="25"/>
        <v>2023</v>
      </c>
      <c r="C16" s="9">
        <f t="shared" si="3"/>
        <v>0</v>
      </c>
      <c r="D16" s="45"/>
      <c r="E16" s="9" t="e">
        <f t="shared" ca="1" si="26"/>
        <v>#DIV/0!</v>
      </c>
      <c r="F16" s="37"/>
      <c r="G16" s="14" t="e">
        <f t="shared" ca="1" si="28"/>
        <v>#DIV/0!</v>
      </c>
      <c r="H16" s="36"/>
      <c r="I16" s="193"/>
      <c r="J16" s="193"/>
      <c r="M16" s="115"/>
      <c r="O16">
        <f t="shared" si="4"/>
        <v>2023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-6.53</v>
      </c>
      <c r="BG16">
        <f>VLOOKUP($O16,'Table 3 EV2020 Wind_2021'!$B$10:$K$36,10,FALSE)</f>
        <v>-8.5299999999999994</v>
      </c>
      <c r="BH16">
        <f>VLOOKUP($O16,'Table 3 DJ Wind 2030'!$B$10:$J$36,9,FALSE)</f>
        <v>45.69</v>
      </c>
      <c r="BI16">
        <f>VLOOKUP($O16,'Table 3 ID Wind 2030'!$B$10:$J$36,9,FALSE)</f>
        <v>43.01</v>
      </c>
      <c r="BJ16">
        <f>VLOOKUP($O16,'Table 3 ID Wind 2033'!$B$10:$J$36,9,FALSE)</f>
        <v>43.01</v>
      </c>
      <c r="BK16">
        <f>VLOOKUP($O16,'Table 3 WW Wind 2035'!$B$10:$J$36,9,FALSE)</f>
        <v>43.01</v>
      </c>
      <c r="BL16">
        <f>VLOOKUP($O16,'Table 3 YK Wind 2035'!$B$10:$J$36,9,FALSE)</f>
        <v>43.01</v>
      </c>
      <c r="BM16">
        <f>VLOOKUP($O16,'Table 3 OR Wind 2035'!$B$10:$J$36,9,FALSE)</f>
        <v>43.01</v>
      </c>
      <c r="BN16">
        <f>VLOOKUP($O16,'Table 3 UT Wind 2030'!$B$10:$J$36,9,FALSE)</f>
        <v>43.01</v>
      </c>
      <c r="BO16">
        <f>VLOOKUP($O16,'Table 3 UT Wind 2036'!$B$10:$J$36,9,FALSE)</f>
        <v>43.01</v>
      </c>
      <c r="BP16">
        <f>VLOOKUP($O16,'Table 3 YK Solar 2030'!$B$10:$J$36,9,FALSE)</f>
        <v>21.45</v>
      </c>
      <c r="BQ16">
        <f>VLOOKUP($O16,'Table 3 YK Solar 2032'!$B$10:$J$36,9,FALSE)</f>
        <v>21.45</v>
      </c>
      <c r="BR16">
        <f>VLOOKUP($O16,'Table 3 YK Solar 2033'!$B$10:$J$36,9,FALSE)</f>
        <v>21.45</v>
      </c>
      <c r="BS16">
        <f>VLOOKUP($O16,'Table 3 UT Solar 2033 ST'!$B$10:$J$36,9,FALSE)</f>
        <v>22.54</v>
      </c>
      <c r="BT16">
        <f>VLOOKUP($O16,'Table 3 UT Solar 2035 ST'!$B$10:$J$36,9,FALSE)</f>
        <v>22.54</v>
      </c>
      <c r="BU16">
        <f>VLOOKUP($O16,'Table 3 UT Solar 2035 FT'!$B$10:$J$36,9,FALSE)</f>
        <v>21.43</v>
      </c>
      <c r="BV16">
        <f>VLOOKUP($O16,'Table 3 OR Solar 2030'!$B$10:$J$36,9,FALSE)</f>
        <v>22.57</v>
      </c>
      <c r="BW16">
        <f>VLOOKUP($O16,'Table 3 OR Solar 2031'!$B$10:$J$36,9,FALSE)</f>
        <v>22.57</v>
      </c>
      <c r="BX16">
        <f>VLOOKUP($O16,'Table 3 OR Solar 2032'!$B$10:$J$36,9,FALSE)</f>
        <v>22.57</v>
      </c>
      <c r="BY16">
        <f>VLOOKUP($O16,'Table 3 OR Solar 2033'!$B$10:$J$36,9,FALSE)</f>
        <v>22.57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2023</v>
      </c>
      <c r="CX16" s="89">
        <f>IFERROR(VLOOKUP($CW16,'Table 3 TransCost D2 '!$B$10:$E$34,4,FALSE),0)</f>
        <v>50.95000000000001</v>
      </c>
      <c r="CY16" s="193">
        <f t="shared" si="27"/>
        <v>0</v>
      </c>
    </row>
    <row r="17" spans="2:103" hidden="1">
      <c r="B17" s="15">
        <f t="shared" si="25"/>
        <v>2024</v>
      </c>
      <c r="C17" s="9">
        <f t="shared" si="3"/>
        <v>0</v>
      </c>
      <c r="D17" s="45"/>
      <c r="E17" s="9" t="e">
        <f t="shared" ca="1" si="26"/>
        <v>#DIV/0!</v>
      </c>
      <c r="F17" s="37"/>
      <c r="G17" s="14" t="e">
        <f t="shared" ca="1" si="28"/>
        <v>#DIV/0!</v>
      </c>
      <c r="H17" s="36"/>
      <c r="I17" s="193"/>
      <c r="J17" s="193"/>
      <c r="M17" s="116"/>
      <c r="O17">
        <f t="shared" si="4"/>
        <v>2024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-3.78</v>
      </c>
      <c r="BG17">
        <f>VLOOKUP($O17,'Table 3 EV2020 Wind_2021'!$B$10:$K$36,10,FALSE)</f>
        <v>-5.83</v>
      </c>
      <c r="BH17">
        <f>VLOOKUP($O17,'Table 3 DJ Wind 2030'!$B$10:$J$36,9,FALSE)</f>
        <v>46.79</v>
      </c>
      <c r="BI17">
        <f>VLOOKUP($O17,'Table 3 ID Wind 2030'!$B$10:$J$36,9,FALSE)</f>
        <v>44.04</v>
      </c>
      <c r="BJ17">
        <f>VLOOKUP($O17,'Table 3 ID Wind 2033'!$B$10:$J$36,9,FALSE)</f>
        <v>44.04</v>
      </c>
      <c r="BK17">
        <f>VLOOKUP($O17,'Table 3 WW Wind 2035'!$B$10:$J$36,9,FALSE)</f>
        <v>44.04</v>
      </c>
      <c r="BL17">
        <f>VLOOKUP($O17,'Table 3 YK Wind 2035'!$B$10:$J$36,9,FALSE)</f>
        <v>44.04</v>
      </c>
      <c r="BM17">
        <f>VLOOKUP($O17,'Table 3 OR Wind 2035'!$B$10:$J$36,9,FALSE)</f>
        <v>44.04</v>
      </c>
      <c r="BN17">
        <f>VLOOKUP($O17,'Table 3 UT Wind 2030'!$B$10:$J$36,9,FALSE)</f>
        <v>44.04</v>
      </c>
      <c r="BO17">
        <f>VLOOKUP($O17,'Table 3 UT Wind 2036'!$B$10:$J$36,9,FALSE)</f>
        <v>44.04</v>
      </c>
      <c r="BP17">
        <f>VLOOKUP($O17,'Table 3 YK Solar 2030'!$B$10:$J$36,9,FALSE)</f>
        <v>21.96</v>
      </c>
      <c r="BQ17">
        <f>VLOOKUP($O17,'Table 3 YK Solar 2032'!$B$10:$J$36,9,FALSE)</f>
        <v>21.96</v>
      </c>
      <c r="BR17">
        <f>VLOOKUP($O17,'Table 3 YK Solar 2033'!$B$10:$J$36,9,FALSE)</f>
        <v>21.96</v>
      </c>
      <c r="BS17">
        <f>VLOOKUP($O17,'Table 3 UT Solar 2033 ST'!$B$10:$J$36,9,FALSE)</f>
        <v>23.08</v>
      </c>
      <c r="BT17">
        <f>VLOOKUP($O17,'Table 3 UT Solar 2035 ST'!$B$10:$J$36,9,FALSE)</f>
        <v>23.08</v>
      </c>
      <c r="BU17">
        <f>VLOOKUP($O17,'Table 3 UT Solar 2035 FT'!$B$10:$J$36,9,FALSE)</f>
        <v>21.94</v>
      </c>
      <c r="BV17">
        <f>VLOOKUP($O17,'Table 3 OR Solar 2030'!$B$10:$J$36,9,FALSE)</f>
        <v>23.11</v>
      </c>
      <c r="BW17">
        <f>VLOOKUP($O17,'Table 3 OR Solar 2031'!$B$10:$J$36,9,FALSE)</f>
        <v>23.11</v>
      </c>
      <c r="BX17">
        <f>VLOOKUP($O17,'Table 3 OR Solar 2032'!$B$10:$J$36,9,FALSE)</f>
        <v>23.11</v>
      </c>
      <c r="BY17">
        <f>VLOOKUP($O17,'Table 3 OR Solar 2033'!$B$10:$J$36,9,FALSE)</f>
        <v>23.11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2024</v>
      </c>
      <c r="CX17" s="89">
        <f>IFERROR(VLOOKUP($CW17,'Table 3 TransCost D2 '!$B$10:$E$34,4,FALSE),0)</f>
        <v>52.169999999999995</v>
      </c>
      <c r="CY17" s="193">
        <f t="shared" si="27"/>
        <v>0</v>
      </c>
    </row>
    <row r="18" spans="2:103" hidden="1">
      <c r="B18" s="15">
        <f t="shared" si="25"/>
        <v>2025</v>
      </c>
      <c r="C18" s="9">
        <f t="shared" si="3"/>
        <v>0</v>
      </c>
      <c r="D18" s="45"/>
      <c r="E18" s="9" t="e">
        <f t="shared" ca="1" si="26"/>
        <v>#DIV/0!</v>
      </c>
      <c r="F18" s="37"/>
      <c r="G18" s="14" t="e">
        <f t="shared" ca="1" si="28"/>
        <v>#DIV/0!</v>
      </c>
      <c r="H18" s="36"/>
      <c r="I18" s="193"/>
      <c r="J18" s="193"/>
      <c r="M18" s="116"/>
      <c r="O18">
        <f t="shared" si="4"/>
        <v>2025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-5.59</v>
      </c>
      <c r="BG18">
        <f>VLOOKUP($O18,'Table 3 EV2020 Wind_2021'!$B$10:$K$36,10,FALSE)</f>
        <v>-7.69</v>
      </c>
      <c r="BH18">
        <f>VLOOKUP($O18,'Table 3 DJ Wind 2030'!$B$10:$J$36,9,FALSE)</f>
        <v>47.87</v>
      </c>
      <c r="BI18">
        <f>VLOOKUP($O18,'Table 3 ID Wind 2030'!$B$10:$J$36,9,FALSE)</f>
        <v>45.05</v>
      </c>
      <c r="BJ18">
        <f>VLOOKUP($O18,'Table 3 ID Wind 2033'!$B$10:$J$36,9,FALSE)</f>
        <v>45.05</v>
      </c>
      <c r="BK18">
        <f>VLOOKUP($O18,'Table 3 WW Wind 2035'!$B$10:$J$36,9,FALSE)</f>
        <v>45.05</v>
      </c>
      <c r="BL18">
        <f>VLOOKUP($O18,'Table 3 YK Wind 2035'!$B$10:$J$36,9,FALSE)</f>
        <v>45.05</v>
      </c>
      <c r="BM18">
        <f>VLOOKUP($O18,'Table 3 OR Wind 2035'!$B$10:$J$36,9,FALSE)</f>
        <v>45.05</v>
      </c>
      <c r="BN18">
        <f>VLOOKUP($O18,'Table 3 UT Wind 2030'!$B$10:$J$36,9,FALSE)</f>
        <v>45.05</v>
      </c>
      <c r="BO18">
        <f>VLOOKUP($O18,'Table 3 UT Wind 2036'!$B$10:$J$36,9,FALSE)</f>
        <v>45.05</v>
      </c>
      <c r="BP18">
        <f>VLOOKUP($O18,'Table 3 YK Solar 2030'!$B$10:$J$36,9,FALSE)</f>
        <v>22.47</v>
      </c>
      <c r="BQ18">
        <f>VLOOKUP($O18,'Table 3 YK Solar 2032'!$B$10:$J$36,9,FALSE)</f>
        <v>22.47</v>
      </c>
      <c r="BR18">
        <f>VLOOKUP($O18,'Table 3 YK Solar 2033'!$B$10:$J$36,9,FALSE)</f>
        <v>22.47</v>
      </c>
      <c r="BS18">
        <f>VLOOKUP($O18,'Table 3 UT Solar 2033 ST'!$B$10:$J$36,9,FALSE)</f>
        <v>23.61</v>
      </c>
      <c r="BT18">
        <f>VLOOKUP($O18,'Table 3 UT Solar 2035 ST'!$B$10:$J$36,9,FALSE)</f>
        <v>23.61</v>
      </c>
      <c r="BU18">
        <f>VLOOKUP($O18,'Table 3 UT Solar 2035 FT'!$B$10:$J$36,9,FALSE)</f>
        <v>22.44</v>
      </c>
      <c r="BV18">
        <f>VLOOKUP($O18,'Table 3 OR Solar 2030'!$B$10:$J$36,9,FALSE)</f>
        <v>23.64</v>
      </c>
      <c r="BW18">
        <f>VLOOKUP($O18,'Table 3 OR Solar 2031'!$B$10:$J$36,9,FALSE)</f>
        <v>23.64</v>
      </c>
      <c r="BX18">
        <f>VLOOKUP($O18,'Table 3 OR Solar 2032'!$B$10:$J$36,9,FALSE)</f>
        <v>23.64</v>
      </c>
      <c r="BY18">
        <f>VLOOKUP($O18,'Table 3 OR Solar 2033'!$B$10:$J$36,9,FALSE)</f>
        <v>23.64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2025</v>
      </c>
      <c r="CX18" s="89">
        <f>IFERROR(VLOOKUP($CW18,'Table 3 TransCost D2 '!$B$10:$E$34,4,FALSE),0)</f>
        <v>53.37</v>
      </c>
      <c r="CY18" s="193">
        <f t="shared" si="27"/>
        <v>0</v>
      </c>
    </row>
    <row r="19" spans="2:103" hidden="1">
      <c r="B19" s="15">
        <f t="shared" si="25"/>
        <v>2026</v>
      </c>
      <c r="C19" s="9">
        <f t="shared" si="3"/>
        <v>0</v>
      </c>
      <c r="D19" s="45"/>
      <c r="E19" s="9" t="e">
        <f t="shared" ca="1" si="26"/>
        <v>#DIV/0!</v>
      </c>
      <c r="F19" s="37"/>
      <c r="G19" s="14" t="e">
        <f t="shared" ca="1" si="28"/>
        <v>#DIV/0!</v>
      </c>
      <c r="H19" s="36"/>
      <c r="I19" s="193"/>
      <c r="J19" s="193"/>
      <c r="M19" s="116"/>
      <c r="O19">
        <f t="shared" si="4"/>
        <v>2026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-2.82</v>
      </c>
      <c r="BG19">
        <f>VLOOKUP($O19,'Table 3 EV2020 Wind_2021'!$B$10:$K$36,10,FALSE)</f>
        <v>-4.97</v>
      </c>
      <c r="BH19">
        <f>VLOOKUP($O19,'Table 3 DJ Wind 2030'!$B$10:$J$36,9,FALSE)</f>
        <v>48.98</v>
      </c>
      <c r="BI19">
        <f>VLOOKUP($O19,'Table 3 ID Wind 2030'!$B$10:$J$36,9,FALSE)</f>
        <v>46.09</v>
      </c>
      <c r="BJ19">
        <f>VLOOKUP($O19,'Table 3 ID Wind 2033'!$B$10:$J$36,9,FALSE)</f>
        <v>46.09</v>
      </c>
      <c r="BK19">
        <f>VLOOKUP($O19,'Table 3 WW Wind 2035'!$B$10:$J$36,9,FALSE)</f>
        <v>46.09</v>
      </c>
      <c r="BL19">
        <f>VLOOKUP($O19,'Table 3 YK Wind 2035'!$B$10:$J$36,9,FALSE)</f>
        <v>46.09</v>
      </c>
      <c r="BM19">
        <f>VLOOKUP($O19,'Table 3 OR Wind 2035'!$B$10:$J$36,9,FALSE)</f>
        <v>46.09</v>
      </c>
      <c r="BN19">
        <f>VLOOKUP($O19,'Table 3 UT Wind 2030'!$B$10:$J$36,9,FALSE)</f>
        <v>46.09</v>
      </c>
      <c r="BO19">
        <f>VLOOKUP($O19,'Table 3 UT Wind 2036'!$B$10:$J$36,9,FALSE)</f>
        <v>46.09</v>
      </c>
      <c r="BP19">
        <f>VLOOKUP($O19,'Table 3 YK Solar 2030'!$B$10:$J$36,9,FALSE)</f>
        <v>22.99</v>
      </c>
      <c r="BQ19">
        <f>VLOOKUP($O19,'Table 3 YK Solar 2032'!$B$10:$J$36,9,FALSE)</f>
        <v>22.99</v>
      </c>
      <c r="BR19">
        <f>VLOOKUP($O19,'Table 3 YK Solar 2033'!$B$10:$J$36,9,FALSE)</f>
        <v>22.99</v>
      </c>
      <c r="BS19">
        <f>VLOOKUP($O19,'Table 3 UT Solar 2033 ST'!$B$10:$J$36,9,FALSE)</f>
        <v>24.15</v>
      </c>
      <c r="BT19">
        <f>VLOOKUP($O19,'Table 3 UT Solar 2035 ST'!$B$10:$J$36,9,FALSE)</f>
        <v>24.15</v>
      </c>
      <c r="BU19">
        <f>VLOOKUP($O19,'Table 3 UT Solar 2035 FT'!$B$10:$J$36,9,FALSE)</f>
        <v>22.96</v>
      </c>
      <c r="BV19">
        <f>VLOOKUP($O19,'Table 3 OR Solar 2030'!$B$10:$J$36,9,FALSE)</f>
        <v>24.18</v>
      </c>
      <c r="BW19">
        <f>VLOOKUP($O19,'Table 3 OR Solar 2031'!$B$10:$J$36,9,FALSE)</f>
        <v>24.18</v>
      </c>
      <c r="BX19">
        <f>VLOOKUP($O19,'Table 3 OR Solar 2032'!$B$10:$J$36,9,FALSE)</f>
        <v>24.18</v>
      </c>
      <c r="BY19">
        <f>VLOOKUP($O19,'Table 3 OR Solar 2033'!$B$10:$J$36,9,FALSE)</f>
        <v>24.18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2026</v>
      </c>
      <c r="CX19" s="89">
        <f>IFERROR(VLOOKUP($CW19,'Table 3 TransCost D2 '!$B$10:$E$34,4,FALSE),0)</f>
        <v>54.6</v>
      </c>
      <c r="CY19" s="193">
        <f t="shared" si="27"/>
        <v>0</v>
      </c>
    </row>
    <row r="20" spans="2:103" hidden="1">
      <c r="B20" s="15">
        <f t="shared" si="25"/>
        <v>2027</v>
      </c>
      <c r="C20" s="9">
        <f t="shared" si="3"/>
        <v>0</v>
      </c>
      <c r="D20" s="45"/>
      <c r="E20" s="9" t="e">
        <f t="shared" ca="1" si="26"/>
        <v>#DIV/0!</v>
      </c>
      <c r="F20" s="37"/>
      <c r="G20" s="14" t="e">
        <f t="shared" ca="1" si="28"/>
        <v>#DIV/0!</v>
      </c>
      <c r="H20" s="36"/>
      <c r="I20" s="193"/>
      <c r="J20" s="193"/>
      <c r="M20" s="116"/>
      <c r="O20">
        <f t="shared" si="4"/>
        <v>2027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-4.4800000000000004</v>
      </c>
      <c r="BG20">
        <f>VLOOKUP($O20,'Table 3 EV2020 Wind_2021'!$B$10:$K$36,10,FALSE)</f>
        <v>-6.68</v>
      </c>
      <c r="BH20">
        <f>VLOOKUP($O20,'Table 3 DJ Wind 2030'!$B$10:$J$36,9,FALSE)</f>
        <v>50.12</v>
      </c>
      <c r="BI20">
        <f>VLOOKUP($O20,'Table 3 ID Wind 2030'!$B$10:$J$36,9,FALSE)</f>
        <v>47.15</v>
      </c>
      <c r="BJ20">
        <f>VLOOKUP($O20,'Table 3 ID Wind 2033'!$B$10:$J$36,9,FALSE)</f>
        <v>47.15</v>
      </c>
      <c r="BK20">
        <f>VLOOKUP($O20,'Table 3 WW Wind 2035'!$B$10:$J$36,9,FALSE)</f>
        <v>47.15</v>
      </c>
      <c r="BL20">
        <f>VLOOKUP($O20,'Table 3 YK Wind 2035'!$B$10:$J$36,9,FALSE)</f>
        <v>47.15</v>
      </c>
      <c r="BM20">
        <f>VLOOKUP($O20,'Table 3 OR Wind 2035'!$B$10:$J$36,9,FALSE)</f>
        <v>47.15</v>
      </c>
      <c r="BN20">
        <f>VLOOKUP($O20,'Table 3 UT Wind 2030'!$B$10:$J$36,9,FALSE)</f>
        <v>47.15</v>
      </c>
      <c r="BO20">
        <f>VLOOKUP($O20,'Table 3 UT Wind 2036'!$B$10:$J$36,9,FALSE)</f>
        <v>47.15</v>
      </c>
      <c r="BP20">
        <f>VLOOKUP($O20,'Table 3 YK Solar 2030'!$B$10:$J$36,9,FALSE)</f>
        <v>23.52</v>
      </c>
      <c r="BQ20">
        <f>VLOOKUP($O20,'Table 3 YK Solar 2032'!$B$10:$J$36,9,FALSE)</f>
        <v>23.52</v>
      </c>
      <c r="BR20">
        <f>VLOOKUP($O20,'Table 3 YK Solar 2033'!$B$10:$J$36,9,FALSE)</f>
        <v>23.52</v>
      </c>
      <c r="BS20">
        <f>VLOOKUP($O20,'Table 3 UT Solar 2033 ST'!$B$10:$J$36,9,FALSE)</f>
        <v>24.71</v>
      </c>
      <c r="BT20">
        <f>VLOOKUP($O20,'Table 3 UT Solar 2035 ST'!$B$10:$J$36,9,FALSE)</f>
        <v>24.71</v>
      </c>
      <c r="BU20">
        <f>VLOOKUP($O20,'Table 3 UT Solar 2035 FT'!$B$10:$J$36,9,FALSE)</f>
        <v>23.49</v>
      </c>
      <c r="BV20">
        <f>VLOOKUP($O20,'Table 3 OR Solar 2030'!$B$10:$J$36,9,FALSE)</f>
        <v>24.74</v>
      </c>
      <c r="BW20">
        <f>VLOOKUP($O20,'Table 3 OR Solar 2031'!$B$10:$J$36,9,FALSE)</f>
        <v>24.74</v>
      </c>
      <c r="BX20">
        <f>VLOOKUP($O20,'Table 3 OR Solar 2032'!$B$10:$J$36,9,FALSE)</f>
        <v>24.74</v>
      </c>
      <c r="BY20">
        <f>VLOOKUP($O20,'Table 3 OR Solar 2033'!$B$10:$J$36,9,FALSE)</f>
        <v>24.74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2027</v>
      </c>
      <c r="CX20" s="89">
        <f>IFERROR(VLOOKUP($CW20,'Table 3 TransCost D2 '!$B$10:$E$34,4,FALSE),0)</f>
        <v>55.859999999999992</v>
      </c>
      <c r="CY20" s="193">
        <f t="shared" si="27"/>
        <v>0</v>
      </c>
    </row>
    <row r="21" spans="2:103" hidden="1">
      <c r="B21" s="15">
        <f t="shared" si="25"/>
        <v>2028</v>
      </c>
      <c r="C21" s="9">
        <f t="shared" si="3"/>
        <v>0</v>
      </c>
      <c r="D21" s="45"/>
      <c r="E21" s="9" t="e">
        <f t="shared" ca="1" si="26"/>
        <v>#DIV/0!</v>
      </c>
      <c r="F21" s="37"/>
      <c r="G21" s="14" t="e">
        <f t="shared" ca="1" si="28"/>
        <v>#DIV/0!</v>
      </c>
      <c r="H21" s="36"/>
      <c r="I21" s="193"/>
      <c r="J21" s="193"/>
      <c r="M21" s="116"/>
      <c r="O21">
        <f t="shared" si="4"/>
        <v>2028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-1.46</v>
      </c>
      <c r="BG21">
        <f>VLOOKUP($O21,'Table 3 EV2020 Wind_2021'!$B$10:$K$36,10,FALSE)</f>
        <v>-3.71</v>
      </c>
      <c r="BH21">
        <f>VLOOKUP($O21,'Table 3 DJ Wind 2030'!$B$10:$J$36,9,FALSE)</f>
        <v>51.32</v>
      </c>
      <c r="BI21">
        <f>VLOOKUP($O21,'Table 3 ID Wind 2030'!$B$10:$J$36,9,FALSE)</f>
        <v>48.28</v>
      </c>
      <c r="BJ21">
        <f>VLOOKUP($O21,'Table 3 ID Wind 2033'!$B$10:$J$36,9,FALSE)</f>
        <v>48.28</v>
      </c>
      <c r="BK21">
        <f>VLOOKUP($O21,'Table 3 WW Wind 2035'!$B$10:$J$36,9,FALSE)</f>
        <v>48.28</v>
      </c>
      <c r="BL21">
        <f>VLOOKUP($O21,'Table 3 YK Wind 2035'!$B$10:$J$36,9,FALSE)</f>
        <v>48.28</v>
      </c>
      <c r="BM21">
        <f>VLOOKUP($O21,'Table 3 OR Wind 2035'!$B$10:$J$36,9,FALSE)</f>
        <v>48.28</v>
      </c>
      <c r="BN21">
        <f>VLOOKUP($O21,'Table 3 UT Wind 2030'!$B$10:$J$36,9,FALSE)</f>
        <v>48.28</v>
      </c>
      <c r="BO21">
        <f>VLOOKUP($O21,'Table 3 UT Wind 2036'!$B$10:$J$36,9,FALSE)</f>
        <v>48.28</v>
      </c>
      <c r="BP21">
        <f>VLOOKUP($O21,'Table 3 YK Solar 2030'!$B$10:$J$36,9,FALSE)</f>
        <v>24.08</v>
      </c>
      <c r="BQ21">
        <f>VLOOKUP($O21,'Table 3 YK Solar 2032'!$B$10:$J$36,9,FALSE)</f>
        <v>24.08</v>
      </c>
      <c r="BR21">
        <f>VLOOKUP($O21,'Table 3 YK Solar 2033'!$B$10:$J$36,9,FALSE)</f>
        <v>24.08</v>
      </c>
      <c r="BS21">
        <f>VLOOKUP($O21,'Table 3 UT Solar 2033 ST'!$B$10:$J$36,9,FALSE)</f>
        <v>25.3</v>
      </c>
      <c r="BT21">
        <f>VLOOKUP($O21,'Table 3 UT Solar 2035 ST'!$B$10:$J$36,9,FALSE)</f>
        <v>25.3</v>
      </c>
      <c r="BU21">
        <f>VLOOKUP($O21,'Table 3 UT Solar 2035 FT'!$B$10:$J$36,9,FALSE)</f>
        <v>24.05</v>
      </c>
      <c r="BV21">
        <f>VLOOKUP($O21,'Table 3 OR Solar 2030'!$B$10:$J$36,9,FALSE)</f>
        <v>25.33</v>
      </c>
      <c r="BW21">
        <f>VLOOKUP($O21,'Table 3 OR Solar 2031'!$B$10:$J$36,9,FALSE)</f>
        <v>25.33</v>
      </c>
      <c r="BX21">
        <f>VLOOKUP($O21,'Table 3 OR Solar 2032'!$B$10:$J$36,9,FALSE)</f>
        <v>25.33</v>
      </c>
      <c r="BY21">
        <f>VLOOKUP($O21,'Table 3 OR Solar 2033'!$B$10:$J$36,9,FALSE)</f>
        <v>25.33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2028</v>
      </c>
      <c r="CX21" s="89">
        <f>IFERROR(VLOOKUP($CW21,'Table 3 TransCost D2 '!$B$10:$E$34,4,FALSE),0)</f>
        <v>57.20000000000001</v>
      </c>
      <c r="CY21" s="193">
        <f t="shared" si="27"/>
        <v>0</v>
      </c>
    </row>
    <row r="22" spans="2:103" hidden="1">
      <c r="B22" s="15">
        <f t="shared" si="25"/>
        <v>2029</v>
      </c>
      <c r="C22" s="9">
        <f t="shared" si="3"/>
        <v>0</v>
      </c>
      <c r="D22" s="45"/>
      <c r="E22" s="9" t="e">
        <f t="shared" ca="1" si="26"/>
        <v>#DIV/0!</v>
      </c>
      <c r="F22" s="37"/>
      <c r="G22" s="14" t="e">
        <f t="shared" ca="1" si="28"/>
        <v>#DIV/0!</v>
      </c>
      <c r="H22" s="36"/>
      <c r="I22" s="193"/>
      <c r="J22" s="193"/>
      <c r="M22" s="116"/>
      <c r="O22">
        <f t="shared" si="4"/>
        <v>2029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-2.85</v>
      </c>
      <c r="BG22">
        <f>VLOOKUP($O22,'Table 3 EV2020 Wind_2021'!$B$10:$K$36,10,FALSE)</f>
        <v>-5.16</v>
      </c>
      <c r="BH22">
        <f>VLOOKUP($O22,'Table 3 DJ Wind 2030'!$B$10:$J$36,9,FALSE)</f>
        <v>52.55</v>
      </c>
      <c r="BI22">
        <f>VLOOKUP($O22,'Table 3 ID Wind 2030'!$B$10:$J$36,9,FALSE)</f>
        <v>49.44</v>
      </c>
      <c r="BJ22">
        <f>VLOOKUP($O22,'Table 3 ID Wind 2033'!$B$10:$J$36,9,FALSE)</f>
        <v>49.44</v>
      </c>
      <c r="BK22">
        <f>VLOOKUP($O22,'Table 3 WW Wind 2035'!$B$10:$J$36,9,FALSE)</f>
        <v>49.44</v>
      </c>
      <c r="BL22">
        <f>VLOOKUP($O22,'Table 3 YK Wind 2035'!$B$10:$J$36,9,FALSE)</f>
        <v>49.44</v>
      </c>
      <c r="BM22">
        <f>VLOOKUP($O22,'Table 3 OR Wind 2035'!$B$10:$J$36,9,FALSE)</f>
        <v>49.44</v>
      </c>
      <c r="BN22">
        <f>VLOOKUP($O22,'Table 3 UT Wind 2030'!$B$10:$J$36,9,FALSE)</f>
        <v>49.44</v>
      </c>
      <c r="BO22">
        <f>VLOOKUP($O22,'Table 3 UT Wind 2036'!$B$10:$J$36,9,FALSE)</f>
        <v>49.44</v>
      </c>
      <c r="BP22">
        <f>VLOOKUP($O22,'Table 3 YK Solar 2030'!$B$10:$J$36,9,FALSE)</f>
        <v>24.66</v>
      </c>
      <c r="BQ22">
        <f>VLOOKUP($O22,'Table 3 YK Solar 2032'!$B$10:$J$36,9,FALSE)</f>
        <v>24.66</v>
      </c>
      <c r="BR22">
        <f>VLOOKUP($O22,'Table 3 YK Solar 2033'!$B$10:$J$36,9,FALSE)</f>
        <v>24.66</v>
      </c>
      <c r="BS22">
        <f>VLOOKUP($O22,'Table 3 UT Solar 2033 ST'!$B$10:$J$36,9,FALSE)</f>
        <v>25.91</v>
      </c>
      <c r="BT22">
        <f>VLOOKUP($O22,'Table 3 UT Solar 2035 ST'!$B$10:$J$36,9,FALSE)</f>
        <v>25.91</v>
      </c>
      <c r="BU22">
        <f>VLOOKUP($O22,'Table 3 UT Solar 2035 FT'!$B$10:$J$36,9,FALSE)</f>
        <v>24.63</v>
      </c>
      <c r="BV22">
        <f>VLOOKUP($O22,'Table 3 OR Solar 2030'!$B$10:$J$36,9,FALSE)</f>
        <v>25.94</v>
      </c>
      <c r="BW22">
        <f>VLOOKUP($O22,'Table 3 OR Solar 2031'!$B$10:$J$36,9,FALSE)</f>
        <v>25.94</v>
      </c>
      <c r="BX22">
        <f>VLOOKUP($O22,'Table 3 OR Solar 2032'!$B$10:$J$36,9,FALSE)</f>
        <v>25.94</v>
      </c>
      <c r="BY22">
        <f>VLOOKUP($O22,'Table 3 OR Solar 2033'!$B$10:$J$36,9,FALSE)</f>
        <v>25.94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2029</v>
      </c>
      <c r="CX22" s="89">
        <f>IFERROR(VLOOKUP($CW22,'Table 3 TransCost D2 '!$B$10:$E$34,4,FALSE),0)</f>
        <v>58.57</v>
      </c>
      <c r="CY22" s="193">
        <f t="shared" si="27"/>
        <v>0</v>
      </c>
    </row>
    <row r="23" spans="2:103" hidden="1">
      <c r="B23" s="15">
        <f t="shared" si="25"/>
        <v>2030</v>
      </c>
      <c r="C23" s="9">
        <f t="shared" si="3"/>
        <v>0</v>
      </c>
      <c r="D23" s="45"/>
      <c r="E23" s="9" t="e">
        <f t="shared" ca="1" si="26"/>
        <v>#DIV/0!</v>
      </c>
      <c r="F23" s="37"/>
      <c r="G23" s="14" t="e">
        <f t="shared" ca="1" si="28"/>
        <v>#DIV/0!</v>
      </c>
      <c r="H23" s="36"/>
      <c r="I23" s="193"/>
      <c r="J23" s="193"/>
      <c r="M23" s="116"/>
      <c r="O23">
        <f t="shared" si="4"/>
        <v>2030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18.97</v>
      </c>
      <c r="BG23">
        <f>VLOOKUP($O23,'Table 3 EV2020 Wind_2021'!$B$10:$K$36,10,FALSE)</f>
        <v>-6.68</v>
      </c>
      <c r="BH23">
        <f>VLOOKUP($O23,'Table 3 DJ Wind 2030'!$B$10:$J$36,9,FALSE)</f>
        <v>149.93</v>
      </c>
      <c r="BI23">
        <f>VLOOKUP($O23,'Table 3 ID Wind 2030'!$B$10:$J$36,9,FALSE)</f>
        <v>150.82</v>
      </c>
      <c r="BJ23">
        <f>VLOOKUP($O23,'Table 3 ID Wind 2033'!$B$10:$J$36,9,FALSE)</f>
        <v>50.58</v>
      </c>
      <c r="BK23">
        <f>VLOOKUP($O23,'Table 3 WW Wind 2035'!$B$10:$J$36,9,FALSE)</f>
        <v>50.58</v>
      </c>
      <c r="BL23">
        <f>VLOOKUP($O23,'Table 3 YK Wind 2035'!$B$10:$J$36,9,FALSE)</f>
        <v>50.58</v>
      </c>
      <c r="BM23">
        <f>VLOOKUP($O23,'Table 3 OR Wind 2035'!$B$10:$J$36,9,FALSE)</f>
        <v>50.58</v>
      </c>
      <c r="BN23">
        <f>VLOOKUP($O23,'Table 3 UT Wind 2030'!$B$10:$J$36,9,FALSE)</f>
        <v>146.63999999999999</v>
      </c>
      <c r="BO23">
        <f>VLOOKUP($O23,'Table 3 UT Wind 2036'!$B$10:$J$36,9,FALSE)</f>
        <v>50.58</v>
      </c>
      <c r="BP23">
        <f>VLOOKUP($O23,'Table 3 YK Solar 2030'!$B$10:$J$36,9,FALSE)</f>
        <v>117.29</v>
      </c>
      <c r="BQ23">
        <f>VLOOKUP($O23,'Table 3 YK Solar 2032'!$B$10:$J$36,9,FALSE)</f>
        <v>25.23</v>
      </c>
      <c r="BR23">
        <f>VLOOKUP($O23,'Table 3 YK Solar 2033'!$B$10:$J$36,9,FALSE)</f>
        <v>25.23</v>
      </c>
      <c r="BS23">
        <f>VLOOKUP($O23,'Table 3 UT Solar 2033 ST'!$B$10:$J$36,9,FALSE)</f>
        <v>26.51</v>
      </c>
      <c r="BT23">
        <f>VLOOKUP($O23,'Table 3 UT Solar 2035 ST'!$B$10:$J$36,9,FALSE)</f>
        <v>26.51</v>
      </c>
      <c r="BU23">
        <f>VLOOKUP($O23,'Table 3 UT Solar 2035 FT'!$B$10:$J$36,9,FALSE)</f>
        <v>25.2</v>
      </c>
      <c r="BV23">
        <f>VLOOKUP($O23,'Table 3 OR Solar 2030'!$B$10:$J$36,9,FALSE)</f>
        <v>120.37</v>
      </c>
      <c r="BW23">
        <f>VLOOKUP($O23,'Table 3 OR Solar 2031'!$B$10:$J$36,9,FALSE)</f>
        <v>26.54</v>
      </c>
      <c r="BX23">
        <f>VLOOKUP($O23,'Table 3 OR Solar 2032'!$B$10:$J$36,9,FALSE)</f>
        <v>26.54</v>
      </c>
      <c r="BY23">
        <f>VLOOKUP($O23,'Table 3 OR Solar 2033'!$B$10:$J$36,9,FALSE)</f>
        <v>26.54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2030</v>
      </c>
      <c r="CX23" s="89">
        <f>IFERROR(VLOOKUP($CW23,'Table 3 TransCost D2 '!$B$10:$E$34,4,FALSE),0)</f>
        <v>59.919999999999995</v>
      </c>
      <c r="CY23" s="193">
        <f t="shared" si="27"/>
        <v>0</v>
      </c>
    </row>
    <row r="24" spans="2:103" hidden="1">
      <c r="B24" s="15">
        <f t="shared" si="25"/>
        <v>2031</v>
      </c>
      <c r="C24" s="9">
        <f t="shared" si="3"/>
        <v>0</v>
      </c>
      <c r="D24" s="45"/>
      <c r="E24" s="9" t="e">
        <f t="shared" ca="1" si="26"/>
        <v>#DIV/0!</v>
      </c>
      <c r="F24" s="37"/>
      <c r="G24" s="14" t="e">
        <f t="shared" ca="1" si="28"/>
        <v>#DIV/0!</v>
      </c>
      <c r="H24" s="36"/>
      <c r="I24" s="193"/>
      <c r="J24" s="193"/>
      <c r="M24" s="116"/>
      <c r="O24">
        <f t="shared" si="4"/>
        <v>2031</v>
      </c>
      <c r="P24">
        <v>0</v>
      </c>
      <c r="Q24">
        <v>0</v>
      </c>
      <c r="R24">
        <v>0</v>
      </c>
      <c r="S24" s="193">
        <v>0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138.53</v>
      </c>
      <c r="BG24">
        <f>VLOOKUP($O24,'Table 3 EV2020 Wind_2021'!$B$10:$K$36,10,FALSE)</f>
        <v>136.11000000000001</v>
      </c>
      <c r="BH24">
        <f>VLOOKUP($O24,'Table 3 DJ Wind 2030'!$B$10:$J$36,9,FALSE)</f>
        <v>153.38</v>
      </c>
      <c r="BI24">
        <f>VLOOKUP($O24,'Table 3 ID Wind 2030'!$B$10:$J$36,9,FALSE)</f>
        <v>154.29</v>
      </c>
      <c r="BJ24">
        <f>VLOOKUP($O24,'Table 3 ID Wind 2033'!$B$10:$J$36,9,FALSE)</f>
        <v>51.74</v>
      </c>
      <c r="BK24">
        <f>VLOOKUP($O24,'Table 3 WW Wind 2035'!$B$10:$J$36,9,FALSE)</f>
        <v>51.74</v>
      </c>
      <c r="BL24">
        <f>VLOOKUP($O24,'Table 3 YK Wind 2035'!$B$10:$J$36,9,FALSE)</f>
        <v>51.74</v>
      </c>
      <c r="BM24">
        <f>VLOOKUP($O24,'Table 3 OR Wind 2035'!$B$10:$J$36,9,FALSE)</f>
        <v>51.74</v>
      </c>
      <c r="BN24">
        <f>VLOOKUP($O24,'Table 3 UT Wind 2030'!$B$10:$J$36,9,FALSE)</f>
        <v>150.01</v>
      </c>
      <c r="BO24">
        <f>VLOOKUP($O24,'Table 3 UT Wind 2036'!$B$10:$J$36,9,FALSE)</f>
        <v>51.74</v>
      </c>
      <c r="BP24">
        <f>VLOOKUP($O24,'Table 3 YK Solar 2030'!$B$10:$J$36,9,FALSE)</f>
        <v>119.98</v>
      </c>
      <c r="BQ24">
        <f>VLOOKUP($O24,'Table 3 YK Solar 2032'!$B$10:$J$36,9,FALSE)</f>
        <v>25.81</v>
      </c>
      <c r="BR24">
        <f>VLOOKUP($O24,'Table 3 YK Solar 2033'!$B$10:$J$36,9,FALSE)</f>
        <v>25.81</v>
      </c>
      <c r="BS24">
        <f>VLOOKUP($O24,'Table 3 UT Solar 2033 ST'!$B$10:$J$36,9,FALSE)</f>
        <v>27.12</v>
      </c>
      <c r="BT24">
        <f>VLOOKUP($O24,'Table 3 UT Solar 2035 ST'!$B$10:$J$36,9,FALSE)</f>
        <v>27.12</v>
      </c>
      <c r="BU24">
        <f>VLOOKUP($O24,'Table 3 UT Solar 2035 FT'!$B$10:$J$36,9,FALSE)</f>
        <v>25.78</v>
      </c>
      <c r="BV24">
        <f>VLOOKUP($O24,'Table 3 OR Solar 2030'!$B$10:$J$36,9,FALSE)</f>
        <v>123.13</v>
      </c>
      <c r="BW24">
        <f>VLOOKUP($O24,'Table 3 OR Solar 2031'!$B$10:$J$36,9,FALSE)</f>
        <v>120.44</v>
      </c>
      <c r="BX24">
        <f>VLOOKUP($O24,'Table 3 OR Solar 2032'!$B$10:$J$36,9,FALSE)</f>
        <v>27.15</v>
      </c>
      <c r="BY24">
        <f>VLOOKUP($O24,'Table 3 OR Solar 2033'!$B$10:$J$36,9,FALSE)</f>
        <v>27.15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2031</v>
      </c>
      <c r="CX24" s="89">
        <f>IFERROR(VLOOKUP($CW24,'Table 3 TransCost D2 '!$B$10:$E$34,4,FALSE),0)</f>
        <v>61.29999999999999</v>
      </c>
      <c r="CY24" s="193">
        <f t="shared" si="27"/>
        <v>0</v>
      </c>
    </row>
    <row r="25" spans="2:103" hidden="1">
      <c r="B25" s="15">
        <f t="shared" si="25"/>
        <v>2032</v>
      </c>
      <c r="C25" s="9">
        <f t="shared" si="3"/>
        <v>0</v>
      </c>
      <c r="D25" s="45"/>
      <c r="E25" s="9" t="e">
        <f t="shared" ca="1" si="26"/>
        <v>#DIV/0!</v>
      </c>
      <c r="F25" s="37"/>
      <c r="G25" s="14" t="e">
        <f t="shared" ca="1" si="28"/>
        <v>#DIV/0!</v>
      </c>
      <c r="H25" s="36"/>
      <c r="I25" s="193"/>
      <c r="J25" s="193"/>
      <c r="M25" s="116"/>
      <c r="O25">
        <f t="shared" si="4"/>
        <v>2032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141.72999999999999</v>
      </c>
      <c r="BG25">
        <f>VLOOKUP($O25,'Table 3 EV2020 Wind_2021'!$B$10:$K$36,10,FALSE)</f>
        <v>139.26</v>
      </c>
      <c r="BH25">
        <f>VLOOKUP($O25,'Table 3 DJ Wind 2030'!$B$10:$J$36,9,FALSE)</f>
        <v>156.9</v>
      </c>
      <c r="BI25">
        <f>VLOOKUP($O25,'Table 3 ID Wind 2030'!$B$10:$J$36,9,FALSE)</f>
        <v>157.84</v>
      </c>
      <c r="BJ25">
        <f>VLOOKUP($O25,'Table 3 ID Wind 2033'!$B$10:$J$36,9,FALSE)</f>
        <v>52.93</v>
      </c>
      <c r="BK25">
        <f>VLOOKUP($O25,'Table 3 WW Wind 2035'!$B$10:$J$36,9,FALSE)</f>
        <v>52.93</v>
      </c>
      <c r="BL25">
        <f>VLOOKUP($O25,'Table 3 YK Wind 2035'!$B$10:$J$36,9,FALSE)</f>
        <v>52.93</v>
      </c>
      <c r="BM25">
        <f>VLOOKUP($O25,'Table 3 OR Wind 2035'!$B$10:$J$36,9,FALSE)</f>
        <v>52.93</v>
      </c>
      <c r="BN25">
        <f>VLOOKUP($O25,'Table 3 UT Wind 2030'!$B$10:$J$36,9,FALSE)</f>
        <v>153.46</v>
      </c>
      <c r="BO25">
        <f>VLOOKUP($O25,'Table 3 UT Wind 2036'!$B$10:$J$36,9,FALSE)</f>
        <v>52.93</v>
      </c>
      <c r="BP25">
        <f>VLOOKUP($O25,'Table 3 YK Solar 2030'!$B$10:$J$36,9,FALSE)</f>
        <v>122.74</v>
      </c>
      <c r="BQ25">
        <f>VLOOKUP($O25,'Table 3 YK Solar 2032'!$B$10:$J$36,9,FALSE)</f>
        <v>117.41</v>
      </c>
      <c r="BR25">
        <f>VLOOKUP($O25,'Table 3 YK Solar 2033'!$B$10:$J$36,9,FALSE)</f>
        <v>26.4</v>
      </c>
      <c r="BS25">
        <f>VLOOKUP($O25,'Table 3 UT Solar 2033 ST'!$B$10:$J$36,9,FALSE)</f>
        <v>27.74</v>
      </c>
      <c r="BT25">
        <f>VLOOKUP($O25,'Table 3 UT Solar 2035 ST'!$B$10:$J$36,9,FALSE)</f>
        <v>27.74</v>
      </c>
      <c r="BU25">
        <f>VLOOKUP($O25,'Table 3 UT Solar 2035 FT'!$B$10:$J$36,9,FALSE)</f>
        <v>26.37</v>
      </c>
      <c r="BV25">
        <f>VLOOKUP($O25,'Table 3 OR Solar 2030'!$B$10:$J$36,9,FALSE)</f>
        <v>125.96</v>
      </c>
      <c r="BW25">
        <f>VLOOKUP($O25,'Table 3 OR Solar 2031'!$B$10:$J$36,9,FALSE)</f>
        <v>123.21</v>
      </c>
      <c r="BX25">
        <f>VLOOKUP($O25,'Table 3 OR Solar 2032'!$B$10:$J$36,9,FALSE)</f>
        <v>120.53</v>
      </c>
      <c r="BY25">
        <f>VLOOKUP($O25,'Table 3 OR Solar 2033'!$B$10:$J$36,9,FALSE)</f>
        <v>27.77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2032</v>
      </c>
      <c r="CX25" s="89">
        <f>IFERROR(VLOOKUP($CW25,'Table 3 TransCost D2 '!$B$10:$E$34,4,FALSE),0)</f>
        <v>62.71</v>
      </c>
      <c r="CY25" s="193">
        <f t="shared" si="27"/>
        <v>0</v>
      </c>
    </row>
    <row r="26" spans="2:103" hidden="1">
      <c r="B26" s="15">
        <f t="shared" si="25"/>
        <v>2033</v>
      </c>
      <c r="C26" s="9">
        <f t="shared" si="3"/>
        <v>0</v>
      </c>
      <c r="D26" s="45"/>
      <c r="E26" s="9" t="e">
        <f t="shared" ca="1" si="26"/>
        <v>#DIV/0!</v>
      </c>
      <c r="F26" s="37"/>
      <c r="G26" s="14" t="e">
        <f t="shared" ca="1" si="28"/>
        <v>#DIV/0!</v>
      </c>
      <c r="H26" s="36"/>
      <c r="I26" s="193"/>
      <c r="J26" s="193"/>
      <c r="M26" s="116"/>
      <c r="O26">
        <f t="shared" si="4"/>
        <v>2033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145</v>
      </c>
      <c r="BG26">
        <f>VLOOKUP($O26,'Table 3 EV2020 Wind_2021'!$B$10:$K$36,10,FALSE)</f>
        <v>142.47</v>
      </c>
      <c r="BH26">
        <f>VLOOKUP($O26,'Table 3 DJ Wind 2030'!$B$10:$J$36,9,FALSE)</f>
        <v>160.5</v>
      </c>
      <c r="BI26">
        <f>VLOOKUP($O26,'Table 3 ID Wind 2030'!$B$10:$J$36,9,FALSE)</f>
        <v>161.47</v>
      </c>
      <c r="BJ26">
        <f>VLOOKUP($O26,'Table 3 ID Wind 2033'!$B$10:$J$36,9,FALSE)</f>
        <v>155.06</v>
      </c>
      <c r="BK26">
        <f>VLOOKUP($O26,'Table 3 WW Wind 2035'!$B$10:$J$36,9,FALSE)</f>
        <v>54.15</v>
      </c>
      <c r="BL26">
        <f>VLOOKUP($O26,'Table 3 YK Wind 2035'!$B$10:$J$36,9,FALSE)</f>
        <v>54.15</v>
      </c>
      <c r="BM26">
        <f>VLOOKUP($O26,'Table 3 OR Wind 2035'!$B$10:$J$36,9,FALSE)</f>
        <v>54.15</v>
      </c>
      <c r="BN26">
        <f>VLOOKUP($O26,'Table 3 UT Wind 2030'!$B$10:$J$36,9,FALSE)</f>
        <v>156.99</v>
      </c>
      <c r="BO26">
        <f>VLOOKUP($O26,'Table 3 UT Wind 2036'!$B$10:$J$36,9,FALSE)</f>
        <v>54.15</v>
      </c>
      <c r="BP26">
        <f>VLOOKUP($O26,'Table 3 YK Solar 2030'!$B$10:$J$36,9,FALSE)</f>
        <v>125.57</v>
      </c>
      <c r="BQ26">
        <f>VLOOKUP($O26,'Table 3 YK Solar 2032'!$B$10:$J$36,9,FALSE)</f>
        <v>120.11</v>
      </c>
      <c r="BR26">
        <f>VLOOKUP($O26,'Table 3 YK Solar 2033'!$B$10:$J$36,9,FALSE)</f>
        <v>117.5</v>
      </c>
      <c r="BS26">
        <f>VLOOKUP($O26,'Table 3 UT Solar 2033 ST'!$B$10:$J$36,9,FALSE)</f>
        <v>118.38</v>
      </c>
      <c r="BT26">
        <f>VLOOKUP($O26,'Table 3 UT Solar 2035 ST'!$B$10:$J$36,9,FALSE)</f>
        <v>28.38</v>
      </c>
      <c r="BU26">
        <f>VLOOKUP($O26,'Table 3 UT Solar 2035 FT'!$B$10:$J$36,9,FALSE)</f>
        <v>26.98</v>
      </c>
      <c r="BV26">
        <f>VLOOKUP($O26,'Table 3 OR Solar 2030'!$B$10:$J$36,9,FALSE)</f>
        <v>128.86000000000001</v>
      </c>
      <c r="BW26">
        <f>VLOOKUP($O26,'Table 3 OR Solar 2031'!$B$10:$J$36,9,FALSE)</f>
        <v>126.05</v>
      </c>
      <c r="BX26">
        <f>VLOOKUP($O26,'Table 3 OR Solar 2032'!$B$10:$J$36,9,FALSE)</f>
        <v>123.3</v>
      </c>
      <c r="BY26">
        <f>VLOOKUP($O26,'Table 3 OR Solar 2033'!$B$10:$J$36,9,FALSE)</f>
        <v>120.64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2033</v>
      </c>
      <c r="CX26" s="89">
        <f>IFERROR(VLOOKUP($CW26,'Table 3 TransCost D2 '!$B$10:$E$34,4,FALSE),0)</f>
        <v>64.150000000000006</v>
      </c>
      <c r="CY26" s="193">
        <f t="shared" si="27"/>
        <v>0</v>
      </c>
    </row>
    <row r="27" spans="2:103" hidden="1">
      <c r="B27" s="15">
        <f t="shared" si="25"/>
        <v>2034</v>
      </c>
      <c r="C27" s="9">
        <f t="shared" si="3"/>
        <v>0</v>
      </c>
      <c r="D27" s="45"/>
      <c r="E27" s="9" t="e">
        <f t="shared" ca="1" si="26"/>
        <v>#DIV/0!</v>
      </c>
      <c r="F27" s="37"/>
      <c r="G27" s="14" t="e">
        <f t="shared" ca="1" si="28"/>
        <v>#DIV/0!</v>
      </c>
      <c r="H27" s="36"/>
      <c r="I27" s="193"/>
      <c r="J27" s="193"/>
      <c r="M27" s="116"/>
      <c r="O27">
        <f t="shared" si="4"/>
        <v>2034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148.34</v>
      </c>
      <c r="BG27">
        <f>VLOOKUP($O27,'Table 3 EV2020 Wind_2021'!$B$10:$K$36,10,FALSE)</f>
        <v>145.75</v>
      </c>
      <c r="BH27">
        <f>VLOOKUP($O27,'Table 3 DJ Wind 2030'!$B$10:$J$36,9,FALSE)</f>
        <v>164.19</v>
      </c>
      <c r="BI27">
        <f>VLOOKUP($O27,'Table 3 ID Wind 2030'!$B$10:$J$36,9,FALSE)</f>
        <v>165.19</v>
      </c>
      <c r="BJ27">
        <f>VLOOKUP($O27,'Table 3 ID Wind 2033'!$B$10:$J$36,9,FALSE)</f>
        <v>158.63</v>
      </c>
      <c r="BK27">
        <f>VLOOKUP($O27,'Table 3 WW Wind 2035'!$B$10:$J$36,9,FALSE)</f>
        <v>55.4</v>
      </c>
      <c r="BL27">
        <f>VLOOKUP($O27,'Table 3 YK Wind 2035'!$B$10:$J$36,9,FALSE)</f>
        <v>55.4</v>
      </c>
      <c r="BM27">
        <f>VLOOKUP($O27,'Table 3 OR Wind 2035'!$B$10:$J$36,9,FALSE)</f>
        <v>55.4</v>
      </c>
      <c r="BN27">
        <f>VLOOKUP($O27,'Table 3 UT Wind 2030'!$B$10:$J$36,9,FALSE)</f>
        <v>160.61000000000001</v>
      </c>
      <c r="BO27">
        <f>VLOOKUP($O27,'Table 3 UT Wind 2036'!$B$10:$J$36,9,FALSE)</f>
        <v>55.4</v>
      </c>
      <c r="BP27">
        <f>VLOOKUP($O27,'Table 3 YK Solar 2030'!$B$10:$J$36,9,FALSE)</f>
        <v>128.46</v>
      </c>
      <c r="BQ27">
        <f>VLOOKUP($O27,'Table 3 YK Solar 2032'!$B$10:$J$36,9,FALSE)</f>
        <v>122.87</v>
      </c>
      <c r="BR27">
        <f>VLOOKUP($O27,'Table 3 YK Solar 2033'!$B$10:$J$36,9,FALSE)</f>
        <v>120.2</v>
      </c>
      <c r="BS27">
        <f>VLOOKUP($O27,'Table 3 UT Solar 2033 ST'!$B$10:$J$36,9,FALSE)</f>
        <v>121.1</v>
      </c>
      <c r="BT27">
        <f>VLOOKUP($O27,'Table 3 UT Solar 2035 ST'!$B$10:$J$36,9,FALSE)</f>
        <v>29.03</v>
      </c>
      <c r="BU27">
        <f>VLOOKUP($O27,'Table 3 UT Solar 2035 FT'!$B$10:$J$36,9,FALSE)</f>
        <v>27.6</v>
      </c>
      <c r="BV27">
        <f>VLOOKUP($O27,'Table 3 OR Solar 2030'!$B$10:$J$36,9,FALSE)</f>
        <v>131.82</v>
      </c>
      <c r="BW27">
        <f>VLOOKUP($O27,'Table 3 OR Solar 2031'!$B$10:$J$36,9,FALSE)</f>
        <v>128.94999999999999</v>
      </c>
      <c r="BX27">
        <f>VLOOKUP($O27,'Table 3 OR Solar 2032'!$B$10:$J$36,9,FALSE)</f>
        <v>126.13</v>
      </c>
      <c r="BY27">
        <f>VLOOKUP($O27,'Table 3 OR Solar 2033'!$B$10:$J$36,9,FALSE)</f>
        <v>123.41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2034</v>
      </c>
      <c r="CX27" s="89">
        <f>IFERROR(VLOOKUP($CW27,'Table 3 TransCost D2 '!$B$10:$E$34,4,FALSE),0)</f>
        <v>65.63</v>
      </c>
      <c r="CY27" s="193">
        <f t="shared" si="27"/>
        <v>0</v>
      </c>
    </row>
    <row r="28" spans="2:103" hidden="1">
      <c r="B28" s="15">
        <f t="shared" si="25"/>
        <v>2035</v>
      </c>
      <c r="C28" s="9">
        <f t="shared" si="3"/>
        <v>0</v>
      </c>
      <c r="D28" s="45"/>
      <c r="E28" s="9" t="e">
        <f t="shared" ca="1" si="26"/>
        <v>#DIV/0!</v>
      </c>
      <c r="F28" s="37"/>
      <c r="G28" s="14" t="e">
        <f t="shared" ca="1" si="28"/>
        <v>#DIV/0!</v>
      </c>
      <c r="H28" s="36"/>
      <c r="I28" s="193"/>
      <c r="J28" s="193"/>
      <c r="M28" s="116"/>
      <c r="O28">
        <f t="shared" si="4"/>
        <v>2035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151.61000000000001</v>
      </c>
      <c r="BG28">
        <f>VLOOKUP($O28,'Table 3 EV2020 Wind_2021'!$B$10:$K$36,10,FALSE)</f>
        <v>148.96</v>
      </c>
      <c r="BH28">
        <f>VLOOKUP($O28,'Table 3 DJ Wind 2030'!$B$10:$J$36,9,FALSE)</f>
        <v>167.81</v>
      </c>
      <c r="BI28">
        <f>VLOOKUP($O28,'Table 3 ID Wind 2030'!$B$10:$J$36,9,FALSE)</f>
        <v>168.83</v>
      </c>
      <c r="BJ28">
        <f>VLOOKUP($O28,'Table 3 ID Wind 2033'!$B$10:$J$36,9,FALSE)</f>
        <v>162.12</v>
      </c>
      <c r="BK28">
        <f>VLOOKUP($O28,'Table 3 WW Wind 2035'!$B$10:$J$36,9,FALSE)</f>
        <v>157.34</v>
      </c>
      <c r="BL28">
        <f>VLOOKUP($O28,'Table 3 YK Wind 2035'!$B$10:$J$36,9,FALSE)</f>
        <v>157.34</v>
      </c>
      <c r="BM28">
        <f>VLOOKUP($O28,'Table 3 OR Wind 2035'!$B$10:$J$36,9,FALSE)</f>
        <v>155.9</v>
      </c>
      <c r="BN28">
        <f>VLOOKUP($O28,'Table 3 UT Wind 2030'!$B$10:$J$36,9,FALSE)</f>
        <v>164.14</v>
      </c>
      <c r="BO28">
        <f>VLOOKUP($O28,'Table 3 UT Wind 2036'!$B$10:$J$36,9,FALSE)</f>
        <v>56.62</v>
      </c>
      <c r="BP28">
        <f>VLOOKUP($O28,'Table 3 YK Solar 2030'!$B$10:$J$36,9,FALSE)</f>
        <v>131.29</v>
      </c>
      <c r="BQ28">
        <f>VLOOKUP($O28,'Table 3 YK Solar 2032'!$B$10:$J$36,9,FALSE)</f>
        <v>125.58</v>
      </c>
      <c r="BR28">
        <f>VLOOKUP($O28,'Table 3 YK Solar 2033'!$B$10:$J$36,9,FALSE)</f>
        <v>122.85</v>
      </c>
      <c r="BS28">
        <f>VLOOKUP($O28,'Table 3 UT Solar 2033 ST'!$B$10:$J$36,9,FALSE)</f>
        <v>123.77</v>
      </c>
      <c r="BT28">
        <f>VLOOKUP($O28,'Table 3 UT Solar 2035 ST'!$B$10:$J$36,9,FALSE)</f>
        <v>118.65</v>
      </c>
      <c r="BU28">
        <f>VLOOKUP($O28,'Table 3 UT Solar 2035 FT'!$B$10:$J$36,9,FALSE)</f>
        <v>115.37</v>
      </c>
      <c r="BV28">
        <f>VLOOKUP($O28,'Table 3 OR Solar 2030'!$B$10:$J$36,9,FALSE)</f>
        <v>134.72</v>
      </c>
      <c r="BW28">
        <f>VLOOKUP($O28,'Table 3 OR Solar 2031'!$B$10:$J$36,9,FALSE)</f>
        <v>131.79</v>
      </c>
      <c r="BX28">
        <f>VLOOKUP($O28,'Table 3 OR Solar 2032'!$B$10:$J$36,9,FALSE)</f>
        <v>128.91</v>
      </c>
      <c r="BY28">
        <f>VLOOKUP($O28,'Table 3 OR Solar 2033'!$B$10:$J$36,9,FALSE)</f>
        <v>126.13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2035</v>
      </c>
      <c r="CX28" s="89">
        <f>IFERROR(VLOOKUP($CW28,'Table 3 TransCost D2 '!$B$10:$E$34,4,FALSE),0)</f>
        <v>67.069999999999993</v>
      </c>
      <c r="CY28" s="193">
        <f t="shared" si="27"/>
        <v>0</v>
      </c>
    </row>
    <row r="29" spans="2:103" hidden="1">
      <c r="B29" s="15">
        <f t="shared" si="25"/>
        <v>2036</v>
      </c>
      <c r="C29" s="9">
        <f t="shared" si="3"/>
        <v>0</v>
      </c>
      <c r="D29" s="45"/>
      <c r="E29" s="9" t="e">
        <f t="shared" ca="1" si="26"/>
        <v>#DIV/0!</v>
      </c>
      <c r="F29" s="37"/>
      <c r="G29" s="14" t="e">
        <f t="shared" ca="1" si="28"/>
        <v>#DIV/0!</v>
      </c>
      <c r="H29" s="36"/>
      <c r="I29" s="193"/>
      <c r="J29" s="193"/>
      <c r="M29" s="116"/>
      <c r="O29">
        <f t="shared" si="4"/>
        <v>2036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154.94999999999999</v>
      </c>
      <c r="BG29">
        <f>VLOOKUP($O29,'Table 3 EV2020 Wind_2021'!$B$10:$K$36,10,FALSE)</f>
        <v>152.24</v>
      </c>
      <c r="BH29">
        <f>VLOOKUP($O29,'Table 3 DJ Wind 2030'!$B$10:$J$36,9,FALSE)</f>
        <v>171.5</v>
      </c>
      <c r="BI29">
        <f>VLOOKUP($O29,'Table 3 ID Wind 2030'!$B$10:$J$36,9,FALSE)</f>
        <v>172.55</v>
      </c>
      <c r="BJ29">
        <f>VLOOKUP($O29,'Table 3 ID Wind 2033'!$B$10:$J$36,9,FALSE)</f>
        <v>165.69</v>
      </c>
      <c r="BK29">
        <f>VLOOKUP($O29,'Table 3 WW Wind 2035'!$B$10:$J$36,9,FALSE)</f>
        <v>160.81</v>
      </c>
      <c r="BL29">
        <f>VLOOKUP($O29,'Table 3 YK Wind 2035'!$B$10:$J$36,9,FALSE)</f>
        <v>160.81</v>
      </c>
      <c r="BM29">
        <f>VLOOKUP($O29,'Table 3 OR Wind 2035'!$B$10:$J$36,9,FALSE)</f>
        <v>159.33000000000001</v>
      </c>
      <c r="BN29">
        <f>VLOOKUP($O29,'Table 3 UT Wind 2030'!$B$10:$J$36,9,FALSE)</f>
        <v>167.76</v>
      </c>
      <c r="BO29">
        <f>VLOOKUP($O29,'Table 3 UT Wind 2036'!$B$10:$J$36,9,FALSE)</f>
        <v>155.19999999999999</v>
      </c>
      <c r="BP29">
        <f>VLOOKUP($O29,'Table 3 YK Solar 2030'!$B$10:$J$36,9,FALSE)</f>
        <v>134.18</v>
      </c>
      <c r="BQ29">
        <f>VLOOKUP($O29,'Table 3 YK Solar 2032'!$B$10:$J$36,9,FALSE)</f>
        <v>128.34</v>
      </c>
      <c r="BR29">
        <f>VLOOKUP($O29,'Table 3 YK Solar 2033'!$B$10:$J$36,9,FALSE)</f>
        <v>125.55</v>
      </c>
      <c r="BS29">
        <f>VLOOKUP($O29,'Table 3 UT Solar 2033 ST'!$B$10:$J$36,9,FALSE)</f>
        <v>126.49</v>
      </c>
      <c r="BT29">
        <f>VLOOKUP($O29,'Table 3 UT Solar 2035 ST'!$B$10:$J$36,9,FALSE)</f>
        <v>121.26</v>
      </c>
      <c r="BU29">
        <f>VLOOKUP($O29,'Table 3 UT Solar 2035 FT'!$B$10:$J$36,9,FALSE)</f>
        <v>117.91</v>
      </c>
      <c r="BV29">
        <f>VLOOKUP($O29,'Table 3 OR Solar 2030'!$B$10:$J$36,9,FALSE)</f>
        <v>137.68</v>
      </c>
      <c r="BW29">
        <f>VLOOKUP($O29,'Table 3 OR Solar 2031'!$B$10:$J$36,9,FALSE)</f>
        <v>134.69</v>
      </c>
      <c r="BX29">
        <f>VLOOKUP($O29,'Table 3 OR Solar 2032'!$B$10:$J$36,9,FALSE)</f>
        <v>131.74</v>
      </c>
      <c r="BY29">
        <f>VLOOKUP($O29,'Table 3 OR Solar 2033'!$B$10:$J$36,9,FALSE)</f>
        <v>128.9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2036</v>
      </c>
      <c r="CX29" s="89">
        <f>IFERROR(VLOOKUP($CW29,'Table 3 TransCost D2 '!$B$10:$E$34,4,FALSE),0)</f>
        <v>68.55</v>
      </c>
      <c r="CY29" s="193">
        <f t="shared" si="27"/>
        <v>0</v>
      </c>
    </row>
    <row r="30" spans="2:103" hidden="1">
      <c r="B30" s="15">
        <f t="shared" si="25"/>
        <v>2037</v>
      </c>
      <c r="C30" s="9">
        <f t="shared" si="3"/>
        <v>0</v>
      </c>
      <c r="D30" s="45"/>
      <c r="E30" s="9" t="e">
        <f t="shared" ca="1" si="26"/>
        <v>#DIV/0!</v>
      </c>
      <c r="F30" s="37"/>
      <c r="G30" s="14" t="e">
        <f t="shared" ca="1" si="28"/>
        <v>#DIV/0!</v>
      </c>
      <c r="H30" s="36"/>
      <c r="I30" s="193"/>
      <c r="J30" s="193"/>
      <c r="M30" s="116"/>
      <c r="O30">
        <f t="shared" si="4"/>
        <v>2037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158.35</v>
      </c>
      <c r="BG30">
        <f>VLOOKUP($O30,'Table 3 EV2020 Wind_2021'!$B$10:$K$36,10,FALSE)</f>
        <v>155.58000000000001</v>
      </c>
      <c r="BH30">
        <f>VLOOKUP($O30,'Table 3 DJ Wind 2030'!$B$10:$J$36,9,FALSE)</f>
        <v>175.26</v>
      </c>
      <c r="BI30">
        <f>VLOOKUP($O30,'Table 3 ID Wind 2030'!$B$10:$J$36,9,FALSE)</f>
        <v>176.34</v>
      </c>
      <c r="BJ30">
        <f>VLOOKUP($O30,'Table 3 ID Wind 2033'!$B$10:$J$36,9,FALSE)</f>
        <v>169.33</v>
      </c>
      <c r="BK30">
        <f>VLOOKUP($O30,'Table 3 WW Wind 2035'!$B$10:$J$36,9,FALSE)</f>
        <v>164.34</v>
      </c>
      <c r="BL30">
        <f>VLOOKUP($O30,'Table 3 YK Wind 2035'!$B$10:$J$36,9,FALSE)</f>
        <v>164.34</v>
      </c>
      <c r="BM30">
        <f>VLOOKUP($O30,'Table 3 OR Wind 2035'!$B$10:$J$36,9,FALSE)</f>
        <v>162.83000000000001</v>
      </c>
      <c r="BN30">
        <f>VLOOKUP($O30,'Table 3 UT Wind 2030'!$B$10:$J$36,9,FALSE)</f>
        <v>171.45</v>
      </c>
      <c r="BO30">
        <f>VLOOKUP($O30,'Table 3 UT Wind 2036'!$B$10:$J$36,9,FALSE)</f>
        <v>158.62</v>
      </c>
      <c r="BP30">
        <f>VLOOKUP($O30,'Table 3 YK Solar 2030'!$B$10:$J$36,9,FALSE)</f>
        <v>137.13</v>
      </c>
      <c r="BQ30">
        <f>VLOOKUP($O30,'Table 3 YK Solar 2032'!$B$10:$J$36,9,FALSE)</f>
        <v>131.16</v>
      </c>
      <c r="BR30">
        <f>VLOOKUP($O30,'Table 3 YK Solar 2033'!$B$10:$J$36,9,FALSE)</f>
        <v>128.31</v>
      </c>
      <c r="BS30">
        <f>VLOOKUP($O30,'Table 3 UT Solar 2033 ST'!$B$10:$J$36,9,FALSE)</f>
        <v>129.28</v>
      </c>
      <c r="BT30">
        <f>VLOOKUP($O30,'Table 3 UT Solar 2035 ST'!$B$10:$J$36,9,FALSE)</f>
        <v>123.93</v>
      </c>
      <c r="BU30">
        <f>VLOOKUP($O30,'Table 3 UT Solar 2035 FT'!$B$10:$J$36,9,FALSE)</f>
        <v>120.5</v>
      </c>
      <c r="BV30">
        <f>VLOOKUP($O30,'Table 3 OR Solar 2030'!$B$10:$J$36,9,FALSE)</f>
        <v>140.71</v>
      </c>
      <c r="BW30">
        <f>VLOOKUP($O30,'Table 3 OR Solar 2031'!$B$10:$J$36,9,FALSE)</f>
        <v>137.66</v>
      </c>
      <c r="BX30">
        <f>VLOOKUP($O30,'Table 3 OR Solar 2032'!$B$10:$J$36,9,FALSE)</f>
        <v>134.63999999999999</v>
      </c>
      <c r="BY30">
        <f>VLOOKUP($O30,'Table 3 OR Solar 2033'!$B$10:$J$36,9,FALSE)</f>
        <v>131.74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2037</v>
      </c>
      <c r="CX30" s="89">
        <f>IFERROR(VLOOKUP($CW30,'Table 3 TransCost D2 '!$B$10:$E$34,4,FALSE),0)</f>
        <v>70.06</v>
      </c>
      <c r="CY30" s="193">
        <f t="shared" si="27"/>
        <v>0</v>
      </c>
    </row>
    <row r="31" spans="2:103" hidden="1">
      <c r="B31" s="15">
        <f t="shared" si="25"/>
        <v>2038</v>
      </c>
      <c r="C31" s="9">
        <f t="shared" si="3"/>
        <v>0</v>
      </c>
      <c r="D31" s="45"/>
      <c r="E31" s="9" t="e">
        <f t="shared" ca="1" si="26"/>
        <v>#DIV/0!</v>
      </c>
      <c r="F31" s="37"/>
      <c r="G31" s="14" t="e">
        <f t="shared" ca="1" si="28"/>
        <v>#DIV/0!</v>
      </c>
      <c r="H31" s="36"/>
      <c r="I31" s="193"/>
      <c r="J31" s="193"/>
      <c r="M31" s="116"/>
      <c r="O31">
        <f t="shared" si="4"/>
        <v>2038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161.99</v>
      </c>
      <c r="BG31">
        <f>VLOOKUP($O31,'Table 3 EV2020 Wind_2021'!$B$10:$K$36,10,FALSE)</f>
        <v>159.16</v>
      </c>
      <c r="BH31">
        <f>VLOOKUP($O31,'Table 3 DJ Wind 2030'!$B$10:$J$36,9,FALSE)</f>
        <v>179.28</v>
      </c>
      <c r="BI31">
        <f>VLOOKUP($O31,'Table 3 ID Wind 2030'!$B$10:$J$36,9,FALSE)</f>
        <v>180.4</v>
      </c>
      <c r="BJ31">
        <f>VLOOKUP($O31,'Table 3 ID Wind 2033'!$B$10:$J$36,9,FALSE)</f>
        <v>173.22</v>
      </c>
      <c r="BK31">
        <f>VLOOKUP($O31,'Table 3 WW Wind 2035'!$B$10:$J$36,9,FALSE)</f>
        <v>168.12</v>
      </c>
      <c r="BL31">
        <f>VLOOKUP($O31,'Table 3 YK Wind 2035'!$B$10:$J$36,9,FALSE)</f>
        <v>168.12</v>
      </c>
      <c r="BM31">
        <f>VLOOKUP($O31,'Table 3 OR Wind 2035'!$B$10:$J$36,9,FALSE)</f>
        <v>166.57</v>
      </c>
      <c r="BN31">
        <f>VLOOKUP($O31,'Table 3 UT Wind 2030'!$B$10:$J$36,9,FALSE)</f>
        <v>175.39</v>
      </c>
      <c r="BO31">
        <f>VLOOKUP($O31,'Table 3 UT Wind 2036'!$B$10:$J$36,9,FALSE)</f>
        <v>162.27000000000001</v>
      </c>
      <c r="BP31">
        <f>VLOOKUP($O31,'Table 3 YK Solar 2030'!$B$10:$J$36,9,FALSE)</f>
        <v>140.29</v>
      </c>
      <c r="BQ31">
        <f>VLOOKUP($O31,'Table 3 YK Solar 2032'!$B$10:$J$36,9,FALSE)</f>
        <v>134.18</v>
      </c>
      <c r="BR31">
        <f>VLOOKUP($O31,'Table 3 YK Solar 2033'!$B$10:$J$36,9,FALSE)</f>
        <v>131.26</v>
      </c>
      <c r="BS31">
        <f>VLOOKUP($O31,'Table 3 UT Solar 2033 ST'!$B$10:$J$36,9,FALSE)</f>
        <v>132.25</v>
      </c>
      <c r="BT31">
        <f>VLOOKUP($O31,'Table 3 UT Solar 2035 ST'!$B$10:$J$36,9,FALSE)</f>
        <v>126.78</v>
      </c>
      <c r="BU31">
        <f>VLOOKUP($O31,'Table 3 UT Solar 2035 FT'!$B$10:$J$36,9,FALSE)</f>
        <v>123.27</v>
      </c>
      <c r="BV31">
        <f>VLOOKUP($O31,'Table 3 OR Solar 2030'!$B$10:$J$36,9,FALSE)</f>
        <v>143.94</v>
      </c>
      <c r="BW31">
        <f>VLOOKUP($O31,'Table 3 OR Solar 2031'!$B$10:$J$36,9,FALSE)</f>
        <v>140.82</v>
      </c>
      <c r="BX31">
        <f>VLOOKUP($O31,'Table 3 OR Solar 2032'!$B$10:$J$36,9,FALSE)</f>
        <v>137.72999999999999</v>
      </c>
      <c r="BY31">
        <f>VLOOKUP($O31,'Table 3 OR Solar 2033'!$B$10:$J$36,9,FALSE)</f>
        <v>134.77000000000001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2038</v>
      </c>
      <c r="CX31" s="89">
        <f>IFERROR(VLOOKUP($CW31,'Table 3 TransCost D2 '!$B$10:$E$34,4,FALSE),0)</f>
        <v>71.67</v>
      </c>
      <c r="CY31" s="193">
        <f t="shared" si="27"/>
        <v>0</v>
      </c>
    </row>
    <row r="32" spans="2:103" hidden="1">
      <c r="B32" s="15">
        <f t="shared" si="25"/>
        <v>2039</v>
      </c>
      <c r="C32" s="9">
        <f t="shared" si="3"/>
        <v>0</v>
      </c>
      <c r="D32" s="45"/>
      <c r="E32" s="9" t="e">
        <f t="shared" ca="1" si="26"/>
        <v>#DIV/0!</v>
      </c>
      <c r="F32" s="37"/>
      <c r="G32" s="14" t="e">
        <f t="shared" ca="1" si="28"/>
        <v>#DIV/0!</v>
      </c>
      <c r="H32" s="36"/>
      <c r="I32" s="193"/>
      <c r="J32" s="193"/>
      <c r="M32" s="116"/>
      <c r="O32">
        <f t="shared" si="4"/>
        <v>2039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165.71</v>
      </c>
      <c r="BG32">
        <f>VLOOKUP($O32,'Table 3 EV2020 Wind_2021'!$B$10:$K$36,10,FALSE)</f>
        <v>162.82</v>
      </c>
      <c r="BH32">
        <f>VLOOKUP($O32,'Table 3 DJ Wind 2030'!$B$10:$J$36,9,FALSE)</f>
        <v>183.39</v>
      </c>
      <c r="BI32">
        <f>VLOOKUP($O32,'Table 3 ID Wind 2030'!$B$10:$J$36,9,FALSE)</f>
        <v>184.55</v>
      </c>
      <c r="BJ32">
        <f>VLOOKUP($O32,'Table 3 ID Wind 2033'!$B$10:$J$36,9,FALSE)</f>
        <v>177.2</v>
      </c>
      <c r="BK32">
        <f>VLOOKUP($O32,'Table 3 WW Wind 2035'!$B$10:$J$36,9,FALSE)</f>
        <v>171.99</v>
      </c>
      <c r="BL32">
        <f>VLOOKUP($O32,'Table 3 YK Wind 2035'!$B$10:$J$36,9,FALSE)</f>
        <v>171.99</v>
      </c>
      <c r="BM32">
        <f>VLOOKUP($O32,'Table 3 OR Wind 2035'!$B$10:$J$36,9,FALSE)</f>
        <v>170.4</v>
      </c>
      <c r="BN32">
        <f>VLOOKUP($O32,'Table 3 UT Wind 2030'!$B$10:$J$36,9,FALSE)</f>
        <v>179.42</v>
      </c>
      <c r="BO32">
        <f>VLOOKUP($O32,'Table 3 UT Wind 2036'!$B$10:$J$36,9,FALSE)</f>
        <v>166</v>
      </c>
      <c r="BP32">
        <f>VLOOKUP($O32,'Table 3 YK Solar 2030'!$B$10:$J$36,9,FALSE)</f>
        <v>143.51</v>
      </c>
      <c r="BQ32">
        <f>VLOOKUP($O32,'Table 3 YK Solar 2032'!$B$10:$J$36,9,FALSE)</f>
        <v>137.26</v>
      </c>
      <c r="BR32">
        <f>VLOOKUP($O32,'Table 3 YK Solar 2033'!$B$10:$J$36,9,FALSE)</f>
        <v>134.28</v>
      </c>
      <c r="BS32">
        <f>VLOOKUP($O32,'Table 3 UT Solar 2033 ST'!$B$10:$J$36,9,FALSE)</f>
        <v>135.29</v>
      </c>
      <c r="BT32">
        <f>VLOOKUP($O32,'Table 3 UT Solar 2035 ST'!$B$10:$J$36,9,FALSE)</f>
        <v>129.69999999999999</v>
      </c>
      <c r="BU32">
        <f>VLOOKUP($O32,'Table 3 UT Solar 2035 FT'!$B$10:$J$36,9,FALSE)</f>
        <v>126.1</v>
      </c>
      <c r="BV32">
        <f>VLOOKUP($O32,'Table 3 OR Solar 2030'!$B$10:$J$36,9,FALSE)</f>
        <v>147.25</v>
      </c>
      <c r="BW32">
        <f>VLOOKUP($O32,'Table 3 OR Solar 2031'!$B$10:$J$36,9,FALSE)</f>
        <v>144.06</v>
      </c>
      <c r="BX32">
        <f>VLOOKUP($O32,'Table 3 OR Solar 2032'!$B$10:$J$36,9,FALSE)</f>
        <v>140.9</v>
      </c>
      <c r="BY32">
        <f>VLOOKUP($O32,'Table 3 OR Solar 2033'!$B$10:$J$36,9,FALSE)</f>
        <v>137.87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0</v>
      </c>
      <c r="CW32">
        <f t="shared" si="24"/>
        <v>2039</v>
      </c>
      <c r="CX32" s="89">
        <f>IFERROR(VLOOKUP($CW32,'Table 3 TransCost D2 '!$B$10:$E$34,4,FALSE),0)</f>
        <v>73.319999999999993</v>
      </c>
      <c r="CY32" s="193">
        <f t="shared" si="27"/>
        <v>0</v>
      </c>
    </row>
    <row r="33" spans="1:103" hidden="1">
      <c r="B33" s="15">
        <f t="shared" si="25"/>
        <v>2040</v>
      </c>
      <c r="C33" s="9">
        <f t="shared" si="3"/>
        <v>0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169.51</v>
      </c>
      <c r="BG33">
        <f>VLOOKUP($O33,'Table 3 EV2020 Wind_2021'!$B$10:$K$36,10,FALSE)</f>
        <v>166.55</v>
      </c>
      <c r="BH33">
        <f>VLOOKUP($O33,'Table 3 DJ Wind 2030'!$B$10:$J$36,9,FALSE)</f>
        <v>187.6</v>
      </c>
      <c r="BI33">
        <f>VLOOKUP($O33,'Table 3 ID Wind 2030'!$B$10:$J$36,9,FALSE)</f>
        <v>188.79</v>
      </c>
      <c r="BJ33">
        <f>VLOOKUP($O33,'Table 3 ID Wind 2033'!$B$10:$J$36,9,FALSE)</f>
        <v>181.27</v>
      </c>
      <c r="BK33">
        <f>VLOOKUP($O33,'Table 3 WW Wind 2035'!$B$10:$J$36,9,FALSE)</f>
        <v>175.94</v>
      </c>
      <c r="BL33">
        <f>VLOOKUP($O33,'Table 3 YK Wind 2035'!$B$10:$J$36,9,FALSE)</f>
        <v>175.94</v>
      </c>
      <c r="BM33">
        <f>VLOOKUP($O33,'Table 3 OR Wind 2035'!$B$10:$J$36,9,FALSE)</f>
        <v>174.32</v>
      </c>
      <c r="BN33">
        <f>VLOOKUP($O33,'Table 3 UT Wind 2030'!$B$10:$J$36,9,FALSE)</f>
        <v>183.54</v>
      </c>
      <c r="BO33">
        <f>VLOOKUP($O33,'Table 3 UT Wind 2036'!$B$10:$J$36,9,FALSE)</f>
        <v>169.81</v>
      </c>
      <c r="BP33">
        <f>VLOOKUP($O33,'Table 3 YK Solar 2030'!$B$10:$J$36,9,FALSE)</f>
        <v>146.81</v>
      </c>
      <c r="BQ33">
        <f>VLOOKUP($O33,'Table 3 YK Solar 2032'!$B$10:$J$36,9,FALSE)</f>
        <v>140.41999999999999</v>
      </c>
      <c r="BR33">
        <f>VLOOKUP($O33,'Table 3 YK Solar 2033'!$B$10:$J$36,9,FALSE)</f>
        <v>137.37</v>
      </c>
      <c r="BS33">
        <f>VLOOKUP($O33,'Table 3 UT Solar 2033 ST'!$B$10:$J$36,9,FALSE)</f>
        <v>138.41</v>
      </c>
      <c r="BT33">
        <f>VLOOKUP($O33,'Table 3 UT Solar 2035 ST'!$B$10:$J$36,9,FALSE)</f>
        <v>132.69</v>
      </c>
      <c r="BU33">
        <f>VLOOKUP($O33,'Table 3 UT Solar 2035 FT'!$B$10:$J$36,9,FALSE)</f>
        <v>129</v>
      </c>
      <c r="BV33">
        <f>VLOOKUP($O33,'Table 3 OR Solar 2030'!$B$10:$J$36,9,FALSE)</f>
        <v>150.63999999999999</v>
      </c>
      <c r="BW33">
        <f>VLOOKUP($O33,'Table 3 OR Solar 2031'!$B$10:$J$36,9,FALSE)</f>
        <v>147.38</v>
      </c>
      <c r="BX33">
        <f>VLOOKUP($O33,'Table 3 OR Solar 2032'!$B$10:$J$36,9,FALSE)</f>
        <v>144.13999999999999</v>
      </c>
      <c r="BY33">
        <f>VLOOKUP($O33,'Table 3 OR Solar 2033'!$B$10:$J$36,9,FALSE)</f>
        <v>141.04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0</v>
      </c>
      <c r="CW33">
        <f t="shared" si="24"/>
        <v>2040</v>
      </c>
      <c r="CX33" s="89">
        <f>IFERROR(VLOOKUP($CW33,'Table 3 TransCost D2 '!$B$10:$E$34,4,FALSE),0)</f>
        <v>75.010000000000005</v>
      </c>
      <c r="CY33" s="193">
        <f t="shared" si="27"/>
        <v>0</v>
      </c>
    </row>
    <row r="34" spans="1:103" hidden="1">
      <c r="B34" s="15">
        <f t="shared" si="25"/>
        <v>2041</v>
      </c>
      <c r="C34" s="9" t="e">
        <f t="shared" si="3"/>
        <v>#N/A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2041</v>
      </c>
      <c r="P34" t="e">
        <v>#N/A</v>
      </c>
      <c r="Q34" t="e">
        <v>#N/A</v>
      </c>
      <c r="R34" t="e">
        <v>#N/A</v>
      </c>
      <c r="S34" s="193" t="e">
        <v>#N/A</v>
      </c>
      <c r="T34" s="193" t="e">
        <v>#N/A</v>
      </c>
      <c r="U34" t="e">
        <v>#N/A</v>
      </c>
      <c r="V34" t="e">
        <v>#N/A</v>
      </c>
      <c r="W34" t="e">
        <v>#N/A</v>
      </c>
      <c r="X34" t="e">
        <v>#N/A</v>
      </c>
      <c r="Y34" t="e">
        <v>#N/A</v>
      </c>
      <c r="Z34" t="e">
        <v>#N/A</v>
      </c>
      <c r="AA34" t="e">
        <v>#N/A</v>
      </c>
      <c r="AB34" t="e">
        <v>#N/A</v>
      </c>
      <c r="AC34" t="e">
        <v>#N/A</v>
      </c>
      <c r="AD34" t="e">
        <v>#N/A</v>
      </c>
      <c r="AE34" t="e">
        <v>#N/A</v>
      </c>
      <c r="AF34" t="e">
        <v>#N/A</v>
      </c>
      <c r="AG34" t="e">
        <v>#N/A</v>
      </c>
      <c r="AH34" t="e">
        <v>#N/A</v>
      </c>
      <c r="AI34" t="e">
        <v>#N/A</v>
      </c>
      <c r="AK34" t="e">
        <f t="shared" ref="AK34" si="36">P34/P$5</f>
        <v>#N/A</v>
      </c>
      <c r="AL34" t="e">
        <f t="shared" ref="AL34" si="37">Q34/Q$5</f>
        <v>#N/A</v>
      </c>
      <c r="AM34" t="e">
        <f t="shared" ref="AM34" si="38">R34/R$5</f>
        <v>#N/A</v>
      </c>
      <c r="AN34" t="e">
        <f t="shared" ref="AN34" si="39">S34/S$5</f>
        <v>#N/A</v>
      </c>
      <c r="AO34" t="e">
        <f t="shared" ref="AO34" si="40">T34/T$5</f>
        <v>#N/A</v>
      </c>
      <c r="AP34" t="e">
        <f t="shared" ref="AP34" si="41">U34/U$5</f>
        <v>#N/A</v>
      </c>
      <c r="AQ34" t="e">
        <f t="shared" ref="AQ34" si="42">V34/V$5</f>
        <v>#N/A</v>
      </c>
      <c r="AR34" t="e">
        <f t="shared" ref="AR34" si="43">W34/W$5</f>
        <v>#N/A</v>
      </c>
      <c r="AS34" t="e">
        <f t="shared" ref="AS34" si="44">X34/X$5</f>
        <v>#N/A</v>
      </c>
      <c r="AT34" t="e">
        <f t="shared" ref="AT34" si="45">Y34/Y$5</f>
        <v>#N/A</v>
      </c>
      <c r="AU34" t="e">
        <f t="shared" ref="AU34" si="46">Z34/Z$5</f>
        <v>#N/A</v>
      </c>
      <c r="AV34" t="e">
        <f t="shared" ref="AV34" si="47">AA34/AA$5</f>
        <v>#N/A</v>
      </c>
      <c r="AW34" t="e">
        <f t="shared" ref="AW34" si="48">AB34/AB$5</f>
        <v>#N/A</v>
      </c>
      <c r="AX34" t="e">
        <f t="shared" ref="AX34" si="49">AC34/AC$5</f>
        <v>#N/A</v>
      </c>
      <c r="AY34" t="e">
        <f t="shared" ref="AY34" si="50">AD34/AD$5</f>
        <v>#N/A</v>
      </c>
      <c r="AZ34" t="e">
        <f t="shared" ref="AZ34" si="51">AE34/AE$5</f>
        <v>#N/A</v>
      </c>
      <c r="BA34" t="e">
        <f t="shared" ref="BA34" si="52">AF34/AF$5</f>
        <v>#N/A</v>
      </c>
      <c r="BB34" t="e">
        <f t="shared" ref="BB34" si="53">AG34/AG$5</f>
        <v>#N/A</v>
      </c>
      <c r="BC34" t="e">
        <f t="shared" ref="BC34" si="54">AH34/AH$5</f>
        <v>#N/A</v>
      </c>
      <c r="BD34" t="e">
        <f t="shared" ref="BD34" si="55">AI34/AI$5</f>
        <v>#N/A</v>
      </c>
      <c r="BF34">
        <f>VLOOKUP($O34,'Table 3 EV2020 Wind_2020'!$B$10:$K$36,10,FALSE)</f>
        <v>173.43</v>
      </c>
      <c r="BG34">
        <f>VLOOKUP($O34,'Table 3 EV2020 Wind_2021'!$B$10:$K$36,10,FALSE)</f>
        <v>170.4</v>
      </c>
      <c r="BH34">
        <f>VLOOKUP($O34,'Table 3 DJ Wind 2030'!$B$10:$J$36,9,FALSE)</f>
        <v>191.9</v>
      </c>
      <c r="BI34">
        <f>VLOOKUP($O34,'Table 3 ID Wind 2030'!$B$10:$J$36,9,FALSE)</f>
        <v>193.14</v>
      </c>
      <c r="BJ34">
        <f>VLOOKUP($O34,'Table 3 ID Wind 2033'!$B$10:$J$36,9,FALSE)</f>
        <v>185.44</v>
      </c>
      <c r="BK34">
        <f>VLOOKUP($O34,'Table 3 WW Wind 2035'!$B$10:$J$36,9,FALSE)</f>
        <v>179.99</v>
      </c>
      <c r="BL34">
        <f>VLOOKUP($O34,'Table 3 YK Wind 2035'!$B$10:$J$36,9,FALSE)</f>
        <v>179.99</v>
      </c>
      <c r="BM34">
        <f>VLOOKUP($O34,'Table 3 OR Wind 2035'!$B$10:$J$36,9,FALSE)</f>
        <v>178.33</v>
      </c>
      <c r="BN34">
        <f>VLOOKUP($O34,'Table 3 UT Wind 2030'!$B$10:$J$36,9,FALSE)</f>
        <v>187.77</v>
      </c>
      <c r="BO34">
        <f>VLOOKUP($O34,'Table 3 UT Wind 2036'!$B$10:$J$36,9,FALSE)</f>
        <v>173.72</v>
      </c>
      <c r="BP34">
        <f>VLOOKUP($O34,'Table 3 YK Solar 2030'!$B$10:$J$36,9,FALSE)</f>
        <v>150.19</v>
      </c>
      <c r="BQ34">
        <f>VLOOKUP($O34,'Table 3 YK Solar 2032'!$B$10:$J$36,9,FALSE)</f>
        <v>143.65</v>
      </c>
      <c r="BR34">
        <f>VLOOKUP($O34,'Table 3 YK Solar 2033'!$B$10:$J$36,9,FALSE)</f>
        <v>140.53</v>
      </c>
      <c r="BS34">
        <f>VLOOKUP($O34,'Table 3 UT Solar 2033 ST'!$B$10:$J$36,9,FALSE)</f>
        <v>141.59</v>
      </c>
      <c r="BT34">
        <f>VLOOKUP($O34,'Table 3 UT Solar 2035 ST'!$B$10:$J$36,9,FALSE)</f>
        <v>135.74</v>
      </c>
      <c r="BU34">
        <f>VLOOKUP($O34,'Table 3 UT Solar 2035 FT'!$B$10:$J$36,9,FALSE)</f>
        <v>131.97</v>
      </c>
      <c r="BV34">
        <f>VLOOKUP($O34,'Table 3 OR Solar 2030'!$B$10:$J$36,9,FALSE)</f>
        <v>154.1</v>
      </c>
      <c r="BW34">
        <f>VLOOKUP($O34,'Table 3 OR Solar 2031'!$B$10:$J$36,9,FALSE)</f>
        <v>150.77000000000001</v>
      </c>
      <c r="BX34">
        <f>VLOOKUP($O34,'Table 3 OR Solar 2032'!$B$10:$J$36,9,FALSE)</f>
        <v>147.44999999999999</v>
      </c>
      <c r="BY34">
        <f>VLOOKUP($O34,'Table 3 OR Solar 2033'!$B$10:$J$36,9,FALSE)</f>
        <v>144.28</v>
      </c>
      <c r="CA34" t="e">
        <f>SUM(AK$13:AK34)*BF34/1000</f>
        <v>#N/A</v>
      </c>
      <c r="CB34" t="e">
        <f>SUM(AL$13:AL34)*BG34/1000</f>
        <v>#N/A</v>
      </c>
      <c r="CC34" t="e">
        <f>SUM(AM$13:AM34)*BH34/1000</f>
        <v>#N/A</v>
      </c>
      <c r="CD34" t="e">
        <f>SUM(AN$13:AN34)*BI34/1000</f>
        <v>#N/A</v>
      </c>
      <c r="CF34" t="e">
        <f>SUM(AP$13:AP34)*BK34/1000</f>
        <v>#N/A</v>
      </c>
      <c r="CG34" t="e">
        <f>SUM(AQ$13:AQ34)*BL34/1000</f>
        <v>#N/A</v>
      </c>
      <c r="CH34" t="e">
        <f>SUM(AR$13:AR34)*BM34/1000</f>
        <v>#N/A</v>
      </c>
      <c r="CI34" t="e">
        <f>SUM(AS$13:AS34)*BN34/1000</f>
        <v>#N/A</v>
      </c>
      <c r="CJ34" t="e">
        <f>SUM(AT$13:AT34)*BO34/1000</f>
        <v>#N/A</v>
      </c>
      <c r="CK34" t="e">
        <f>SUM(AU$13:AU34)*BP34/1000</f>
        <v>#N/A</v>
      </c>
      <c r="CL34" t="e">
        <f>SUM(AV$13:AV34)*BQ34/1000</f>
        <v>#N/A</v>
      </c>
      <c r="CM34" t="e">
        <f>SUM(AW$13:AW34)*BR34/1000</f>
        <v>#N/A</v>
      </c>
      <c r="CN34" t="e">
        <f>SUM(AX$13:AX34)*BS34/1000</f>
        <v>#N/A</v>
      </c>
      <c r="CO34" t="e">
        <f>SUM(AY$13:AY34)*BT34/1000</f>
        <v>#N/A</v>
      </c>
      <c r="CP34" t="e">
        <f>SUM(AZ$13:AZ34)*BU34/1000</f>
        <v>#N/A</v>
      </c>
      <c r="CQ34" t="e">
        <f>SUM(BA$13:BA34)*BV34/1000</f>
        <v>#N/A</v>
      </c>
      <c r="CR34" t="e">
        <f>SUM(BB$13:BB34)*BW34/1000</f>
        <v>#N/A</v>
      </c>
      <c r="CS34" t="e">
        <f>SUM(BC$13:BC34)*BX34/1000</f>
        <v>#N/A</v>
      </c>
      <c r="CT34" t="e">
        <f>SUM(BD$13:BD34)*BY34/1000</f>
        <v>#N/A</v>
      </c>
      <c r="CU34" s="187" t="e">
        <f t="shared" ref="CU34" si="56">SUM(CA34:CT34)</f>
        <v>#N/A</v>
      </c>
      <c r="CW34">
        <f t="shared" ref="CW34" si="57">O34</f>
        <v>2041</v>
      </c>
      <c r="CX34" s="89">
        <f>IFERROR(VLOOKUP($CW34,'Table 3 TransCost D2 '!$B$10:$E$34,4,FALSE),0)</f>
        <v>76.739999999999995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142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01" t="str">
        <f>'Table 5'!$A$9</f>
        <v>1 Year Starting 2020</v>
      </c>
      <c r="B37" s="301"/>
      <c r="D37" s="9"/>
      <c r="F37" s="37"/>
      <c r="H37" s="36"/>
      <c r="I37"/>
      <c r="N37" t="s">
        <v>154</v>
      </c>
      <c r="S37" s="241">
        <v>0</v>
      </c>
      <c r="T37" s="241">
        <v>0</v>
      </c>
      <c r="X37" s="241">
        <v>0</v>
      </c>
      <c r="Y37" s="241">
        <v>0</v>
      </c>
      <c r="Z37" s="241">
        <v>0</v>
      </c>
      <c r="AA37" s="241">
        <v>0</v>
      </c>
      <c r="AB37" s="241">
        <v>0</v>
      </c>
      <c r="AC37" s="241">
        <v>0</v>
      </c>
      <c r="AD37" s="241">
        <v>0</v>
      </c>
      <c r="AE37" s="241">
        <v>0</v>
      </c>
      <c r="AF37" s="241">
        <v>0</v>
      </c>
      <c r="AG37" s="241">
        <v>0</v>
      </c>
      <c r="AH37" s="241">
        <v>0</v>
      </c>
      <c r="AI37" s="241">
        <v>0</v>
      </c>
    </row>
    <row r="38" spans="1:103">
      <c r="A38" s="214"/>
      <c r="B38" s="55" t="str">
        <f>"1 year Levelized Prices (Nominal) @ "&amp;TEXT(I39,"0.00%")&amp;" Discount Rate (1) (3) "</f>
        <v xml:space="preserve">1 year Levelized Prices (Nominal) @ 6.91% Discount Rate (1) (3) </v>
      </c>
      <c r="E38" s="5"/>
      <c r="I38" s="49" t="s">
        <v>159</v>
      </c>
      <c r="P38" s="183"/>
      <c r="Q38" s="183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</row>
    <row r="39" spans="1:103">
      <c r="B39" s="47" t="s">
        <v>8</v>
      </c>
      <c r="C39" s="9">
        <f ca="1">'Table 5'!$D$9*(Study_CF*8.76)/'Table 5'!$F$9</f>
        <v>0</v>
      </c>
      <c r="D39" s="9"/>
      <c r="H39" s="36"/>
      <c r="I39" s="109">
        <v>6.9099999999999995E-2</v>
      </c>
    </row>
    <row r="40" spans="1:103">
      <c r="B40" s="48" t="s">
        <v>33</v>
      </c>
      <c r="E40" s="9">
        <f ca="1">'Table 5'!$C$9/'Table 5'!$F$9</f>
        <v>20.277065310960221</v>
      </c>
      <c r="G40" s="216">
        <f ca="1">'Table 5'!$G$9</f>
        <v>20.277065310960221</v>
      </c>
      <c r="H40" s="36"/>
    </row>
    <row r="41" spans="1:103">
      <c r="B41" s="48"/>
      <c r="E41" s="9"/>
      <c r="G41" s="216"/>
      <c r="H41" s="36"/>
    </row>
    <row r="42" spans="1:103" hidden="1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6"/>
    </row>
    <row r="43" spans="1:103" hidden="1">
      <c r="B43" s="47" t="s">
        <v>8</v>
      </c>
      <c r="C43" s="9" t="e">
        <f ca="1">'Table 5'!$D$7*(Study_CF*8.76)/'Table 5'!$F$7</f>
        <v>#DIV/0!</v>
      </c>
      <c r="D43" s="9"/>
      <c r="H43" s="36"/>
      <c r="I43"/>
    </row>
    <row r="44" spans="1:103" hidden="1">
      <c r="B44" s="48" t="s">
        <v>33</v>
      </c>
      <c r="E44" s="9" t="e">
        <f>'Table 5'!$C$7/'Table 5'!$F$7</f>
        <v>#DIV/0!</v>
      </c>
      <c r="G44" s="216">
        <f>'Table 5'!$G$7</f>
        <v>0</v>
      </c>
      <c r="H44" s="36"/>
      <c r="I44"/>
      <c r="R44" s="193"/>
    </row>
    <row r="45" spans="1:103" hidden="1">
      <c r="B45" s="55"/>
      <c r="E45" s="5"/>
      <c r="H45" s="36"/>
    </row>
    <row r="46" spans="1:103" hidden="1">
      <c r="B46" s="47"/>
      <c r="C46" s="9"/>
      <c r="D46" s="9"/>
      <c r="H46" s="36"/>
    </row>
    <row r="47" spans="1:103" hidden="1">
      <c r="B47" s="48"/>
      <c r="E47" s="9"/>
      <c r="G47" s="108"/>
      <c r="H47" s="36"/>
    </row>
    <row r="48" spans="1:103" hidden="1">
      <c r="B48" s="47"/>
      <c r="C48" s="9"/>
      <c r="D48" s="9"/>
      <c r="H48" s="36"/>
    </row>
    <row r="49" spans="1:9" hidden="1">
      <c r="B49" s="55"/>
      <c r="E49" s="5"/>
      <c r="H49" s="36"/>
    </row>
    <row r="50" spans="1:9" hidden="1">
      <c r="B50" s="47"/>
      <c r="C50" s="9"/>
      <c r="D50" s="9"/>
      <c r="H50" s="36"/>
    </row>
    <row r="51" spans="1:9" hidden="1">
      <c r="A51" s="302">
        <f>'Table 5'!A10</f>
        <v>0</v>
      </c>
      <c r="B51" s="302"/>
      <c r="E51" s="9"/>
      <c r="G51" s="108"/>
      <c r="H51" s="36"/>
    </row>
    <row r="52" spans="1:9" hidden="1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9" hidden="1">
      <c r="B53" s="47" t="s">
        <v>8</v>
      </c>
      <c r="C53" s="9" t="e">
        <f ca="1">'Table 5'!$D$10*(Study_CF*8.76)/'Table 5'!$F$10</f>
        <v>#DIV/0!</v>
      </c>
      <c r="D53" s="9"/>
      <c r="H53" s="36"/>
    </row>
    <row r="54" spans="1:9" hidden="1">
      <c r="B54" s="48" t="s">
        <v>33</v>
      </c>
      <c r="E54" s="9" t="e">
        <f>'Table 5'!$C$10/'Table 5'!$F$10</f>
        <v>#DIV/0!</v>
      </c>
      <c r="G54" s="216">
        <f>'Table 5'!$G$10</f>
        <v>0</v>
      </c>
      <c r="H54" s="36"/>
    </row>
    <row r="55" spans="1:9">
      <c r="B55" s="3" t="s">
        <v>16</v>
      </c>
      <c r="E55" s="38"/>
      <c r="G55" s="38"/>
      <c r="H55" s="36"/>
      <c r="I55" s="108"/>
    </row>
    <row r="56" spans="1:9">
      <c r="B56" s="50" t="str">
        <f>"(1)   "&amp;I38</f>
        <v>(1)   Discount Rate - 2017 IRP Update</v>
      </c>
      <c r="E56" s="36"/>
      <c r="F56" s="38"/>
      <c r="G56" s="36"/>
      <c r="H56" s="36"/>
      <c r="I56" s="108"/>
    </row>
    <row r="57" spans="1:9">
      <c r="B57" s="3" t="s">
        <v>22</v>
      </c>
      <c r="F57" s="38"/>
      <c r="H57" s="36"/>
      <c r="I57" s="108"/>
    </row>
    <row r="58" spans="1:9">
      <c r="G58" s="5"/>
    </row>
    <row r="59" spans="1:9">
      <c r="B59" s="3" t="str">
        <f>IF(Study_Cap_Adj&gt;0,"(4)  The capacity payment is derived from:","")</f>
        <v/>
      </c>
    </row>
    <row r="60" spans="1:9" hidden="1">
      <c r="B60" s="94" t="str">
        <f>IF(AND(Study_Cap_Adj&gt;0,_30_Geo_West&lt;&gt;0),"       2028 - "&amp;#REF!&amp;"   ("&amp;TEXT(_30_Geo_West," 0.0%")&amp;")","")</f>
        <v/>
      </c>
    </row>
    <row r="61" spans="1:9" ht="12.75" customHeight="1">
      <c r="B61" s="94"/>
    </row>
    <row r="62" spans="1:9" ht="12.75" customHeight="1">
      <c r="A62" s="3" t="b">
        <f>SUM(P13:AI28)&gt;0</f>
        <v>0</v>
      </c>
      <c r="B62" s="94"/>
    </row>
    <row r="63" spans="1:9">
      <c r="A63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63" s="10"/>
      <c r="C63" s="7"/>
      <c r="D63" s="7"/>
      <c r="E63" s="7"/>
      <c r="G63" s="7"/>
    </row>
    <row r="64" spans="1:9">
      <c r="A64" t="e">
        <f>INDEX($O$13:$AI$33,IF(SUM($P$13:$AI$33)&gt;0,SUM($P$13:$AI$33),FALSE)-1,1)</f>
        <v>#VALUE!</v>
      </c>
      <c r="I64"/>
    </row>
    <row r="65" spans="1:13" s="53" customFormat="1">
      <c r="A65" s="54"/>
      <c r="B65" s="10"/>
      <c r="C65" s="54"/>
      <c r="D65" s="54"/>
      <c r="E65" s="54"/>
      <c r="F65" s="54"/>
      <c r="G65" s="54"/>
      <c r="I65"/>
      <c r="J65"/>
      <c r="K65"/>
      <c r="L65"/>
      <c r="M65"/>
    </row>
    <row r="66" spans="1:13" s="53" customFormat="1">
      <c r="A66" s="54"/>
      <c r="B66" s="10"/>
      <c r="C66" s="54"/>
      <c r="D66" s="54"/>
      <c r="E66" s="54"/>
      <c r="F66" s="54"/>
      <c r="G66" s="54"/>
      <c r="I66" s="10"/>
      <c r="J66"/>
      <c r="K66"/>
    </row>
    <row r="67" spans="1:13">
      <c r="A67"/>
      <c r="B67" s="51"/>
      <c r="I67" s="53"/>
      <c r="L67" s="53"/>
      <c r="M67" s="53"/>
    </row>
    <row r="68" spans="1:13">
      <c r="A68"/>
      <c r="F68" s="7"/>
    </row>
    <row r="71" spans="1:13">
      <c r="A71"/>
      <c r="J71" s="53"/>
      <c r="K71" s="53"/>
    </row>
    <row r="72" spans="1:13">
      <c r="A72"/>
      <c r="J72" s="53"/>
      <c r="K72" s="53"/>
    </row>
  </sheetData>
  <mergeCells count="2">
    <mergeCell ref="A37:B37"/>
    <mergeCell ref="A51:B51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88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14.435115628222126</v>
      </c>
      <c r="G13" s="132">
        <f t="shared" si="5"/>
        <v>0</v>
      </c>
      <c r="H13" s="132">
        <f t="shared" si="5"/>
        <v>0</v>
      </c>
      <c r="I13" s="134">
        <f t="shared" si="2"/>
        <v>14.435115628222126</v>
      </c>
      <c r="J13" s="134">
        <f t="shared" si="3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14.751804389453529</v>
      </c>
      <c r="G14" s="132">
        <f t="shared" si="5"/>
        <v>0</v>
      </c>
      <c r="H14" s="132">
        <f t="shared" si="5"/>
        <v>0</v>
      </c>
      <c r="I14" s="134">
        <f t="shared" si="2"/>
        <v>14.751804389453529</v>
      </c>
      <c r="J14" s="134">
        <f t="shared" si="3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15.105317425246724</v>
      </c>
      <c r="G15" s="132">
        <f t="shared" si="5"/>
        <v>0</v>
      </c>
      <c r="H15" s="132">
        <f t="shared" si="5"/>
        <v>0</v>
      </c>
      <c r="I15" s="134">
        <f t="shared" si="2"/>
        <v>15.105317425246724</v>
      </c>
      <c r="J15" s="134">
        <f t="shared" si="3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15.466195315952277</v>
      </c>
      <c r="G16" s="132">
        <f t="shared" si="5"/>
        <v>0</v>
      </c>
      <c r="H16" s="132">
        <f t="shared" si="5"/>
        <v>0</v>
      </c>
      <c r="I16" s="134">
        <f t="shared" si="2"/>
        <v>15.466195315952277</v>
      </c>
      <c r="J16" s="134">
        <f t="shared" si="3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15.838120489026366</v>
      </c>
      <c r="G17" s="132">
        <f t="shared" si="5"/>
        <v>0</v>
      </c>
      <c r="H17" s="132">
        <f t="shared" si="5"/>
        <v>0</v>
      </c>
      <c r="I17" s="134">
        <f t="shared" si="2"/>
        <v>15.838120489026366</v>
      </c>
      <c r="J17" s="134">
        <f t="shared" si="3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16.217410517012816</v>
      </c>
      <c r="G18" s="132">
        <f t="shared" si="5"/>
        <v>0</v>
      </c>
      <c r="H18" s="132">
        <f t="shared" si="5"/>
        <v>0</v>
      </c>
      <c r="I18" s="134">
        <f t="shared" si="2"/>
        <v>16.217410517012816</v>
      </c>
      <c r="J18" s="134">
        <f t="shared" si="3"/>
        <v>44.04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16.589335690086905</v>
      </c>
      <c r="G19" s="132">
        <f t="shared" si="5"/>
        <v>0</v>
      </c>
      <c r="H19" s="132">
        <f t="shared" si="5"/>
        <v>0</v>
      </c>
      <c r="I19" s="134">
        <f t="shared" si="2"/>
        <v>16.589335690086905</v>
      </c>
      <c r="J19" s="134">
        <f t="shared" si="3"/>
        <v>45.05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16.972308145529535</v>
      </c>
      <c r="G20" s="132">
        <f t="shared" si="5"/>
        <v>0</v>
      </c>
      <c r="H20" s="132">
        <f t="shared" si="5"/>
        <v>0</v>
      </c>
      <c r="I20" s="134">
        <f t="shared" si="2"/>
        <v>16.972308145529535</v>
      </c>
      <c r="J20" s="134">
        <f t="shared" si="3"/>
        <v>46.09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17.362645455884518</v>
      </c>
      <c r="G21" s="132">
        <f t="shared" si="5"/>
        <v>0</v>
      </c>
      <c r="H21" s="132">
        <f t="shared" si="5"/>
        <v>0</v>
      </c>
      <c r="I21" s="134">
        <f t="shared" si="2"/>
        <v>17.362645455884518</v>
      </c>
      <c r="J21" s="134">
        <f t="shared" si="3"/>
        <v>47.15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17.778759758432759</v>
      </c>
      <c r="G22" s="132">
        <f t="shared" si="5"/>
        <v>0</v>
      </c>
      <c r="H22" s="132">
        <f t="shared" si="5"/>
        <v>0</v>
      </c>
      <c r="I22" s="134">
        <f t="shared" si="2"/>
        <v>17.778759758432759</v>
      </c>
      <c r="J22" s="134">
        <f t="shared" si="3"/>
        <v>48.28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18.205921343349537</v>
      </c>
      <c r="G23" s="132">
        <f t="shared" si="5"/>
        <v>0</v>
      </c>
      <c r="H23" s="132">
        <f t="shared" si="5"/>
        <v>0</v>
      </c>
      <c r="I23" s="134">
        <f t="shared" si="2"/>
        <v>18.205921343349537</v>
      </c>
      <c r="J23" s="134">
        <f t="shared" si="3"/>
        <v>49.44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18.625718073353955</v>
      </c>
      <c r="G24" s="132">
        <f t="shared" si="5"/>
        <v>0</v>
      </c>
      <c r="H24" s="132">
        <f t="shared" si="5"/>
        <v>0</v>
      </c>
      <c r="I24" s="134">
        <f t="shared" si="2"/>
        <v>18.625718073353955</v>
      </c>
      <c r="J24" s="134">
        <f t="shared" si="3"/>
        <v>50.58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19.052879658270733</v>
      </c>
      <c r="G25" s="132">
        <f t="shared" si="5"/>
        <v>0</v>
      </c>
      <c r="H25" s="132">
        <f t="shared" si="5"/>
        <v>0</v>
      </c>
      <c r="I25" s="134">
        <f t="shared" si="2"/>
        <v>19.052879658270733</v>
      </c>
      <c r="J25" s="134">
        <f t="shared" si="3"/>
        <v>51.74</v>
      </c>
      <c r="K25" s="132">
        <f t="shared" si="6"/>
        <v>0.83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19.491088525556048</v>
      </c>
      <c r="G26" s="132">
        <f t="shared" si="5"/>
        <v>0</v>
      </c>
      <c r="H26" s="132">
        <f t="shared" si="5"/>
        <v>0</v>
      </c>
      <c r="I26" s="134">
        <f t="shared" si="2"/>
        <v>19.491088525556048</v>
      </c>
      <c r="J26" s="134">
        <f t="shared" si="3"/>
        <v>52.93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54.15</v>
      </c>
      <c r="F27" s="134">
        <f t="shared" si="1"/>
        <v>19.9403446752099</v>
      </c>
      <c r="G27" s="132">
        <f t="shared" si="5"/>
        <v>0</v>
      </c>
      <c r="H27" s="132">
        <f t="shared" si="5"/>
        <v>0</v>
      </c>
      <c r="I27" s="134">
        <f t="shared" si="2"/>
        <v>19.9403446752099</v>
      </c>
      <c r="J27" s="134">
        <f t="shared" si="3"/>
        <v>54.15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20.400648107232289</v>
      </c>
      <c r="G28" s="132">
        <f t="shared" si="5"/>
        <v>0</v>
      </c>
      <c r="H28" s="132">
        <f t="shared" si="5"/>
        <v>0</v>
      </c>
      <c r="I28" s="134">
        <f t="shared" si="2"/>
        <v>20.400648107232289</v>
      </c>
      <c r="J28" s="134">
        <f t="shared" si="3"/>
        <v>55.4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56.62</v>
      </c>
      <c r="F29" s="134">
        <f t="shared" si="1"/>
        <v>20.849904256886141</v>
      </c>
      <c r="G29" s="132">
        <f t="shared" si="5"/>
        <v>0</v>
      </c>
      <c r="H29" s="132">
        <f t="shared" si="5"/>
        <v>0</v>
      </c>
      <c r="I29" s="134">
        <f t="shared" si="2"/>
        <v>20.849904256886141</v>
      </c>
      <c r="J29" s="134">
        <f t="shared" si="3"/>
        <v>56.62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57.87</v>
      </c>
      <c r="F30" s="134">
        <f t="shared" si="1"/>
        <v>57.153054200605673</v>
      </c>
      <c r="G30" s="132">
        <f t="shared" si="5"/>
        <v>0</v>
      </c>
      <c r="H30" s="132">
        <f t="shared" si="5"/>
        <v>0</v>
      </c>
      <c r="I30" s="134">
        <f t="shared" si="2"/>
        <v>57.153054200605673</v>
      </c>
      <c r="J30" s="134">
        <f t="shared" si="3"/>
        <v>155.19999999999999</v>
      </c>
      <c r="K30" s="132">
        <f t="shared" si="6"/>
        <v>0.93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99.48</v>
      </c>
      <c r="E31" s="132">
        <f t="shared" si="5"/>
        <v>59.14</v>
      </c>
      <c r="F31" s="134">
        <f t="shared" si="1"/>
        <v>58.410664309913102</v>
      </c>
      <c r="G31" s="132">
        <f t="shared" si="5"/>
        <v>0</v>
      </c>
      <c r="H31" s="132">
        <f t="shared" si="5"/>
        <v>0</v>
      </c>
      <c r="I31" s="134">
        <f t="shared" si="2"/>
        <v>58.410664309913102</v>
      </c>
      <c r="J31" s="134">
        <f t="shared" si="3"/>
        <v>158.62</v>
      </c>
      <c r="K31" s="132">
        <f t="shared" si="6"/>
        <v>0.95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101.77</v>
      </c>
      <c r="E32" s="132">
        <f t="shared" si="5"/>
        <v>60.5</v>
      </c>
      <c r="F32" s="134">
        <f t="shared" si="1"/>
        <v>59.754750331418471</v>
      </c>
      <c r="G32" s="132">
        <f t="shared" si="5"/>
        <v>0</v>
      </c>
      <c r="H32" s="132">
        <f t="shared" si="5"/>
        <v>0</v>
      </c>
      <c r="I32" s="134">
        <f t="shared" si="2"/>
        <v>59.754750331418471</v>
      </c>
      <c r="J32" s="134">
        <f t="shared" si="3"/>
        <v>162.27000000000001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104.11</v>
      </c>
      <c r="E33" s="132">
        <f t="shared" si="5"/>
        <v>61.89</v>
      </c>
      <c r="F33" s="134">
        <f t="shared" si="1"/>
        <v>61.128295772573289</v>
      </c>
      <c r="G33" s="132">
        <f t="shared" si="5"/>
        <v>0</v>
      </c>
      <c r="H33" s="132">
        <f t="shared" si="5"/>
        <v>0</v>
      </c>
      <c r="I33" s="134">
        <f t="shared" si="2"/>
        <v>61.128295772573289</v>
      </c>
      <c r="J33" s="134">
        <f t="shared" si="3"/>
        <v>166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106.5</v>
      </c>
      <c r="E34" s="132">
        <f t="shared" si="5"/>
        <v>63.31</v>
      </c>
      <c r="F34" s="134">
        <f t="shared" si="1"/>
        <v>62.531300633377526</v>
      </c>
      <c r="G34" s="132">
        <f t="shared" si="5"/>
        <v>0</v>
      </c>
      <c r="H34" s="132">
        <f t="shared" si="5"/>
        <v>0</v>
      </c>
      <c r="I34" s="134">
        <f t="shared" si="2"/>
        <v>62.531300633377526</v>
      </c>
      <c r="J34" s="134">
        <f t="shared" si="3"/>
        <v>169.81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108.95</v>
      </c>
      <c r="E35" s="132">
        <f t="shared" si="5"/>
        <v>64.77</v>
      </c>
      <c r="F35" s="134">
        <f t="shared" si="1"/>
        <v>63.971129768743559</v>
      </c>
      <c r="G35" s="132">
        <f t="shared" si="5"/>
        <v>0</v>
      </c>
      <c r="H35" s="132">
        <f t="shared" si="5"/>
        <v>0</v>
      </c>
      <c r="I35" s="134">
        <f t="shared" si="2"/>
        <v>63.971129768743559</v>
      </c>
      <c r="J35" s="134">
        <f t="shared" si="3"/>
        <v>173.72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111.46</v>
      </c>
      <c r="E36" s="132">
        <f t="shared" si="5"/>
        <v>66.260000000000005</v>
      </c>
      <c r="F36" s="134">
        <f t="shared" si="1"/>
        <v>65.444100751215203</v>
      </c>
      <c r="G36" s="132">
        <f t="shared" si="5"/>
        <v>0</v>
      </c>
      <c r="H36" s="132">
        <f t="shared" si="5"/>
        <v>0</v>
      </c>
      <c r="I36" s="134">
        <f t="shared" si="2"/>
        <v>65.444100751215203</v>
      </c>
      <c r="J36" s="134">
        <f t="shared" si="3"/>
        <v>177.72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1369.7572941249264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127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54.15</v>
      </c>
      <c r="F27" s="134">
        <f t="shared" si="1"/>
        <v>16.267123287671232</v>
      </c>
      <c r="G27" s="132">
        <f t="shared" si="5"/>
        <v>0</v>
      </c>
      <c r="H27" s="132">
        <f t="shared" si="5"/>
        <v>0</v>
      </c>
      <c r="I27" s="134">
        <f t="shared" si="3"/>
        <v>16.267123287671232</v>
      </c>
      <c r="J27" s="134">
        <f t="shared" si="2"/>
        <v>54.15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16.642633982215813</v>
      </c>
      <c r="G28" s="132">
        <f t="shared" si="5"/>
        <v>0</v>
      </c>
      <c r="H28" s="132">
        <f t="shared" si="5"/>
        <v>0</v>
      </c>
      <c r="I28" s="134">
        <f t="shared" si="3"/>
        <v>16.642633982215813</v>
      </c>
      <c r="J28" s="134">
        <f t="shared" si="2"/>
        <v>55.4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56.62</v>
      </c>
      <c r="F29" s="134">
        <f t="shared" si="1"/>
        <v>47.26667562075977</v>
      </c>
      <c r="G29" s="132">
        <f t="shared" si="5"/>
        <v>0</v>
      </c>
      <c r="H29" s="132">
        <f t="shared" si="5"/>
        <v>0</v>
      </c>
      <c r="I29" s="134">
        <f t="shared" si="3"/>
        <v>47.26667562075977</v>
      </c>
      <c r="J29" s="134">
        <f t="shared" si="2"/>
        <v>157.34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57.87</v>
      </c>
      <c r="F30" s="134">
        <f t="shared" si="1"/>
        <v>48.308699831771214</v>
      </c>
      <c r="G30" s="132">
        <f t="shared" si="5"/>
        <v>0</v>
      </c>
      <c r="H30" s="132">
        <f t="shared" si="5"/>
        <v>0</v>
      </c>
      <c r="I30" s="134">
        <f t="shared" si="3"/>
        <v>48.308699831771214</v>
      </c>
      <c r="J30" s="134">
        <f t="shared" si="2"/>
        <v>160.81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59.14</v>
      </c>
      <c r="F31" s="134">
        <f t="shared" si="1"/>
        <v>49.369142033165112</v>
      </c>
      <c r="G31" s="132">
        <f t="shared" si="5"/>
        <v>0</v>
      </c>
      <c r="H31" s="132">
        <f t="shared" si="5"/>
        <v>0</v>
      </c>
      <c r="I31" s="134">
        <f t="shared" si="3"/>
        <v>49.369142033165112</v>
      </c>
      <c r="J31" s="134">
        <f t="shared" si="2"/>
        <v>164.34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107.62</v>
      </c>
      <c r="E32" s="132">
        <f t="shared" si="5"/>
        <v>60.5</v>
      </c>
      <c r="F32" s="134">
        <f t="shared" si="1"/>
        <v>50.504686373467919</v>
      </c>
      <c r="G32" s="132">
        <f t="shared" si="5"/>
        <v>0</v>
      </c>
      <c r="H32" s="132">
        <f t="shared" si="5"/>
        <v>0</v>
      </c>
      <c r="I32" s="134">
        <f t="shared" si="3"/>
        <v>50.504686373467919</v>
      </c>
      <c r="J32" s="134">
        <f t="shared" si="2"/>
        <v>168.12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110.1</v>
      </c>
      <c r="E33" s="132">
        <f t="shared" si="5"/>
        <v>61.89</v>
      </c>
      <c r="F33" s="134">
        <f t="shared" si="1"/>
        <v>51.667267483777941</v>
      </c>
      <c r="G33" s="132">
        <f t="shared" si="5"/>
        <v>0</v>
      </c>
      <c r="H33" s="132">
        <f t="shared" si="5"/>
        <v>0</v>
      </c>
      <c r="I33" s="134">
        <f t="shared" si="3"/>
        <v>51.667267483777941</v>
      </c>
      <c r="J33" s="134">
        <f t="shared" si="2"/>
        <v>171.99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112.63</v>
      </c>
      <c r="E34" s="132">
        <f t="shared" si="5"/>
        <v>63.31</v>
      </c>
      <c r="F34" s="134">
        <f t="shared" si="1"/>
        <v>52.853881278538815</v>
      </c>
      <c r="G34" s="132">
        <f t="shared" si="5"/>
        <v>0</v>
      </c>
      <c r="H34" s="132">
        <f t="shared" si="5"/>
        <v>0</v>
      </c>
      <c r="I34" s="134">
        <f t="shared" si="3"/>
        <v>52.853881278538815</v>
      </c>
      <c r="J34" s="134">
        <f t="shared" si="2"/>
        <v>175.94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115.22</v>
      </c>
      <c r="E35" s="132">
        <f t="shared" si="5"/>
        <v>64.77</v>
      </c>
      <c r="F35" s="134">
        <f t="shared" si="1"/>
        <v>54.070535928863258</v>
      </c>
      <c r="G35" s="132">
        <f t="shared" si="5"/>
        <v>0</v>
      </c>
      <c r="H35" s="132">
        <f t="shared" si="5"/>
        <v>0</v>
      </c>
      <c r="I35" s="134">
        <f t="shared" si="3"/>
        <v>54.070535928863258</v>
      </c>
      <c r="J35" s="134">
        <f t="shared" si="2"/>
        <v>179.99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117.87</v>
      </c>
      <c r="E36" s="132">
        <f t="shared" si="5"/>
        <v>66.260000000000005</v>
      </c>
      <c r="F36" s="134">
        <f t="shared" si="1"/>
        <v>55.314227349194908</v>
      </c>
      <c r="G36" s="132">
        <f t="shared" si="5"/>
        <v>0</v>
      </c>
      <c r="H36" s="132">
        <f t="shared" si="5"/>
        <v>0</v>
      </c>
      <c r="I36" s="134">
        <f t="shared" si="3"/>
        <v>55.314227349194908</v>
      </c>
      <c r="J36" s="134">
        <f t="shared" si="2"/>
        <v>184.13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1417.4139219193135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54.15</v>
      </c>
      <c r="F27" s="134">
        <f t="shared" si="1"/>
        <v>16.267123287671232</v>
      </c>
      <c r="G27" s="132">
        <f t="shared" si="5"/>
        <v>0</v>
      </c>
      <c r="H27" s="132">
        <f t="shared" si="5"/>
        <v>0</v>
      </c>
      <c r="I27" s="134">
        <f t="shared" si="3"/>
        <v>16.267123287671232</v>
      </c>
      <c r="J27" s="134">
        <f t="shared" si="2"/>
        <v>54.15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16.642633982215813</v>
      </c>
      <c r="G28" s="132">
        <f t="shared" si="5"/>
        <v>0</v>
      </c>
      <c r="H28" s="132">
        <f t="shared" si="5"/>
        <v>0</v>
      </c>
      <c r="I28" s="134">
        <f t="shared" si="3"/>
        <v>16.642633982215813</v>
      </c>
      <c r="J28" s="134">
        <f t="shared" si="2"/>
        <v>55.4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56.62</v>
      </c>
      <c r="F29" s="134">
        <f t="shared" si="1"/>
        <v>47.26667562075977</v>
      </c>
      <c r="G29" s="132">
        <f t="shared" si="5"/>
        <v>0</v>
      </c>
      <c r="H29" s="132">
        <f t="shared" si="5"/>
        <v>0</v>
      </c>
      <c r="I29" s="134">
        <f t="shared" si="3"/>
        <v>47.26667562075977</v>
      </c>
      <c r="J29" s="134">
        <f t="shared" si="2"/>
        <v>157.34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57.87</v>
      </c>
      <c r="F30" s="134">
        <f t="shared" si="1"/>
        <v>48.308699831771214</v>
      </c>
      <c r="G30" s="132">
        <f t="shared" si="5"/>
        <v>0</v>
      </c>
      <c r="H30" s="132">
        <f t="shared" si="5"/>
        <v>0</v>
      </c>
      <c r="I30" s="134">
        <f t="shared" si="3"/>
        <v>48.308699831771214</v>
      </c>
      <c r="J30" s="134">
        <f t="shared" si="2"/>
        <v>160.81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59.14</v>
      </c>
      <c r="F31" s="134">
        <f t="shared" si="1"/>
        <v>49.369142033165112</v>
      </c>
      <c r="G31" s="132">
        <f t="shared" si="5"/>
        <v>0</v>
      </c>
      <c r="H31" s="132">
        <f t="shared" si="5"/>
        <v>0</v>
      </c>
      <c r="I31" s="134">
        <f t="shared" si="3"/>
        <v>49.369142033165112</v>
      </c>
      <c r="J31" s="134">
        <f t="shared" si="2"/>
        <v>164.34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107.62</v>
      </c>
      <c r="E32" s="132">
        <f t="shared" si="5"/>
        <v>60.5</v>
      </c>
      <c r="F32" s="134">
        <f t="shared" si="1"/>
        <v>50.504686373467919</v>
      </c>
      <c r="G32" s="132">
        <f t="shared" si="5"/>
        <v>0</v>
      </c>
      <c r="H32" s="132">
        <f t="shared" si="5"/>
        <v>0</v>
      </c>
      <c r="I32" s="134">
        <f t="shared" si="3"/>
        <v>50.504686373467919</v>
      </c>
      <c r="J32" s="134">
        <f t="shared" si="2"/>
        <v>168.12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110.1</v>
      </c>
      <c r="E33" s="132">
        <f t="shared" si="5"/>
        <v>61.89</v>
      </c>
      <c r="F33" s="134">
        <f t="shared" si="1"/>
        <v>51.667267483777941</v>
      </c>
      <c r="G33" s="132">
        <f t="shared" si="5"/>
        <v>0</v>
      </c>
      <c r="H33" s="132">
        <f t="shared" si="5"/>
        <v>0</v>
      </c>
      <c r="I33" s="134">
        <f t="shared" si="3"/>
        <v>51.667267483777941</v>
      </c>
      <c r="J33" s="134">
        <f t="shared" si="2"/>
        <v>171.99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112.63</v>
      </c>
      <c r="E34" s="132">
        <f t="shared" si="5"/>
        <v>63.31</v>
      </c>
      <c r="F34" s="134">
        <f t="shared" si="1"/>
        <v>52.853881278538815</v>
      </c>
      <c r="G34" s="132">
        <f t="shared" si="5"/>
        <v>0</v>
      </c>
      <c r="H34" s="132">
        <f t="shared" si="5"/>
        <v>0</v>
      </c>
      <c r="I34" s="134">
        <f t="shared" si="3"/>
        <v>52.853881278538815</v>
      </c>
      <c r="J34" s="134">
        <f t="shared" si="2"/>
        <v>175.94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115.22</v>
      </c>
      <c r="E35" s="132">
        <f t="shared" si="5"/>
        <v>64.77</v>
      </c>
      <c r="F35" s="134">
        <f t="shared" si="1"/>
        <v>54.070535928863258</v>
      </c>
      <c r="G35" s="132">
        <f t="shared" si="5"/>
        <v>0</v>
      </c>
      <c r="H35" s="132">
        <f t="shared" si="5"/>
        <v>0</v>
      </c>
      <c r="I35" s="134">
        <f t="shared" si="3"/>
        <v>54.070535928863258</v>
      </c>
      <c r="J35" s="134">
        <f t="shared" si="2"/>
        <v>179.99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117.87</v>
      </c>
      <c r="E36" s="132">
        <f t="shared" si="5"/>
        <v>66.260000000000005</v>
      </c>
      <c r="F36" s="134">
        <f t="shared" si="1"/>
        <v>55.314227349194908</v>
      </c>
      <c r="G36" s="132">
        <f t="shared" si="5"/>
        <v>0</v>
      </c>
      <c r="H36" s="132">
        <f t="shared" si="5"/>
        <v>0</v>
      </c>
      <c r="I36" s="134">
        <f t="shared" si="3"/>
        <v>55.314227349194908</v>
      </c>
      <c r="J36" s="134">
        <f t="shared" si="2"/>
        <v>184.13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1417.4139219193135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54.15</v>
      </c>
      <c r="F27" s="134">
        <f t="shared" si="1"/>
        <v>16.267123287671232</v>
      </c>
      <c r="G27" s="132">
        <f t="shared" si="5"/>
        <v>0</v>
      </c>
      <c r="H27" s="132">
        <f t="shared" si="5"/>
        <v>0</v>
      </c>
      <c r="I27" s="134">
        <f t="shared" si="3"/>
        <v>16.267123287671232</v>
      </c>
      <c r="J27" s="134">
        <f t="shared" si="2"/>
        <v>54.15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55.4</v>
      </c>
      <c r="F28" s="134">
        <f t="shared" si="1"/>
        <v>16.642633982215813</v>
      </c>
      <c r="G28" s="132">
        <f t="shared" si="5"/>
        <v>0</v>
      </c>
      <c r="H28" s="132">
        <f t="shared" si="5"/>
        <v>0</v>
      </c>
      <c r="I28" s="134">
        <f t="shared" si="3"/>
        <v>16.642633982215813</v>
      </c>
      <c r="J28" s="134">
        <f t="shared" si="2"/>
        <v>55.4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56.62</v>
      </c>
      <c r="F29" s="134">
        <f t="shared" si="1"/>
        <v>46.832473533552495</v>
      </c>
      <c r="G29" s="132">
        <f t="shared" si="5"/>
        <v>0</v>
      </c>
      <c r="H29" s="132">
        <f t="shared" si="5"/>
        <v>0</v>
      </c>
      <c r="I29" s="134">
        <f t="shared" si="3"/>
        <v>46.832473533552495</v>
      </c>
      <c r="J29" s="134">
        <f t="shared" si="2"/>
        <v>155.9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101.46</v>
      </c>
      <c r="E30" s="132">
        <f t="shared" si="5"/>
        <v>57.87</v>
      </c>
      <c r="F30" s="134">
        <f t="shared" si="1"/>
        <v>47.864095169430421</v>
      </c>
      <c r="G30" s="132">
        <f t="shared" si="5"/>
        <v>0</v>
      </c>
      <c r="H30" s="132">
        <f t="shared" si="5"/>
        <v>0</v>
      </c>
      <c r="I30" s="134">
        <f t="shared" si="3"/>
        <v>47.864095169430421</v>
      </c>
      <c r="J30" s="134">
        <f t="shared" si="2"/>
        <v>159.33000000000001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103.69</v>
      </c>
      <c r="E31" s="132">
        <f t="shared" si="5"/>
        <v>59.14</v>
      </c>
      <c r="F31" s="134">
        <f t="shared" si="1"/>
        <v>48.915525114155251</v>
      </c>
      <c r="G31" s="132">
        <f t="shared" si="5"/>
        <v>0</v>
      </c>
      <c r="H31" s="132">
        <f t="shared" si="5"/>
        <v>0</v>
      </c>
      <c r="I31" s="134">
        <f t="shared" si="3"/>
        <v>48.915525114155251</v>
      </c>
      <c r="J31" s="134">
        <f t="shared" si="2"/>
        <v>162.83000000000001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106.07</v>
      </c>
      <c r="E32" s="132">
        <f t="shared" si="5"/>
        <v>60.5</v>
      </c>
      <c r="F32" s="134">
        <f t="shared" si="1"/>
        <v>50.039053112232637</v>
      </c>
      <c r="G32" s="132">
        <f t="shared" si="5"/>
        <v>0</v>
      </c>
      <c r="H32" s="132">
        <f t="shared" si="5"/>
        <v>0</v>
      </c>
      <c r="I32" s="134">
        <f t="shared" si="3"/>
        <v>50.039053112232637</v>
      </c>
      <c r="J32" s="134">
        <f t="shared" si="2"/>
        <v>166.57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108.51</v>
      </c>
      <c r="E33" s="132">
        <f t="shared" si="5"/>
        <v>61.89</v>
      </c>
      <c r="F33" s="134">
        <f t="shared" si="1"/>
        <v>51.189617880317236</v>
      </c>
      <c r="G33" s="132">
        <f t="shared" si="5"/>
        <v>0</v>
      </c>
      <c r="H33" s="132">
        <f t="shared" si="5"/>
        <v>0</v>
      </c>
      <c r="I33" s="134">
        <f t="shared" si="3"/>
        <v>51.189617880317236</v>
      </c>
      <c r="J33" s="134">
        <f t="shared" si="2"/>
        <v>170.4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111.01</v>
      </c>
      <c r="E34" s="132">
        <f t="shared" si="5"/>
        <v>63.31</v>
      </c>
      <c r="F34" s="134">
        <f t="shared" si="1"/>
        <v>52.367219418409036</v>
      </c>
      <c r="G34" s="132">
        <f t="shared" si="5"/>
        <v>0</v>
      </c>
      <c r="H34" s="132">
        <f t="shared" si="5"/>
        <v>0</v>
      </c>
      <c r="I34" s="134">
        <f t="shared" si="3"/>
        <v>52.367219418409036</v>
      </c>
      <c r="J34" s="134">
        <f t="shared" si="2"/>
        <v>174.32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113.56</v>
      </c>
      <c r="E35" s="132">
        <f t="shared" si="5"/>
        <v>64.77</v>
      </c>
      <c r="F35" s="134">
        <f t="shared" si="1"/>
        <v>53.57185772650805</v>
      </c>
      <c r="G35" s="132">
        <f t="shared" si="5"/>
        <v>0</v>
      </c>
      <c r="H35" s="132">
        <f t="shared" si="5"/>
        <v>0</v>
      </c>
      <c r="I35" s="134">
        <f t="shared" si="3"/>
        <v>53.57185772650805</v>
      </c>
      <c r="J35" s="134">
        <f t="shared" si="2"/>
        <v>178.33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116.17</v>
      </c>
      <c r="E36" s="132">
        <f t="shared" si="5"/>
        <v>66.260000000000005</v>
      </c>
      <c r="F36" s="134">
        <f t="shared" si="1"/>
        <v>54.803532804614278</v>
      </c>
      <c r="G36" s="132">
        <f t="shared" si="5"/>
        <v>0</v>
      </c>
      <c r="H36" s="132">
        <f t="shared" si="5"/>
        <v>0</v>
      </c>
      <c r="I36" s="134">
        <f t="shared" si="3"/>
        <v>54.803532804614278</v>
      </c>
      <c r="J36" s="134">
        <f t="shared" si="2"/>
        <v>182.43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1397.0737350359179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9">
        <v>34.793006303232339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19.55</v>
      </c>
      <c r="F13" s="134">
        <f t="shared" si="1"/>
        <v>8.9627918064953889</v>
      </c>
      <c r="G13" s="132">
        <f t="shared" si="4"/>
        <v>0</v>
      </c>
      <c r="H13" s="132">
        <f t="shared" si="4"/>
        <v>0</v>
      </c>
      <c r="I13" s="134">
        <f t="shared" si="2"/>
        <v>8.9627918064953889</v>
      </c>
      <c r="J13" s="134">
        <f t="shared" si="3"/>
        <v>19.55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19.98</v>
      </c>
      <c r="F14" s="134">
        <f t="shared" si="1"/>
        <v>9.1599273807559012</v>
      </c>
      <c r="G14" s="132">
        <f t="shared" si="4"/>
        <v>0</v>
      </c>
      <c r="H14" s="132">
        <f t="shared" si="4"/>
        <v>0</v>
      </c>
      <c r="I14" s="134">
        <f t="shared" si="2"/>
        <v>9.1599273807559012</v>
      </c>
      <c r="J14" s="134">
        <f t="shared" si="3"/>
        <v>19.98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20.46</v>
      </c>
      <c r="F15" s="134">
        <f t="shared" si="1"/>
        <v>9.3799856962094967</v>
      </c>
      <c r="G15" s="132">
        <f t="shared" si="4"/>
        <v>0</v>
      </c>
      <c r="H15" s="132">
        <f t="shared" si="4"/>
        <v>0</v>
      </c>
      <c r="I15" s="134">
        <f t="shared" si="2"/>
        <v>9.3799856962094967</v>
      </c>
      <c r="J15" s="134">
        <f t="shared" si="3"/>
        <v>20.46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20.95</v>
      </c>
      <c r="F16" s="134">
        <f t="shared" si="1"/>
        <v>9.6046285599017072</v>
      </c>
      <c r="G16" s="132">
        <f t="shared" si="4"/>
        <v>0</v>
      </c>
      <c r="H16" s="132">
        <f t="shared" si="4"/>
        <v>0</v>
      </c>
      <c r="I16" s="134">
        <f t="shared" si="2"/>
        <v>9.6046285599017072</v>
      </c>
      <c r="J16" s="134">
        <f t="shared" si="3"/>
        <v>20.95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21.45</v>
      </c>
      <c r="F17" s="134">
        <f t="shared" si="1"/>
        <v>9.833855971832536</v>
      </c>
      <c r="G17" s="132">
        <f t="shared" si="4"/>
        <v>0</v>
      </c>
      <c r="H17" s="132">
        <f t="shared" si="4"/>
        <v>0</v>
      </c>
      <c r="I17" s="134">
        <f t="shared" si="2"/>
        <v>9.833855971832536</v>
      </c>
      <c r="J17" s="134">
        <f t="shared" si="3"/>
        <v>21.45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21.96</v>
      </c>
      <c r="F18" s="134">
        <f t="shared" si="1"/>
        <v>10.067667932001982</v>
      </c>
      <c r="G18" s="132">
        <f t="shared" si="4"/>
        <v>0</v>
      </c>
      <c r="H18" s="132">
        <f t="shared" si="4"/>
        <v>0</v>
      </c>
      <c r="I18" s="134">
        <f t="shared" si="2"/>
        <v>10.067667932001982</v>
      </c>
      <c r="J18" s="134">
        <f t="shared" si="3"/>
        <v>21.96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22.47</v>
      </c>
      <c r="F19" s="134">
        <f t="shared" si="1"/>
        <v>10.301479892171425</v>
      </c>
      <c r="G19" s="132">
        <f t="shared" si="4"/>
        <v>0</v>
      </c>
      <c r="H19" s="132">
        <f t="shared" si="4"/>
        <v>0</v>
      </c>
      <c r="I19" s="134">
        <f t="shared" si="2"/>
        <v>10.301479892171425</v>
      </c>
      <c r="J19" s="134">
        <f t="shared" si="3"/>
        <v>22.47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22.99</v>
      </c>
      <c r="F20" s="134">
        <f t="shared" si="1"/>
        <v>10.539876400579487</v>
      </c>
      <c r="G20" s="132">
        <f t="shared" si="4"/>
        <v>0</v>
      </c>
      <c r="H20" s="132">
        <f t="shared" si="4"/>
        <v>0</v>
      </c>
      <c r="I20" s="134">
        <f t="shared" si="2"/>
        <v>10.539876400579487</v>
      </c>
      <c r="J20" s="134">
        <f t="shared" si="3"/>
        <v>22.99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24.08</v>
      </c>
      <c r="F22" s="134">
        <f t="shared" si="1"/>
        <v>11.039592158588693</v>
      </c>
      <c r="G22" s="132">
        <f t="shared" si="4"/>
        <v>0</v>
      </c>
      <c r="H22" s="132">
        <f t="shared" si="4"/>
        <v>0</v>
      </c>
      <c r="I22" s="134">
        <f t="shared" si="2"/>
        <v>11.039592158588693</v>
      </c>
      <c r="J22" s="134">
        <f t="shared" si="3"/>
        <v>24.08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24.66</v>
      </c>
      <c r="F23" s="134">
        <f t="shared" si="1"/>
        <v>11.305495956428455</v>
      </c>
      <c r="G23" s="132">
        <f t="shared" si="4"/>
        <v>0</v>
      </c>
      <c r="H23" s="132">
        <f t="shared" si="4"/>
        <v>0</v>
      </c>
      <c r="I23" s="134">
        <f t="shared" si="2"/>
        <v>11.305495956428455</v>
      </c>
      <c r="J23" s="134">
        <f t="shared" si="3"/>
        <v>24.66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25.23</v>
      </c>
      <c r="F24" s="134">
        <f t="shared" si="1"/>
        <v>53.770926194656035</v>
      </c>
      <c r="G24" s="132">
        <f t="shared" si="4"/>
        <v>0</v>
      </c>
      <c r="H24" s="132">
        <f t="shared" si="4"/>
        <v>0</v>
      </c>
      <c r="I24" s="134">
        <f t="shared" si="2"/>
        <v>53.770926194656035</v>
      </c>
      <c r="J24" s="134">
        <f t="shared" si="3"/>
        <v>117.29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94.17</v>
      </c>
      <c r="E25" s="132">
        <f t="shared" si="4"/>
        <v>25.81</v>
      </c>
      <c r="F25" s="134">
        <f t="shared" si="1"/>
        <v>55.005409766921574</v>
      </c>
      <c r="G25" s="132">
        <f t="shared" si="4"/>
        <v>0</v>
      </c>
      <c r="H25" s="132">
        <f t="shared" si="4"/>
        <v>0</v>
      </c>
      <c r="I25" s="134">
        <f t="shared" si="2"/>
        <v>55.005409766921574</v>
      </c>
      <c r="J25" s="134">
        <f t="shared" si="3"/>
        <v>119.98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96.34</v>
      </c>
      <c r="E26" s="132">
        <f t="shared" si="4"/>
        <v>26.4</v>
      </c>
      <c r="F26" s="134">
        <f t="shared" si="1"/>
        <v>56.270745080779747</v>
      </c>
      <c r="G26" s="132">
        <f t="shared" si="4"/>
        <v>0</v>
      </c>
      <c r="H26" s="132">
        <f t="shared" si="4"/>
        <v>0</v>
      </c>
      <c r="I26" s="134">
        <f t="shared" si="2"/>
        <v>56.270745080779747</v>
      </c>
      <c r="J26" s="134">
        <f t="shared" si="3"/>
        <v>122.74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98.56</v>
      </c>
      <c r="E27" s="132">
        <f t="shared" si="4"/>
        <v>27.01</v>
      </c>
      <c r="F27" s="134">
        <f t="shared" si="1"/>
        <v>57.568172232308235</v>
      </c>
      <c r="G27" s="132">
        <f t="shared" si="4"/>
        <v>0</v>
      </c>
      <c r="H27" s="132">
        <f t="shared" si="4"/>
        <v>0</v>
      </c>
      <c r="I27" s="134">
        <f t="shared" si="2"/>
        <v>57.568172232308235</v>
      </c>
      <c r="J27" s="134">
        <f t="shared" si="3"/>
        <v>125.57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100.83</v>
      </c>
      <c r="E28" s="132">
        <f t="shared" si="4"/>
        <v>27.63</v>
      </c>
      <c r="F28" s="134">
        <f t="shared" si="1"/>
        <v>58.893106673268427</v>
      </c>
      <c r="G28" s="132">
        <f t="shared" si="4"/>
        <v>0</v>
      </c>
      <c r="H28" s="132">
        <f t="shared" si="4"/>
        <v>0</v>
      </c>
      <c r="I28" s="134">
        <f t="shared" si="2"/>
        <v>58.893106673268427</v>
      </c>
      <c r="J28" s="134">
        <f t="shared" si="3"/>
        <v>128.46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103.05</v>
      </c>
      <c r="E29" s="132">
        <f t="shared" si="4"/>
        <v>28.24</v>
      </c>
      <c r="F29" s="134">
        <f t="shared" si="1"/>
        <v>60.190533824796908</v>
      </c>
      <c r="G29" s="132">
        <f t="shared" si="4"/>
        <v>0</v>
      </c>
      <c r="H29" s="132">
        <f t="shared" si="4"/>
        <v>0</v>
      </c>
      <c r="I29" s="134">
        <f t="shared" si="2"/>
        <v>60.190533824796908</v>
      </c>
      <c r="J29" s="134">
        <f t="shared" si="3"/>
        <v>131.29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105.32</v>
      </c>
      <c r="E30" s="132">
        <f t="shared" si="4"/>
        <v>28.86</v>
      </c>
      <c r="F30" s="134">
        <f t="shared" si="1"/>
        <v>61.5154682657571</v>
      </c>
      <c r="G30" s="132">
        <f t="shared" si="4"/>
        <v>0</v>
      </c>
      <c r="H30" s="132">
        <f t="shared" si="4"/>
        <v>0</v>
      </c>
      <c r="I30" s="134">
        <f t="shared" si="2"/>
        <v>61.5154682657571</v>
      </c>
      <c r="J30" s="134">
        <f t="shared" si="3"/>
        <v>134.18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107.64</v>
      </c>
      <c r="E31" s="132">
        <f t="shared" si="4"/>
        <v>29.49</v>
      </c>
      <c r="F31" s="134">
        <f t="shared" si="1"/>
        <v>62.867909996148981</v>
      </c>
      <c r="G31" s="132">
        <f t="shared" si="4"/>
        <v>0</v>
      </c>
      <c r="H31" s="132">
        <f t="shared" si="4"/>
        <v>0</v>
      </c>
      <c r="I31" s="134">
        <f t="shared" si="2"/>
        <v>62.867909996148981</v>
      </c>
      <c r="J31" s="134">
        <f t="shared" si="3"/>
        <v>137.13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110.12</v>
      </c>
      <c r="E32" s="132">
        <f t="shared" si="4"/>
        <v>30.17</v>
      </c>
      <c r="F32" s="134">
        <f t="shared" si="1"/>
        <v>64.316627239551835</v>
      </c>
      <c r="G32" s="132">
        <f t="shared" si="4"/>
        <v>0</v>
      </c>
      <c r="H32" s="132">
        <f t="shared" si="4"/>
        <v>0</v>
      </c>
      <c r="I32" s="134">
        <f t="shared" si="2"/>
        <v>64.316627239551835</v>
      </c>
      <c r="J32" s="134">
        <f t="shared" si="3"/>
        <v>140.29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112.65</v>
      </c>
      <c r="E33" s="132">
        <f t="shared" si="4"/>
        <v>30.86</v>
      </c>
      <c r="F33" s="134">
        <f t="shared" si="1"/>
        <v>65.792851772386356</v>
      </c>
      <c r="G33" s="132">
        <f t="shared" si="4"/>
        <v>0</v>
      </c>
      <c r="H33" s="132">
        <f t="shared" si="4"/>
        <v>0</v>
      </c>
      <c r="I33" s="134">
        <f t="shared" si="2"/>
        <v>65.792851772386356</v>
      </c>
      <c r="J33" s="134">
        <f t="shared" si="3"/>
        <v>143.51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115.24</v>
      </c>
      <c r="E34" s="132">
        <f t="shared" si="4"/>
        <v>31.57</v>
      </c>
      <c r="F34" s="134">
        <f t="shared" si="1"/>
        <v>67.305752691129825</v>
      </c>
      <c r="G34" s="132">
        <f t="shared" si="4"/>
        <v>0</v>
      </c>
      <c r="H34" s="132">
        <f t="shared" si="4"/>
        <v>0</v>
      </c>
      <c r="I34" s="134">
        <f t="shared" si="2"/>
        <v>67.305752691129825</v>
      </c>
      <c r="J34" s="134">
        <f t="shared" si="3"/>
        <v>146.81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117.89</v>
      </c>
      <c r="E35" s="132">
        <f t="shared" si="4"/>
        <v>32.299999999999997</v>
      </c>
      <c r="F35" s="134">
        <f t="shared" si="1"/>
        <v>68.855329995782213</v>
      </c>
      <c r="G35" s="132">
        <f t="shared" si="4"/>
        <v>0</v>
      </c>
      <c r="H35" s="132">
        <f t="shared" si="4"/>
        <v>0</v>
      </c>
      <c r="I35" s="134">
        <f t="shared" si="2"/>
        <v>68.855329995782213</v>
      </c>
      <c r="J35" s="134">
        <f t="shared" si="3"/>
        <v>150.19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120.6</v>
      </c>
      <c r="E36" s="132">
        <f t="shared" si="4"/>
        <v>33.04</v>
      </c>
      <c r="F36" s="134">
        <f t="shared" si="1"/>
        <v>70.436999138104923</v>
      </c>
      <c r="G36" s="132">
        <f t="shared" si="4"/>
        <v>0</v>
      </c>
      <c r="H36" s="132">
        <f t="shared" si="4"/>
        <v>0</v>
      </c>
      <c r="I36" s="134">
        <f t="shared" si="2"/>
        <v>70.436999138104923</v>
      </c>
      <c r="J36" s="134">
        <f t="shared" si="3"/>
        <v>153.63999999999999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1192.5044909019937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18.74175672264068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19.55</v>
      </c>
      <c r="F13" s="134">
        <f t="shared" si="1"/>
        <v>8.9627918064953889</v>
      </c>
      <c r="G13" s="132">
        <f t="shared" si="4"/>
        <v>0</v>
      </c>
      <c r="H13" s="132">
        <f t="shared" si="4"/>
        <v>0</v>
      </c>
      <c r="I13" s="134">
        <f t="shared" si="2"/>
        <v>8.9627918064953889</v>
      </c>
      <c r="J13" s="134">
        <f t="shared" si="3"/>
        <v>19.55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19.98</v>
      </c>
      <c r="F14" s="134">
        <f t="shared" si="1"/>
        <v>9.1599273807559012</v>
      </c>
      <c r="G14" s="132">
        <f t="shared" si="4"/>
        <v>0</v>
      </c>
      <c r="H14" s="132">
        <f t="shared" si="4"/>
        <v>0</v>
      </c>
      <c r="I14" s="134">
        <f t="shared" si="2"/>
        <v>9.1599273807559012</v>
      </c>
      <c r="J14" s="134">
        <f t="shared" si="3"/>
        <v>19.98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20.46</v>
      </c>
      <c r="F15" s="134">
        <f t="shared" si="1"/>
        <v>9.3799856962094967</v>
      </c>
      <c r="G15" s="132">
        <f t="shared" si="4"/>
        <v>0</v>
      </c>
      <c r="H15" s="132">
        <f t="shared" si="4"/>
        <v>0</v>
      </c>
      <c r="I15" s="134">
        <f t="shared" si="2"/>
        <v>9.3799856962094967</v>
      </c>
      <c r="J15" s="134">
        <f t="shared" si="3"/>
        <v>20.46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20.95</v>
      </c>
      <c r="F16" s="134">
        <f t="shared" si="1"/>
        <v>9.6046285599017072</v>
      </c>
      <c r="G16" s="132">
        <f t="shared" si="4"/>
        <v>0</v>
      </c>
      <c r="H16" s="132">
        <f t="shared" si="4"/>
        <v>0</v>
      </c>
      <c r="I16" s="134">
        <f t="shared" si="2"/>
        <v>9.6046285599017072</v>
      </c>
      <c r="J16" s="134">
        <f t="shared" si="3"/>
        <v>20.95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21.45</v>
      </c>
      <c r="F17" s="134">
        <f t="shared" si="1"/>
        <v>9.833855971832536</v>
      </c>
      <c r="G17" s="132">
        <f t="shared" si="4"/>
        <v>0</v>
      </c>
      <c r="H17" s="132">
        <f t="shared" si="4"/>
        <v>0</v>
      </c>
      <c r="I17" s="134">
        <f t="shared" si="2"/>
        <v>9.833855971832536</v>
      </c>
      <c r="J17" s="134">
        <f t="shared" si="3"/>
        <v>21.45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21.96</v>
      </c>
      <c r="F18" s="134">
        <f t="shared" si="1"/>
        <v>10.067667932001982</v>
      </c>
      <c r="G18" s="132">
        <f t="shared" si="4"/>
        <v>0</v>
      </c>
      <c r="H18" s="132">
        <f t="shared" si="4"/>
        <v>0</v>
      </c>
      <c r="I18" s="134">
        <f t="shared" si="2"/>
        <v>10.067667932001982</v>
      </c>
      <c r="J18" s="134">
        <f t="shared" si="3"/>
        <v>21.96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22.47</v>
      </c>
      <c r="F19" s="134">
        <f t="shared" si="1"/>
        <v>10.301479892171425</v>
      </c>
      <c r="G19" s="132">
        <f t="shared" si="4"/>
        <v>0</v>
      </c>
      <c r="H19" s="132">
        <f t="shared" si="4"/>
        <v>0</v>
      </c>
      <c r="I19" s="134">
        <f t="shared" si="2"/>
        <v>10.301479892171425</v>
      </c>
      <c r="J19" s="134">
        <f t="shared" si="3"/>
        <v>22.47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22.99</v>
      </c>
      <c r="F20" s="134">
        <f t="shared" si="1"/>
        <v>10.539876400579487</v>
      </c>
      <c r="G20" s="132">
        <f t="shared" si="4"/>
        <v>0</v>
      </c>
      <c r="H20" s="132">
        <f t="shared" si="4"/>
        <v>0</v>
      </c>
      <c r="I20" s="134">
        <f t="shared" si="2"/>
        <v>10.539876400579487</v>
      </c>
      <c r="J20" s="134">
        <f t="shared" si="3"/>
        <v>22.99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24.08</v>
      </c>
      <c r="F22" s="134">
        <f t="shared" si="1"/>
        <v>11.039592158588693</v>
      </c>
      <c r="G22" s="132">
        <f t="shared" si="4"/>
        <v>0</v>
      </c>
      <c r="H22" s="132">
        <f t="shared" si="4"/>
        <v>0</v>
      </c>
      <c r="I22" s="134">
        <f t="shared" si="2"/>
        <v>11.039592158588693</v>
      </c>
      <c r="J22" s="134">
        <f t="shared" si="3"/>
        <v>24.08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24.66</v>
      </c>
      <c r="F23" s="134">
        <f t="shared" si="1"/>
        <v>11.305495956428455</v>
      </c>
      <c r="G23" s="132">
        <f t="shared" si="4"/>
        <v>0</v>
      </c>
      <c r="H23" s="132">
        <f t="shared" si="4"/>
        <v>0</v>
      </c>
      <c r="I23" s="134">
        <f t="shared" si="2"/>
        <v>11.305495956428455</v>
      </c>
      <c r="J23" s="134">
        <f t="shared" si="3"/>
        <v>24.66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25.23</v>
      </c>
      <c r="F24" s="134">
        <f t="shared" si="1"/>
        <v>11.566815206029599</v>
      </c>
      <c r="G24" s="132">
        <f t="shared" si="4"/>
        <v>0</v>
      </c>
      <c r="H24" s="132">
        <f t="shared" si="4"/>
        <v>0</v>
      </c>
      <c r="I24" s="134">
        <f t="shared" si="2"/>
        <v>11.566815206029599</v>
      </c>
      <c r="J24" s="134">
        <f t="shared" si="3"/>
        <v>25.23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25.81</v>
      </c>
      <c r="F25" s="134">
        <f t="shared" si="1"/>
        <v>11.832719003869359</v>
      </c>
      <c r="G25" s="132">
        <f t="shared" si="4"/>
        <v>0</v>
      </c>
      <c r="H25" s="132">
        <f t="shared" si="4"/>
        <v>0</v>
      </c>
      <c r="I25" s="134">
        <f t="shared" si="2"/>
        <v>11.832719003869359</v>
      </c>
      <c r="J25" s="134">
        <f t="shared" si="3"/>
        <v>25.81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26.4</v>
      </c>
      <c r="F26" s="134">
        <f t="shared" si="1"/>
        <v>53.827562684869854</v>
      </c>
      <c r="G26" s="132">
        <f t="shared" si="4"/>
        <v>0</v>
      </c>
      <c r="H26" s="132">
        <f t="shared" si="4"/>
        <v>0</v>
      </c>
      <c r="I26" s="134">
        <f t="shared" si="2"/>
        <v>53.827562684869854</v>
      </c>
      <c r="J26" s="134">
        <f t="shared" si="3"/>
        <v>117.41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93.1</v>
      </c>
      <c r="E27" s="132">
        <f t="shared" si="4"/>
        <v>27.01</v>
      </c>
      <c r="F27" s="134">
        <f t="shared" si="1"/>
        <v>55.065008894023585</v>
      </c>
      <c r="G27" s="132">
        <f t="shared" si="4"/>
        <v>0</v>
      </c>
      <c r="H27" s="132">
        <f t="shared" si="4"/>
        <v>0</v>
      </c>
      <c r="I27" s="134">
        <f t="shared" si="2"/>
        <v>55.065008894023585</v>
      </c>
      <c r="J27" s="134">
        <f t="shared" si="3"/>
        <v>120.11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95.24</v>
      </c>
      <c r="E28" s="132">
        <f t="shared" si="4"/>
        <v>27.63</v>
      </c>
      <c r="F28" s="134">
        <f t="shared" si="1"/>
        <v>56.330344207881758</v>
      </c>
      <c r="G28" s="132">
        <f t="shared" si="4"/>
        <v>0</v>
      </c>
      <c r="H28" s="132">
        <f t="shared" si="4"/>
        <v>0</v>
      </c>
      <c r="I28" s="134">
        <f t="shared" si="2"/>
        <v>56.330344207881758</v>
      </c>
      <c r="J28" s="134">
        <f t="shared" si="3"/>
        <v>122.87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97.34</v>
      </c>
      <c r="E29" s="132">
        <f t="shared" si="4"/>
        <v>28.24</v>
      </c>
      <c r="F29" s="134">
        <f t="shared" si="1"/>
        <v>57.572756780546847</v>
      </c>
      <c r="G29" s="132">
        <f t="shared" si="4"/>
        <v>0</v>
      </c>
      <c r="H29" s="132">
        <f t="shared" si="4"/>
        <v>0</v>
      </c>
      <c r="I29" s="134">
        <f t="shared" si="2"/>
        <v>57.572756780546847</v>
      </c>
      <c r="J29" s="134">
        <f t="shared" si="3"/>
        <v>125.58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99.48</v>
      </c>
      <c r="E30" s="132">
        <f t="shared" si="4"/>
        <v>28.86</v>
      </c>
      <c r="F30" s="134">
        <f t="shared" si="1"/>
        <v>58.83809209440502</v>
      </c>
      <c r="G30" s="132">
        <f t="shared" si="4"/>
        <v>0</v>
      </c>
      <c r="H30" s="132">
        <f t="shared" si="4"/>
        <v>0</v>
      </c>
      <c r="I30" s="134">
        <f t="shared" si="2"/>
        <v>58.83809209440502</v>
      </c>
      <c r="J30" s="134">
        <f t="shared" si="3"/>
        <v>128.34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101.67</v>
      </c>
      <c r="E31" s="132">
        <f t="shared" si="4"/>
        <v>29.49</v>
      </c>
      <c r="F31" s="134">
        <f t="shared" si="1"/>
        <v>60.13093469769489</v>
      </c>
      <c r="G31" s="132">
        <f t="shared" si="4"/>
        <v>0</v>
      </c>
      <c r="H31" s="132">
        <f t="shared" si="4"/>
        <v>0</v>
      </c>
      <c r="I31" s="134">
        <f t="shared" si="2"/>
        <v>60.13093469769489</v>
      </c>
      <c r="J31" s="134">
        <f t="shared" si="3"/>
        <v>131.16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104.01</v>
      </c>
      <c r="E32" s="132">
        <f t="shared" si="4"/>
        <v>30.17</v>
      </c>
      <c r="F32" s="134">
        <f t="shared" si="1"/>
        <v>61.5154682657571</v>
      </c>
      <c r="G32" s="132">
        <f t="shared" si="4"/>
        <v>0</v>
      </c>
      <c r="H32" s="132">
        <f t="shared" si="4"/>
        <v>0</v>
      </c>
      <c r="I32" s="134">
        <f t="shared" si="2"/>
        <v>61.5154682657571</v>
      </c>
      <c r="J32" s="134">
        <f t="shared" si="3"/>
        <v>134.18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106.4</v>
      </c>
      <c r="E33" s="132">
        <f t="shared" si="4"/>
        <v>30.86</v>
      </c>
      <c r="F33" s="134">
        <f t="shared" si="1"/>
        <v>62.927509123250992</v>
      </c>
      <c r="G33" s="132">
        <f t="shared" si="4"/>
        <v>0</v>
      </c>
      <c r="H33" s="132">
        <f t="shared" si="4"/>
        <v>0</v>
      </c>
      <c r="I33" s="134">
        <f t="shared" si="2"/>
        <v>62.927509123250992</v>
      </c>
      <c r="J33" s="134">
        <f t="shared" si="3"/>
        <v>137.26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108.85</v>
      </c>
      <c r="E34" s="132">
        <f t="shared" si="4"/>
        <v>31.57</v>
      </c>
      <c r="F34" s="134">
        <f t="shared" si="1"/>
        <v>64.376226366653825</v>
      </c>
      <c r="G34" s="132">
        <f t="shared" si="4"/>
        <v>0</v>
      </c>
      <c r="H34" s="132">
        <f t="shared" si="4"/>
        <v>0</v>
      </c>
      <c r="I34" s="134">
        <f t="shared" si="2"/>
        <v>64.376226366653825</v>
      </c>
      <c r="J34" s="134">
        <f t="shared" si="3"/>
        <v>140.41999999999999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111.35</v>
      </c>
      <c r="E35" s="132">
        <f t="shared" si="4"/>
        <v>32.299999999999997</v>
      </c>
      <c r="F35" s="134">
        <f t="shared" si="1"/>
        <v>65.857035447726972</v>
      </c>
      <c r="G35" s="132">
        <f t="shared" si="4"/>
        <v>0</v>
      </c>
      <c r="H35" s="132">
        <f t="shared" si="4"/>
        <v>0</v>
      </c>
      <c r="I35" s="134">
        <f t="shared" si="2"/>
        <v>65.857035447726972</v>
      </c>
      <c r="J35" s="134">
        <f t="shared" si="3"/>
        <v>143.65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113.91</v>
      </c>
      <c r="E36" s="132">
        <f t="shared" si="4"/>
        <v>33.04</v>
      </c>
      <c r="F36" s="134">
        <f t="shared" si="1"/>
        <v>67.369936366470441</v>
      </c>
      <c r="G36" s="132">
        <f t="shared" si="4"/>
        <v>0</v>
      </c>
      <c r="H36" s="132">
        <f t="shared" si="4"/>
        <v>0</v>
      </c>
      <c r="I36" s="134">
        <f t="shared" si="2"/>
        <v>67.369936366470441</v>
      </c>
      <c r="J36" s="134">
        <f t="shared" si="3"/>
        <v>146.94999999999999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130</v>
      </c>
      <c r="C55" s="185">
        <v>1178.9486841766204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18.74175672264068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19.55</v>
      </c>
      <c r="F13" s="134">
        <f t="shared" si="1"/>
        <v>8.9627918064953889</v>
      </c>
      <c r="G13" s="132">
        <f t="shared" si="4"/>
        <v>0</v>
      </c>
      <c r="H13" s="132">
        <f t="shared" si="4"/>
        <v>0</v>
      </c>
      <c r="I13" s="134">
        <f t="shared" si="2"/>
        <v>8.9627918064953889</v>
      </c>
      <c r="J13" s="134">
        <f t="shared" si="3"/>
        <v>19.55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19.98</v>
      </c>
      <c r="F14" s="134">
        <f t="shared" si="1"/>
        <v>9.1599273807559012</v>
      </c>
      <c r="G14" s="132">
        <f t="shared" si="4"/>
        <v>0</v>
      </c>
      <c r="H14" s="132">
        <f t="shared" si="4"/>
        <v>0</v>
      </c>
      <c r="I14" s="134">
        <f t="shared" si="2"/>
        <v>9.1599273807559012</v>
      </c>
      <c r="J14" s="134">
        <f t="shared" si="3"/>
        <v>19.98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20.46</v>
      </c>
      <c r="F15" s="134">
        <f t="shared" si="1"/>
        <v>9.3799856962094967</v>
      </c>
      <c r="G15" s="132">
        <f t="shared" si="4"/>
        <v>0</v>
      </c>
      <c r="H15" s="132">
        <f t="shared" si="4"/>
        <v>0</v>
      </c>
      <c r="I15" s="134">
        <f t="shared" si="2"/>
        <v>9.3799856962094967</v>
      </c>
      <c r="J15" s="134">
        <f t="shared" si="3"/>
        <v>20.46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20.95</v>
      </c>
      <c r="F16" s="134">
        <f t="shared" si="1"/>
        <v>9.6046285599017072</v>
      </c>
      <c r="G16" s="132">
        <f t="shared" si="4"/>
        <v>0</v>
      </c>
      <c r="H16" s="132">
        <f t="shared" si="4"/>
        <v>0</v>
      </c>
      <c r="I16" s="134">
        <f t="shared" si="2"/>
        <v>9.6046285599017072</v>
      </c>
      <c r="J16" s="134">
        <f t="shared" si="3"/>
        <v>20.95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21.45</v>
      </c>
      <c r="F17" s="134">
        <f t="shared" si="1"/>
        <v>9.833855971832536</v>
      </c>
      <c r="G17" s="132">
        <f t="shared" si="4"/>
        <v>0</v>
      </c>
      <c r="H17" s="132">
        <f t="shared" si="4"/>
        <v>0</v>
      </c>
      <c r="I17" s="134">
        <f t="shared" si="2"/>
        <v>9.833855971832536</v>
      </c>
      <c r="J17" s="134">
        <f t="shared" si="3"/>
        <v>21.45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21.96</v>
      </c>
      <c r="F18" s="134">
        <f t="shared" si="1"/>
        <v>10.067667932001982</v>
      </c>
      <c r="G18" s="132">
        <f t="shared" si="4"/>
        <v>0</v>
      </c>
      <c r="H18" s="132">
        <f t="shared" si="4"/>
        <v>0</v>
      </c>
      <c r="I18" s="134">
        <f t="shared" si="2"/>
        <v>10.067667932001982</v>
      </c>
      <c r="J18" s="134">
        <f t="shared" si="3"/>
        <v>21.96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22.47</v>
      </c>
      <c r="F19" s="134">
        <f t="shared" si="1"/>
        <v>10.301479892171425</v>
      </c>
      <c r="G19" s="132">
        <f t="shared" si="4"/>
        <v>0</v>
      </c>
      <c r="H19" s="132">
        <f t="shared" si="4"/>
        <v>0</v>
      </c>
      <c r="I19" s="134">
        <f t="shared" si="2"/>
        <v>10.301479892171425</v>
      </c>
      <c r="J19" s="134">
        <f t="shared" si="3"/>
        <v>22.47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22.99</v>
      </c>
      <c r="F20" s="134">
        <f t="shared" si="1"/>
        <v>10.539876400579487</v>
      </c>
      <c r="G20" s="132">
        <f t="shared" si="4"/>
        <v>0</v>
      </c>
      <c r="H20" s="132">
        <f t="shared" si="4"/>
        <v>0</v>
      </c>
      <c r="I20" s="134">
        <f t="shared" si="2"/>
        <v>10.539876400579487</v>
      </c>
      <c r="J20" s="134">
        <f t="shared" si="3"/>
        <v>22.99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23.52</v>
      </c>
      <c r="F21" s="134">
        <f t="shared" si="1"/>
        <v>10.782857457226166</v>
      </c>
      <c r="G21" s="132">
        <f t="shared" si="4"/>
        <v>0</v>
      </c>
      <c r="H21" s="132">
        <f t="shared" si="4"/>
        <v>0</v>
      </c>
      <c r="I21" s="134">
        <f t="shared" si="2"/>
        <v>10.782857457226166</v>
      </c>
      <c r="J21" s="134">
        <f t="shared" si="3"/>
        <v>23.52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24.08</v>
      </c>
      <c r="F22" s="134">
        <f t="shared" si="1"/>
        <v>11.039592158588693</v>
      </c>
      <c r="G22" s="132">
        <f t="shared" si="4"/>
        <v>0</v>
      </c>
      <c r="H22" s="132">
        <f t="shared" si="4"/>
        <v>0</v>
      </c>
      <c r="I22" s="134">
        <f t="shared" si="2"/>
        <v>11.039592158588693</v>
      </c>
      <c r="J22" s="134">
        <f t="shared" si="3"/>
        <v>24.08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24.66</v>
      </c>
      <c r="F23" s="134">
        <f t="shared" si="1"/>
        <v>11.305495956428455</v>
      </c>
      <c r="G23" s="132">
        <f t="shared" si="4"/>
        <v>0</v>
      </c>
      <c r="H23" s="132">
        <f t="shared" si="4"/>
        <v>0</v>
      </c>
      <c r="I23" s="134">
        <f t="shared" si="2"/>
        <v>11.305495956428455</v>
      </c>
      <c r="J23" s="134">
        <f t="shared" si="3"/>
        <v>24.66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25.23</v>
      </c>
      <c r="F24" s="134">
        <f t="shared" si="1"/>
        <v>11.566815206029599</v>
      </c>
      <c r="G24" s="132">
        <f t="shared" si="4"/>
        <v>0</v>
      </c>
      <c r="H24" s="132">
        <f t="shared" si="4"/>
        <v>0</v>
      </c>
      <c r="I24" s="134">
        <f t="shared" si="2"/>
        <v>11.566815206029599</v>
      </c>
      <c r="J24" s="134">
        <f t="shared" si="3"/>
        <v>25.23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25.81</v>
      </c>
      <c r="F25" s="134">
        <f t="shared" si="1"/>
        <v>11.832719003869359</v>
      </c>
      <c r="G25" s="132">
        <f t="shared" si="4"/>
        <v>0</v>
      </c>
      <c r="H25" s="132">
        <f t="shared" si="4"/>
        <v>0</v>
      </c>
      <c r="I25" s="134">
        <f t="shared" si="2"/>
        <v>11.832719003869359</v>
      </c>
      <c r="J25" s="134">
        <f t="shared" si="3"/>
        <v>25.81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26.4</v>
      </c>
      <c r="F26" s="134">
        <f t="shared" si="1"/>
        <v>12.103207349947736</v>
      </c>
      <c r="G26" s="132">
        <f t="shared" si="4"/>
        <v>0</v>
      </c>
      <c r="H26" s="132">
        <f t="shared" si="4"/>
        <v>0</v>
      </c>
      <c r="I26" s="134">
        <f t="shared" si="2"/>
        <v>12.103207349947736</v>
      </c>
      <c r="J26" s="134">
        <f t="shared" si="3"/>
        <v>26.4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27.01</v>
      </c>
      <c r="F27" s="134">
        <f t="shared" si="1"/>
        <v>53.869391302016417</v>
      </c>
      <c r="G27" s="132">
        <f t="shared" si="4"/>
        <v>0</v>
      </c>
      <c r="H27" s="132">
        <f t="shared" si="4"/>
        <v>0</v>
      </c>
      <c r="I27" s="134">
        <f t="shared" si="2"/>
        <v>53.869391302016417</v>
      </c>
      <c r="J27" s="134">
        <f t="shared" si="3"/>
        <v>117.5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92.57</v>
      </c>
      <c r="E28" s="132">
        <f t="shared" si="4"/>
        <v>27.63</v>
      </c>
      <c r="F28" s="134">
        <f t="shared" si="1"/>
        <v>55.106269828171129</v>
      </c>
      <c r="G28" s="132">
        <f t="shared" si="4"/>
        <v>0</v>
      </c>
      <c r="H28" s="132">
        <f t="shared" si="4"/>
        <v>0</v>
      </c>
      <c r="I28" s="134">
        <f t="shared" si="2"/>
        <v>55.106269828171129</v>
      </c>
      <c r="J28" s="134">
        <f t="shared" si="3"/>
        <v>120.2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94.61</v>
      </c>
      <c r="E29" s="132">
        <f t="shared" si="4"/>
        <v>28.24</v>
      </c>
      <c r="F29" s="134">
        <f t="shared" si="1"/>
        <v>56.321175111404521</v>
      </c>
      <c r="G29" s="132">
        <f t="shared" si="4"/>
        <v>0</v>
      </c>
      <c r="H29" s="132">
        <f t="shared" si="4"/>
        <v>0</v>
      </c>
      <c r="I29" s="134">
        <f t="shared" si="2"/>
        <v>56.321175111404521</v>
      </c>
      <c r="J29" s="134">
        <f t="shared" si="3"/>
        <v>122.85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96.69</v>
      </c>
      <c r="E30" s="132">
        <f t="shared" si="4"/>
        <v>28.86</v>
      </c>
      <c r="F30" s="134">
        <f t="shared" si="1"/>
        <v>57.559003135830999</v>
      </c>
      <c r="G30" s="132">
        <f t="shared" si="4"/>
        <v>0</v>
      </c>
      <c r="H30" s="132">
        <f t="shared" si="4"/>
        <v>0</v>
      </c>
      <c r="I30" s="134">
        <f t="shared" si="2"/>
        <v>57.559003135830999</v>
      </c>
      <c r="J30" s="134">
        <f t="shared" si="3"/>
        <v>125.55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98.82</v>
      </c>
      <c r="E31" s="132">
        <f t="shared" si="4"/>
        <v>29.49</v>
      </c>
      <c r="F31" s="134">
        <f t="shared" si="1"/>
        <v>58.824338449689172</v>
      </c>
      <c r="G31" s="132">
        <f t="shared" si="4"/>
        <v>0</v>
      </c>
      <c r="H31" s="132">
        <f t="shared" si="4"/>
        <v>0</v>
      </c>
      <c r="I31" s="134">
        <f t="shared" si="2"/>
        <v>58.824338449689172</v>
      </c>
      <c r="J31" s="134">
        <f t="shared" si="3"/>
        <v>128.31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101.09</v>
      </c>
      <c r="E32" s="132">
        <f t="shared" si="4"/>
        <v>30.17</v>
      </c>
      <c r="F32" s="134">
        <f t="shared" si="1"/>
        <v>60.176780180081053</v>
      </c>
      <c r="G32" s="132">
        <f t="shared" si="4"/>
        <v>0</v>
      </c>
      <c r="H32" s="132">
        <f t="shared" si="4"/>
        <v>0</v>
      </c>
      <c r="I32" s="134">
        <f t="shared" si="2"/>
        <v>60.176780180081053</v>
      </c>
      <c r="J32" s="134">
        <f t="shared" si="3"/>
        <v>131.26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103.42</v>
      </c>
      <c r="E33" s="132">
        <f t="shared" si="4"/>
        <v>30.86</v>
      </c>
      <c r="F33" s="134">
        <f t="shared" si="1"/>
        <v>61.561313748143263</v>
      </c>
      <c r="G33" s="132">
        <f t="shared" si="4"/>
        <v>0</v>
      </c>
      <c r="H33" s="132">
        <f t="shared" si="4"/>
        <v>0</v>
      </c>
      <c r="I33" s="134">
        <f t="shared" si="2"/>
        <v>61.561313748143263</v>
      </c>
      <c r="J33" s="134">
        <f t="shared" si="3"/>
        <v>134.28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105.8</v>
      </c>
      <c r="E34" s="132">
        <f t="shared" si="4"/>
        <v>31.57</v>
      </c>
      <c r="F34" s="134">
        <f t="shared" si="1"/>
        <v>62.977939153875781</v>
      </c>
      <c r="G34" s="132">
        <f t="shared" si="4"/>
        <v>0</v>
      </c>
      <c r="H34" s="132">
        <f t="shared" si="4"/>
        <v>0</v>
      </c>
      <c r="I34" s="134">
        <f t="shared" si="2"/>
        <v>62.977939153875781</v>
      </c>
      <c r="J34" s="134">
        <f t="shared" si="3"/>
        <v>137.37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108.23</v>
      </c>
      <c r="E35" s="132">
        <f t="shared" si="4"/>
        <v>32.299999999999997</v>
      </c>
      <c r="F35" s="134">
        <f t="shared" si="1"/>
        <v>64.42665639727862</v>
      </c>
      <c r="G35" s="132">
        <f t="shared" si="4"/>
        <v>0</v>
      </c>
      <c r="H35" s="132">
        <f t="shared" si="4"/>
        <v>0</v>
      </c>
      <c r="I35" s="134">
        <f t="shared" si="2"/>
        <v>64.42665639727862</v>
      </c>
      <c r="J35" s="134">
        <f t="shared" si="3"/>
        <v>140.53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110.72</v>
      </c>
      <c r="E36" s="132">
        <f t="shared" si="4"/>
        <v>33.04</v>
      </c>
      <c r="F36" s="134">
        <f t="shared" si="1"/>
        <v>65.907465478351767</v>
      </c>
      <c r="G36" s="132">
        <f t="shared" si="4"/>
        <v>0</v>
      </c>
      <c r="H36" s="132">
        <f t="shared" si="4"/>
        <v>0</v>
      </c>
      <c r="I36" s="134">
        <f t="shared" si="2"/>
        <v>65.907465478351767</v>
      </c>
      <c r="J36" s="134">
        <f t="shared" si="3"/>
        <v>143.76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1172.2286766768136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18.74175672264068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0.249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20.54</v>
      </c>
      <c r="F13" s="134">
        <f t="shared" si="1"/>
        <v>7.539385396937262</v>
      </c>
      <c r="G13" s="132">
        <f t="shared" si="5"/>
        <v>0</v>
      </c>
      <c r="H13" s="132">
        <f t="shared" si="5"/>
        <v>0</v>
      </c>
      <c r="I13" s="134">
        <f t="shared" si="2"/>
        <v>7.539385396937262</v>
      </c>
      <c r="J13" s="134">
        <f t="shared" si="3"/>
        <v>20.54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20.99</v>
      </c>
      <c r="F14" s="134">
        <f t="shared" si="1"/>
        <v>7.704561805341438</v>
      </c>
      <c r="G14" s="132">
        <f t="shared" si="5"/>
        <v>0</v>
      </c>
      <c r="H14" s="132">
        <f t="shared" si="5"/>
        <v>0</v>
      </c>
      <c r="I14" s="134">
        <f t="shared" si="2"/>
        <v>7.704561805341438</v>
      </c>
      <c r="J14" s="134">
        <f t="shared" si="3"/>
        <v>20.99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21.49</v>
      </c>
      <c r="F15" s="134">
        <f t="shared" si="1"/>
        <v>7.8880911480127436</v>
      </c>
      <c r="G15" s="132">
        <f t="shared" si="5"/>
        <v>0</v>
      </c>
      <c r="H15" s="132">
        <f t="shared" si="5"/>
        <v>0</v>
      </c>
      <c r="I15" s="134">
        <f t="shared" si="2"/>
        <v>7.8880911480127436</v>
      </c>
      <c r="J15" s="134">
        <f t="shared" si="3"/>
        <v>21.49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22.01</v>
      </c>
      <c r="F16" s="134">
        <f t="shared" si="1"/>
        <v>8.0789616643909046</v>
      </c>
      <c r="G16" s="132">
        <f t="shared" si="5"/>
        <v>0</v>
      </c>
      <c r="H16" s="132">
        <f t="shared" si="5"/>
        <v>0</v>
      </c>
      <c r="I16" s="134">
        <f t="shared" si="2"/>
        <v>8.0789616643909046</v>
      </c>
      <c r="J16" s="134">
        <f t="shared" si="3"/>
        <v>22.01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22.54</v>
      </c>
      <c r="F17" s="134">
        <f t="shared" si="1"/>
        <v>8.273502767622487</v>
      </c>
      <c r="G17" s="132">
        <f t="shared" si="5"/>
        <v>0</v>
      </c>
      <c r="H17" s="132">
        <f t="shared" si="5"/>
        <v>0</v>
      </c>
      <c r="I17" s="134">
        <f t="shared" si="2"/>
        <v>8.273502767622487</v>
      </c>
      <c r="J17" s="134">
        <f t="shared" si="3"/>
        <v>22.54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23.08</v>
      </c>
      <c r="F18" s="134">
        <f t="shared" si="1"/>
        <v>8.4717144577074972</v>
      </c>
      <c r="G18" s="132">
        <f t="shared" si="5"/>
        <v>0</v>
      </c>
      <c r="H18" s="132">
        <f t="shared" si="5"/>
        <v>0</v>
      </c>
      <c r="I18" s="134">
        <f t="shared" si="2"/>
        <v>8.4717144577074972</v>
      </c>
      <c r="J18" s="134">
        <f t="shared" si="3"/>
        <v>23.08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23.61</v>
      </c>
      <c r="F19" s="134">
        <f t="shared" si="1"/>
        <v>8.6662555609390832</v>
      </c>
      <c r="G19" s="132">
        <f t="shared" si="5"/>
        <v>0</v>
      </c>
      <c r="H19" s="132">
        <f t="shared" si="5"/>
        <v>0</v>
      </c>
      <c r="I19" s="134">
        <f t="shared" si="2"/>
        <v>8.6662555609390832</v>
      </c>
      <c r="J19" s="134">
        <f t="shared" si="3"/>
        <v>23.61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24.15</v>
      </c>
      <c r="F20" s="134">
        <f t="shared" si="1"/>
        <v>8.8644672510240934</v>
      </c>
      <c r="G20" s="132">
        <f t="shared" si="5"/>
        <v>0</v>
      </c>
      <c r="H20" s="132">
        <f t="shared" si="5"/>
        <v>0</v>
      </c>
      <c r="I20" s="134">
        <f t="shared" si="2"/>
        <v>8.8644672510240934</v>
      </c>
      <c r="J20" s="134">
        <f t="shared" si="3"/>
        <v>24.15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24.71</v>
      </c>
      <c r="F21" s="134">
        <f t="shared" si="1"/>
        <v>9.0700201148159572</v>
      </c>
      <c r="G21" s="132">
        <f t="shared" si="5"/>
        <v>0</v>
      </c>
      <c r="H21" s="132">
        <f t="shared" si="5"/>
        <v>0</v>
      </c>
      <c r="I21" s="134">
        <f t="shared" si="2"/>
        <v>9.0700201148159572</v>
      </c>
      <c r="J21" s="134">
        <f t="shared" si="3"/>
        <v>24.71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25.3</v>
      </c>
      <c r="F22" s="134">
        <f t="shared" si="1"/>
        <v>9.2865847391680987</v>
      </c>
      <c r="G22" s="132">
        <f t="shared" si="5"/>
        <v>0</v>
      </c>
      <c r="H22" s="132">
        <f t="shared" si="5"/>
        <v>0</v>
      </c>
      <c r="I22" s="134">
        <f t="shared" si="2"/>
        <v>9.2865847391680987</v>
      </c>
      <c r="J22" s="134">
        <f t="shared" si="3"/>
        <v>25.3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25.91</v>
      </c>
      <c r="F23" s="134">
        <f t="shared" si="1"/>
        <v>9.510490537227092</v>
      </c>
      <c r="G23" s="132">
        <f t="shared" si="5"/>
        <v>0</v>
      </c>
      <c r="H23" s="132">
        <f t="shared" si="5"/>
        <v>0</v>
      </c>
      <c r="I23" s="134">
        <f t="shared" si="2"/>
        <v>9.510490537227092</v>
      </c>
      <c r="J23" s="134">
        <f t="shared" si="3"/>
        <v>25.91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26.51</v>
      </c>
      <c r="F24" s="134">
        <f t="shared" si="1"/>
        <v>9.7307257484326612</v>
      </c>
      <c r="G24" s="132">
        <f t="shared" si="5"/>
        <v>0</v>
      </c>
      <c r="H24" s="132">
        <f t="shared" si="5"/>
        <v>0</v>
      </c>
      <c r="I24" s="134">
        <f t="shared" si="2"/>
        <v>9.7307257484326612</v>
      </c>
      <c r="J24" s="134">
        <f t="shared" si="3"/>
        <v>26.51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27.12</v>
      </c>
      <c r="F25" s="134">
        <f t="shared" si="1"/>
        <v>9.9546315464916546</v>
      </c>
      <c r="G25" s="132">
        <f t="shared" si="5"/>
        <v>0</v>
      </c>
      <c r="H25" s="132">
        <f t="shared" si="5"/>
        <v>0</v>
      </c>
      <c r="I25" s="134">
        <f t="shared" si="2"/>
        <v>9.9546315464916546</v>
      </c>
      <c r="J25" s="134">
        <f t="shared" si="3"/>
        <v>27.12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27.74</v>
      </c>
      <c r="F26" s="134">
        <f t="shared" si="1"/>
        <v>10.182207931404072</v>
      </c>
      <c r="G26" s="132">
        <f t="shared" si="5"/>
        <v>0</v>
      </c>
      <c r="H26" s="132">
        <f t="shared" si="5"/>
        <v>0</v>
      </c>
      <c r="I26" s="134">
        <f t="shared" si="2"/>
        <v>10.182207931404072</v>
      </c>
      <c r="J26" s="134">
        <f t="shared" si="3"/>
        <v>27.74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28.38</v>
      </c>
      <c r="F27" s="134">
        <f t="shared" si="1"/>
        <v>43.453148777433647</v>
      </c>
      <c r="G27" s="132">
        <f t="shared" si="5"/>
        <v>0</v>
      </c>
      <c r="H27" s="132">
        <f t="shared" si="5"/>
        <v>0</v>
      </c>
      <c r="I27" s="134">
        <f t="shared" si="2"/>
        <v>43.453148777433647</v>
      </c>
      <c r="J27" s="134">
        <f t="shared" si="3"/>
        <v>118.38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92.07</v>
      </c>
      <c r="E28" s="132">
        <f t="shared" si="5"/>
        <v>29.03</v>
      </c>
      <c r="F28" s="134">
        <f t="shared" si="1"/>
        <v>44.450806794990385</v>
      </c>
      <c r="G28" s="132">
        <f t="shared" si="5"/>
        <v>0</v>
      </c>
      <c r="H28" s="132">
        <f t="shared" si="5"/>
        <v>0</v>
      </c>
      <c r="I28" s="134">
        <f t="shared" si="2"/>
        <v>44.450806794990385</v>
      </c>
      <c r="J28" s="134">
        <f t="shared" si="3"/>
        <v>121.1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94.1</v>
      </c>
      <c r="E29" s="132">
        <f t="shared" si="5"/>
        <v>29.67</v>
      </c>
      <c r="F29" s="134">
        <f t="shared" si="1"/>
        <v>45.430853484855156</v>
      </c>
      <c r="G29" s="132">
        <f t="shared" si="5"/>
        <v>0</v>
      </c>
      <c r="H29" s="132">
        <f t="shared" si="5"/>
        <v>0</v>
      </c>
      <c r="I29" s="134">
        <f t="shared" si="2"/>
        <v>45.430853484855156</v>
      </c>
      <c r="J29" s="134">
        <f t="shared" si="3"/>
        <v>123.77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96.17</v>
      </c>
      <c r="E30" s="132">
        <f t="shared" si="5"/>
        <v>30.32</v>
      </c>
      <c r="F30" s="134">
        <f t="shared" si="1"/>
        <v>46.429253108987069</v>
      </c>
      <c r="G30" s="132">
        <f t="shared" si="5"/>
        <v>0</v>
      </c>
      <c r="H30" s="132">
        <f t="shared" si="5"/>
        <v>0</v>
      </c>
      <c r="I30" s="134">
        <f t="shared" si="2"/>
        <v>46.429253108987069</v>
      </c>
      <c r="J30" s="134">
        <f t="shared" si="3"/>
        <v>126.49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98.29</v>
      </c>
      <c r="E31" s="132">
        <f t="shared" si="5"/>
        <v>30.99</v>
      </c>
      <c r="F31" s="134">
        <f t="shared" si="1"/>
        <v>47.453346841092959</v>
      </c>
      <c r="G31" s="132">
        <f t="shared" si="5"/>
        <v>0</v>
      </c>
      <c r="H31" s="132">
        <f t="shared" si="5"/>
        <v>0</v>
      </c>
      <c r="I31" s="134">
        <f t="shared" si="2"/>
        <v>47.453346841092959</v>
      </c>
      <c r="J31" s="134">
        <f t="shared" si="3"/>
        <v>129.28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100.55</v>
      </c>
      <c r="E32" s="132">
        <f t="shared" si="5"/>
        <v>31.7</v>
      </c>
      <c r="F32" s="134">
        <f t="shared" si="1"/>
        <v>48.543511136560518</v>
      </c>
      <c r="G32" s="132">
        <f t="shared" si="5"/>
        <v>0</v>
      </c>
      <c r="H32" s="132">
        <f t="shared" si="5"/>
        <v>0</v>
      </c>
      <c r="I32" s="134">
        <f t="shared" si="2"/>
        <v>48.543511136560518</v>
      </c>
      <c r="J32" s="134">
        <f t="shared" si="3"/>
        <v>132.25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102.86</v>
      </c>
      <c r="E33" s="132">
        <f t="shared" si="5"/>
        <v>32.43</v>
      </c>
      <c r="F33" s="134">
        <f t="shared" si="1"/>
        <v>49.659369540002054</v>
      </c>
      <c r="G33" s="132">
        <f t="shared" si="5"/>
        <v>0</v>
      </c>
      <c r="H33" s="132">
        <f t="shared" si="5"/>
        <v>0</v>
      </c>
      <c r="I33" s="134">
        <f t="shared" si="2"/>
        <v>49.659369540002054</v>
      </c>
      <c r="J33" s="134">
        <f t="shared" si="3"/>
        <v>135.29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105.23</v>
      </c>
      <c r="E34" s="132">
        <f t="shared" si="5"/>
        <v>33.18</v>
      </c>
      <c r="F34" s="134">
        <f t="shared" ref="F34:F36" si="8">(D34+E34)/(8.76*$C$63)</f>
        <v>50.804592638271011</v>
      </c>
      <c r="G34" s="132">
        <f t="shared" si="5"/>
        <v>0</v>
      </c>
      <c r="H34" s="132">
        <f t="shared" si="5"/>
        <v>0</v>
      </c>
      <c r="I34" s="134">
        <f t="shared" si="2"/>
        <v>50.804592638271011</v>
      </c>
      <c r="J34" s="134">
        <f t="shared" si="3"/>
        <v>138.41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107.65</v>
      </c>
      <c r="E35" s="132">
        <f t="shared" si="5"/>
        <v>33.94</v>
      </c>
      <c r="F35" s="134">
        <f t="shared" si="8"/>
        <v>51.97183925766052</v>
      </c>
      <c r="G35" s="132">
        <f t="shared" si="5"/>
        <v>0</v>
      </c>
      <c r="H35" s="132">
        <f t="shared" si="5"/>
        <v>0</v>
      </c>
      <c r="I35" s="134">
        <f t="shared" si="2"/>
        <v>51.97183925766052</v>
      </c>
      <c r="J35" s="134">
        <f t="shared" si="3"/>
        <v>141.59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110.13</v>
      </c>
      <c r="E36" s="132">
        <f t="shared" si="5"/>
        <v>34.72</v>
      </c>
      <c r="F36" s="134">
        <f t="shared" si="8"/>
        <v>53.168450571877429</v>
      </c>
      <c r="G36" s="132">
        <f t="shared" si="5"/>
        <v>0</v>
      </c>
      <c r="H36" s="132">
        <f t="shared" si="5"/>
        <v>0</v>
      </c>
      <c r="I36" s="134">
        <f t="shared" si="2"/>
        <v>53.168450571877429</v>
      </c>
      <c r="J36" s="134">
        <f t="shared" si="3"/>
        <v>144.85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1165.8805905559132</v>
      </c>
      <c r="D55" s="121" t="s">
        <v>74</v>
      </c>
      <c r="H55" s="121" t="s">
        <v>9</v>
      </c>
    </row>
    <row r="56" spans="2:24">
      <c r="B56" s="85" t="s">
        <v>111</v>
      </c>
      <c r="C56" s="154">
        <v>19.691768539314772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20.54</v>
      </c>
      <c r="F13" s="134">
        <f t="shared" si="1"/>
        <v>7.539385396937262</v>
      </c>
      <c r="G13" s="132">
        <f t="shared" si="5"/>
        <v>0</v>
      </c>
      <c r="H13" s="132">
        <f t="shared" si="5"/>
        <v>0</v>
      </c>
      <c r="I13" s="134">
        <f t="shared" si="2"/>
        <v>7.539385396937262</v>
      </c>
      <c r="J13" s="134">
        <f t="shared" si="3"/>
        <v>20.54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20.99</v>
      </c>
      <c r="F14" s="134">
        <f t="shared" si="1"/>
        <v>7.704561805341438</v>
      </c>
      <c r="G14" s="132">
        <f t="shared" si="5"/>
        <v>0</v>
      </c>
      <c r="H14" s="132">
        <f t="shared" si="5"/>
        <v>0</v>
      </c>
      <c r="I14" s="134">
        <f t="shared" si="2"/>
        <v>7.704561805341438</v>
      </c>
      <c r="J14" s="134">
        <f t="shared" si="3"/>
        <v>20.99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21.49</v>
      </c>
      <c r="F15" s="134">
        <f t="shared" si="1"/>
        <v>7.8880911480127436</v>
      </c>
      <c r="G15" s="132">
        <f t="shared" si="5"/>
        <v>0</v>
      </c>
      <c r="H15" s="132">
        <f t="shared" si="5"/>
        <v>0</v>
      </c>
      <c r="I15" s="134">
        <f t="shared" si="2"/>
        <v>7.8880911480127436</v>
      </c>
      <c r="J15" s="134">
        <f t="shared" si="3"/>
        <v>21.49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22.01</v>
      </c>
      <c r="F16" s="134">
        <f t="shared" si="1"/>
        <v>8.0789616643909046</v>
      </c>
      <c r="G16" s="132">
        <f t="shared" si="5"/>
        <v>0</v>
      </c>
      <c r="H16" s="132">
        <f t="shared" si="5"/>
        <v>0</v>
      </c>
      <c r="I16" s="134">
        <f t="shared" si="2"/>
        <v>8.0789616643909046</v>
      </c>
      <c r="J16" s="134">
        <f t="shared" si="3"/>
        <v>22.01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22.54</v>
      </c>
      <c r="F17" s="134">
        <f t="shared" si="1"/>
        <v>8.273502767622487</v>
      </c>
      <c r="G17" s="132">
        <f t="shared" si="5"/>
        <v>0</v>
      </c>
      <c r="H17" s="132">
        <f t="shared" si="5"/>
        <v>0</v>
      </c>
      <c r="I17" s="134">
        <f t="shared" si="2"/>
        <v>8.273502767622487</v>
      </c>
      <c r="J17" s="134">
        <f t="shared" si="3"/>
        <v>22.54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23.08</v>
      </c>
      <c r="F18" s="134">
        <f t="shared" si="1"/>
        <v>8.4717144577074972</v>
      </c>
      <c r="G18" s="132">
        <f t="shared" si="5"/>
        <v>0</v>
      </c>
      <c r="H18" s="132">
        <f t="shared" si="5"/>
        <v>0</v>
      </c>
      <c r="I18" s="134">
        <f t="shared" si="2"/>
        <v>8.4717144577074972</v>
      </c>
      <c r="J18" s="134">
        <f t="shared" si="3"/>
        <v>23.08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23.61</v>
      </c>
      <c r="F19" s="134">
        <f t="shared" si="1"/>
        <v>8.6662555609390832</v>
      </c>
      <c r="G19" s="132">
        <f t="shared" si="5"/>
        <v>0</v>
      </c>
      <c r="H19" s="132">
        <f t="shared" si="5"/>
        <v>0</v>
      </c>
      <c r="I19" s="134">
        <f t="shared" si="2"/>
        <v>8.6662555609390832</v>
      </c>
      <c r="J19" s="134">
        <f t="shared" si="3"/>
        <v>23.61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24.15</v>
      </c>
      <c r="F20" s="134">
        <f t="shared" si="1"/>
        <v>8.8644672510240934</v>
      </c>
      <c r="G20" s="132">
        <f t="shared" si="5"/>
        <v>0</v>
      </c>
      <c r="H20" s="132">
        <f t="shared" si="5"/>
        <v>0</v>
      </c>
      <c r="I20" s="134">
        <f t="shared" si="2"/>
        <v>8.8644672510240934</v>
      </c>
      <c r="J20" s="134">
        <f t="shared" si="3"/>
        <v>24.15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24.71</v>
      </c>
      <c r="F21" s="134">
        <f t="shared" si="1"/>
        <v>9.0700201148159572</v>
      </c>
      <c r="G21" s="132">
        <f t="shared" si="5"/>
        <v>0</v>
      </c>
      <c r="H21" s="132">
        <f t="shared" si="5"/>
        <v>0</v>
      </c>
      <c r="I21" s="134">
        <f t="shared" si="2"/>
        <v>9.0700201148159572</v>
      </c>
      <c r="J21" s="134">
        <f t="shared" si="3"/>
        <v>24.71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25.3</v>
      </c>
      <c r="F22" s="134">
        <f t="shared" si="1"/>
        <v>9.2865847391680987</v>
      </c>
      <c r="G22" s="132">
        <f t="shared" si="5"/>
        <v>0</v>
      </c>
      <c r="H22" s="132">
        <f t="shared" si="5"/>
        <v>0</v>
      </c>
      <c r="I22" s="134">
        <f t="shared" si="2"/>
        <v>9.2865847391680987</v>
      </c>
      <c r="J22" s="134">
        <f t="shared" si="3"/>
        <v>25.3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25.91</v>
      </c>
      <c r="F23" s="134">
        <f t="shared" si="1"/>
        <v>9.510490537227092</v>
      </c>
      <c r="G23" s="132">
        <f t="shared" si="5"/>
        <v>0</v>
      </c>
      <c r="H23" s="132">
        <f t="shared" si="5"/>
        <v>0</v>
      </c>
      <c r="I23" s="134">
        <f t="shared" si="2"/>
        <v>9.510490537227092</v>
      </c>
      <c r="J23" s="134">
        <f t="shared" si="3"/>
        <v>25.91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26.51</v>
      </c>
      <c r="F24" s="134">
        <f t="shared" si="1"/>
        <v>9.7307257484326612</v>
      </c>
      <c r="G24" s="132">
        <f t="shared" si="5"/>
        <v>0</v>
      </c>
      <c r="H24" s="132">
        <f t="shared" si="5"/>
        <v>0</v>
      </c>
      <c r="I24" s="134">
        <f t="shared" si="2"/>
        <v>9.7307257484326612</v>
      </c>
      <c r="J24" s="134">
        <f t="shared" si="3"/>
        <v>26.51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27.12</v>
      </c>
      <c r="F25" s="134">
        <f t="shared" si="1"/>
        <v>9.9546315464916546</v>
      </c>
      <c r="G25" s="132">
        <f t="shared" si="5"/>
        <v>0</v>
      </c>
      <c r="H25" s="132">
        <f t="shared" si="5"/>
        <v>0</v>
      </c>
      <c r="I25" s="134">
        <f t="shared" si="2"/>
        <v>9.9546315464916546</v>
      </c>
      <c r="J25" s="134">
        <f t="shared" si="3"/>
        <v>27.12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27.74</v>
      </c>
      <c r="F26" s="134">
        <f t="shared" si="1"/>
        <v>10.182207931404072</v>
      </c>
      <c r="G26" s="132">
        <f t="shared" si="5"/>
        <v>0</v>
      </c>
      <c r="H26" s="132">
        <f t="shared" si="5"/>
        <v>0</v>
      </c>
      <c r="I26" s="134">
        <f t="shared" si="2"/>
        <v>10.182207931404072</v>
      </c>
      <c r="J26" s="134">
        <f t="shared" si="3"/>
        <v>27.74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28.38</v>
      </c>
      <c r="F27" s="134">
        <f t="shared" si="1"/>
        <v>10.417125490023345</v>
      </c>
      <c r="G27" s="132">
        <f t="shared" si="5"/>
        <v>0</v>
      </c>
      <c r="H27" s="132">
        <f t="shared" si="5"/>
        <v>0</v>
      </c>
      <c r="I27" s="134">
        <f t="shared" si="2"/>
        <v>10.417125490023345</v>
      </c>
      <c r="J27" s="134">
        <f t="shared" si="3"/>
        <v>28.38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29.03</v>
      </c>
      <c r="F28" s="134">
        <f t="shared" si="1"/>
        <v>10.655713635496044</v>
      </c>
      <c r="G28" s="132">
        <f t="shared" si="5"/>
        <v>0</v>
      </c>
      <c r="H28" s="132">
        <f t="shared" si="5"/>
        <v>0</v>
      </c>
      <c r="I28" s="134">
        <f t="shared" si="2"/>
        <v>10.655713635496044</v>
      </c>
      <c r="J28" s="134">
        <f t="shared" si="3"/>
        <v>29.03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29.67</v>
      </c>
      <c r="F29" s="134">
        <f t="shared" si="1"/>
        <v>43.551117156445748</v>
      </c>
      <c r="G29" s="132">
        <f t="shared" si="5"/>
        <v>0</v>
      </c>
      <c r="H29" s="132">
        <f t="shared" si="5"/>
        <v>0</v>
      </c>
      <c r="I29" s="134">
        <f t="shared" si="2"/>
        <v>43.551117156445748</v>
      </c>
      <c r="J29" s="134">
        <f t="shared" si="3"/>
        <v>118.65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90.94</v>
      </c>
      <c r="E30" s="132">
        <f t="shared" si="5"/>
        <v>30.32</v>
      </c>
      <c r="F30" s="134">
        <f t="shared" si="1"/>
        <v>44.509536184645199</v>
      </c>
      <c r="G30" s="132">
        <f t="shared" si="5"/>
        <v>0</v>
      </c>
      <c r="H30" s="132">
        <f t="shared" si="5"/>
        <v>0</v>
      </c>
      <c r="I30" s="134">
        <f t="shared" si="2"/>
        <v>44.509536184645199</v>
      </c>
      <c r="J30" s="134">
        <f t="shared" si="3"/>
        <v>121.26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92.94</v>
      </c>
      <c r="E31" s="132">
        <f t="shared" si="5"/>
        <v>30.99</v>
      </c>
      <c r="F31" s="134">
        <f t="shared" si="1"/>
        <v>45.489582874509978</v>
      </c>
      <c r="G31" s="132">
        <f t="shared" si="5"/>
        <v>0</v>
      </c>
      <c r="H31" s="132">
        <f t="shared" si="5"/>
        <v>0</v>
      </c>
      <c r="I31" s="134">
        <f t="shared" si="2"/>
        <v>45.489582874509978</v>
      </c>
      <c r="J31" s="134">
        <f t="shared" si="3"/>
        <v>123.93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95.08</v>
      </c>
      <c r="E32" s="132">
        <f t="shared" si="5"/>
        <v>31.7</v>
      </c>
      <c r="F32" s="134">
        <f t="shared" si="1"/>
        <v>46.535700127736426</v>
      </c>
      <c r="G32" s="132">
        <f t="shared" si="5"/>
        <v>0</v>
      </c>
      <c r="H32" s="132">
        <f t="shared" si="5"/>
        <v>0</v>
      </c>
      <c r="I32" s="134">
        <f t="shared" si="2"/>
        <v>46.535700127736426</v>
      </c>
      <c r="J32" s="134">
        <f t="shared" si="3"/>
        <v>126.78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97.27</v>
      </c>
      <c r="E33" s="132">
        <f t="shared" si="5"/>
        <v>32.43</v>
      </c>
      <c r="F33" s="134">
        <f t="shared" si="1"/>
        <v>47.607511488936851</v>
      </c>
      <c r="G33" s="132">
        <f t="shared" si="5"/>
        <v>0</v>
      </c>
      <c r="H33" s="132">
        <f t="shared" si="5"/>
        <v>0</v>
      </c>
      <c r="I33" s="134">
        <f t="shared" si="2"/>
        <v>47.607511488936851</v>
      </c>
      <c r="J33" s="134">
        <f t="shared" si="3"/>
        <v>129.69999999999999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99.51</v>
      </c>
      <c r="E34" s="132">
        <f t="shared" si="5"/>
        <v>33.18</v>
      </c>
      <c r="F34" s="134">
        <f t="shared" si="1"/>
        <v>48.705016958111266</v>
      </c>
      <c r="G34" s="132">
        <f t="shared" si="5"/>
        <v>0</v>
      </c>
      <c r="H34" s="132">
        <f t="shared" si="5"/>
        <v>0</v>
      </c>
      <c r="I34" s="134">
        <f t="shared" si="2"/>
        <v>48.705016958111266</v>
      </c>
      <c r="J34" s="134">
        <f t="shared" si="3"/>
        <v>132.69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101.8</v>
      </c>
      <c r="E35" s="132">
        <f t="shared" si="5"/>
        <v>33.94</v>
      </c>
      <c r="F35" s="134">
        <f t="shared" si="1"/>
        <v>49.824545948406239</v>
      </c>
      <c r="G35" s="132">
        <f t="shared" si="5"/>
        <v>0</v>
      </c>
      <c r="H35" s="132">
        <f t="shared" si="5"/>
        <v>0</v>
      </c>
      <c r="I35" s="134">
        <f t="shared" si="2"/>
        <v>49.824545948406239</v>
      </c>
      <c r="J35" s="134">
        <f t="shared" si="3"/>
        <v>135.74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104.14</v>
      </c>
      <c r="E36" s="132">
        <f t="shared" si="5"/>
        <v>34.72</v>
      </c>
      <c r="F36" s="134">
        <f t="shared" si="1"/>
        <v>50.969769046675189</v>
      </c>
      <c r="G36" s="132">
        <f t="shared" si="5"/>
        <v>0</v>
      </c>
      <c r="H36" s="132">
        <f t="shared" si="5"/>
        <v>0</v>
      </c>
      <c r="I36" s="134">
        <f t="shared" si="2"/>
        <v>50.969769046675189</v>
      </c>
      <c r="J36" s="134">
        <f t="shared" si="3"/>
        <v>138.86000000000001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1152.6274312839628</v>
      </c>
      <c r="D55" s="121" t="s">
        <v>74</v>
      </c>
      <c r="H55" s="121" t="s">
        <v>9</v>
      </c>
    </row>
    <row r="56" spans="2:24">
      <c r="B56" s="85" t="s">
        <v>111</v>
      </c>
      <c r="C56" s="154">
        <v>19.691768539314772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39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2.3E-2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0.02</v>
      </c>
      <c r="E68" s="85"/>
      <c r="F68" s="87">
        <f t="shared" si="11"/>
        <v>2028</v>
      </c>
      <c r="G68" s="41">
        <v>2.4E-2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2.4E-2</v>
      </c>
      <c r="H69" s="85"/>
      <c r="I69" s="87">
        <f t="shared" si="12"/>
        <v>2038</v>
      </c>
      <c r="J69" s="41">
        <v>2.3E-2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2.3E-2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2.3E-2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2.3E-2</v>
      </c>
    </row>
    <row r="73" spans="3:11" s="123" customFormat="1">
      <c r="C73" s="87">
        <f t="shared" si="10"/>
        <v>2024</v>
      </c>
      <c r="D73" s="41">
        <v>2.4E-2</v>
      </c>
      <c r="E73" s="86"/>
      <c r="F73" s="87">
        <f t="shared" si="11"/>
        <v>2033</v>
      </c>
      <c r="G73" s="41">
        <v>2.3E-2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2.3E-2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8.3188509507258228</v>
      </c>
      <c r="G13" s="132">
        <f t="shared" si="5"/>
        <v>0</v>
      </c>
      <c r="H13" s="132">
        <f t="shared" si="5"/>
        <v>0</v>
      </c>
      <c r="I13" s="134">
        <f t="shared" si="2"/>
        <v>8.3188509507258228</v>
      </c>
      <c r="J13" s="134">
        <f t="shared" si="3"/>
        <v>19.53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19.96</v>
      </c>
      <c r="F14" s="134">
        <f t="shared" si="1"/>
        <v>8.5020104954678661</v>
      </c>
      <c r="G14" s="132">
        <f t="shared" si="5"/>
        <v>0</v>
      </c>
      <c r="H14" s="132">
        <f t="shared" si="5"/>
        <v>0</v>
      </c>
      <c r="I14" s="134">
        <f t="shared" si="2"/>
        <v>8.5020104954678661</v>
      </c>
      <c r="J14" s="134">
        <f t="shared" si="3"/>
        <v>19.96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20.440000000000001</v>
      </c>
      <c r="F15" s="134">
        <f t="shared" si="1"/>
        <v>8.7064676616915424</v>
      </c>
      <c r="G15" s="132">
        <f t="shared" si="5"/>
        <v>0</v>
      </c>
      <c r="H15" s="132">
        <f t="shared" si="5"/>
        <v>0</v>
      </c>
      <c r="I15" s="134">
        <f t="shared" si="2"/>
        <v>8.7064676616915424</v>
      </c>
      <c r="J15" s="134">
        <f t="shared" si="3"/>
        <v>20.440000000000001</v>
      </c>
      <c r="K15" s="132">
        <f t="shared" si="6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20.93</v>
      </c>
      <c r="F16" s="134">
        <f t="shared" si="1"/>
        <v>8.9151843522115453</v>
      </c>
      <c r="G16" s="132">
        <f t="shared" si="5"/>
        <v>0</v>
      </c>
      <c r="H16" s="132">
        <f t="shared" si="5"/>
        <v>0</v>
      </c>
      <c r="I16" s="134">
        <f t="shared" si="2"/>
        <v>8.9151843522115453</v>
      </c>
      <c r="J16" s="134">
        <f t="shared" si="3"/>
        <v>20.93</v>
      </c>
      <c r="K16" s="132">
        <f t="shared" si="6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21.43</v>
      </c>
      <c r="F17" s="134">
        <f t="shared" si="1"/>
        <v>9.1281605670278747</v>
      </c>
      <c r="G17" s="132">
        <f t="shared" si="5"/>
        <v>0</v>
      </c>
      <c r="H17" s="132">
        <f t="shared" si="5"/>
        <v>0</v>
      </c>
      <c r="I17" s="134">
        <f t="shared" si="2"/>
        <v>9.1281605670278747</v>
      </c>
      <c r="J17" s="134">
        <f t="shared" si="3"/>
        <v>21.43</v>
      </c>
      <c r="K17" s="132">
        <f t="shared" si="6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21.94</v>
      </c>
      <c r="F18" s="134">
        <f t="shared" si="1"/>
        <v>9.3453963061405307</v>
      </c>
      <c r="G18" s="132">
        <f t="shared" si="5"/>
        <v>0</v>
      </c>
      <c r="H18" s="132">
        <f t="shared" si="5"/>
        <v>0</v>
      </c>
      <c r="I18" s="134">
        <f t="shared" si="2"/>
        <v>9.3453963061405307</v>
      </c>
      <c r="J18" s="134">
        <f t="shared" si="3"/>
        <v>21.94</v>
      </c>
      <c r="K18" s="132">
        <f t="shared" si="6"/>
        <v>0.73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22.44</v>
      </c>
      <c r="F19" s="134">
        <f t="shared" si="1"/>
        <v>9.5583725209568602</v>
      </c>
      <c r="G19" s="132">
        <f t="shared" si="5"/>
        <v>0</v>
      </c>
      <c r="H19" s="132">
        <f t="shared" si="5"/>
        <v>0</v>
      </c>
      <c r="I19" s="134">
        <f t="shared" si="2"/>
        <v>9.5583725209568602</v>
      </c>
      <c r="J19" s="134">
        <f t="shared" si="3"/>
        <v>22.44</v>
      </c>
      <c r="K19" s="132">
        <f t="shared" si="6"/>
        <v>0.75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22.96</v>
      </c>
      <c r="F20" s="134">
        <f t="shared" si="1"/>
        <v>9.7798677843658428</v>
      </c>
      <c r="G20" s="132">
        <f t="shared" si="5"/>
        <v>0</v>
      </c>
      <c r="H20" s="132">
        <f t="shared" si="5"/>
        <v>0</v>
      </c>
      <c r="I20" s="134">
        <f t="shared" si="2"/>
        <v>9.7798677843658428</v>
      </c>
      <c r="J20" s="134">
        <f t="shared" si="3"/>
        <v>22.96</v>
      </c>
      <c r="K20" s="132">
        <f t="shared" si="6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23.49</v>
      </c>
      <c r="F21" s="134">
        <f t="shared" si="1"/>
        <v>10.00562257207115</v>
      </c>
      <c r="G21" s="132">
        <f t="shared" si="5"/>
        <v>0</v>
      </c>
      <c r="H21" s="132">
        <f t="shared" si="5"/>
        <v>0</v>
      </c>
      <c r="I21" s="134">
        <f t="shared" si="2"/>
        <v>10.00562257207115</v>
      </c>
      <c r="J21" s="134">
        <f t="shared" si="3"/>
        <v>23.49</v>
      </c>
      <c r="K21" s="132">
        <f t="shared" si="6"/>
        <v>0.79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24.05</v>
      </c>
      <c r="F22" s="134">
        <f t="shared" si="1"/>
        <v>10.244155932665441</v>
      </c>
      <c r="G22" s="132">
        <f t="shared" si="5"/>
        <v>0</v>
      </c>
      <c r="H22" s="132">
        <f t="shared" si="5"/>
        <v>0</v>
      </c>
      <c r="I22" s="134">
        <f t="shared" si="2"/>
        <v>10.244155932665441</v>
      </c>
      <c r="J22" s="134">
        <f t="shared" si="3"/>
        <v>24.05</v>
      </c>
      <c r="K22" s="132">
        <f t="shared" si="6"/>
        <v>0.81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24.63</v>
      </c>
      <c r="F23" s="134">
        <f t="shared" si="1"/>
        <v>10.491208341852381</v>
      </c>
      <c r="G23" s="132">
        <f t="shared" si="5"/>
        <v>0</v>
      </c>
      <c r="H23" s="132">
        <f t="shared" si="5"/>
        <v>0</v>
      </c>
      <c r="I23" s="134">
        <f t="shared" si="2"/>
        <v>10.491208341852381</v>
      </c>
      <c r="J23" s="134">
        <f t="shared" si="3"/>
        <v>24.63</v>
      </c>
      <c r="K23" s="132">
        <f t="shared" si="6"/>
        <v>0.83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25.2</v>
      </c>
      <c r="F24" s="134">
        <f t="shared" si="1"/>
        <v>10.734001226742997</v>
      </c>
      <c r="G24" s="132">
        <f t="shared" si="5"/>
        <v>0</v>
      </c>
      <c r="H24" s="132">
        <f t="shared" si="5"/>
        <v>0</v>
      </c>
      <c r="I24" s="134">
        <f t="shared" si="2"/>
        <v>10.734001226742997</v>
      </c>
      <c r="J24" s="134">
        <f t="shared" si="3"/>
        <v>25.2</v>
      </c>
      <c r="K24" s="132">
        <f t="shared" si="6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25.78</v>
      </c>
      <c r="F25" s="134">
        <f t="shared" si="1"/>
        <v>10.981053635929939</v>
      </c>
      <c r="G25" s="132">
        <f t="shared" si="5"/>
        <v>0</v>
      </c>
      <c r="H25" s="132">
        <f t="shared" si="5"/>
        <v>0</v>
      </c>
      <c r="I25" s="134">
        <f t="shared" si="2"/>
        <v>10.981053635929939</v>
      </c>
      <c r="J25" s="134">
        <f t="shared" si="3"/>
        <v>25.78</v>
      </c>
      <c r="K25" s="132">
        <f t="shared" si="6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26.37</v>
      </c>
      <c r="F26" s="134">
        <f t="shared" si="1"/>
        <v>11.232365569413208</v>
      </c>
      <c r="G26" s="132">
        <f t="shared" si="5"/>
        <v>0</v>
      </c>
      <c r="H26" s="132">
        <f t="shared" si="5"/>
        <v>0</v>
      </c>
      <c r="I26" s="134">
        <f t="shared" si="2"/>
        <v>11.232365569413208</v>
      </c>
      <c r="J26" s="134">
        <f t="shared" si="3"/>
        <v>26.37</v>
      </c>
      <c r="K26" s="132">
        <f t="shared" si="6"/>
        <v>0.89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26.98</v>
      </c>
      <c r="F27" s="134">
        <f t="shared" si="1"/>
        <v>11.49219655148913</v>
      </c>
      <c r="G27" s="132">
        <f t="shared" si="5"/>
        <v>0</v>
      </c>
      <c r="H27" s="132">
        <f t="shared" si="5"/>
        <v>0</v>
      </c>
      <c r="I27" s="134">
        <f t="shared" si="2"/>
        <v>11.49219655148913</v>
      </c>
      <c r="J27" s="134">
        <f t="shared" si="3"/>
        <v>26.98</v>
      </c>
      <c r="K27" s="132">
        <f t="shared" si="6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27.6</v>
      </c>
      <c r="F28" s="134">
        <f t="shared" si="1"/>
        <v>11.756287057861378</v>
      </c>
      <c r="G28" s="132">
        <f t="shared" si="5"/>
        <v>0</v>
      </c>
      <c r="H28" s="132">
        <f t="shared" si="5"/>
        <v>0</v>
      </c>
      <c r="I28" s="134">
        <f t="shared" si="2"/>
        <v>11.756287057861378</v>
      </c>
      <c r="J28" s="134">
        <f t="shared" si="3"/>
        <v>27.6</v>
      </c>
      <c r="K28" s="132">
        <f t="shared" si="6"/>
        <v>0.93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28.21</v>
      </c>
      <c r="F29" s="134">
        <f t="shared" si="1"/>
        <v>49.142167722370637</v>
      </c>
      <c r="G29" s="132">
        <f t="shared" si="5"/>
        <v>0</v>
      </c>
      <c r="H29" s="132">
        <f t="shared" si="5"/>
        <v>0</v>
      </c>
      <c r="I29" s="134">
        <f t="shared" si="2"/>
        <v>49.142167722370637</v>
      </c>
      <c r="J29" s="134">
        <f t="shared" si="3"/>
        <v>115.37</v>
      </c>
      <c r="K29" s="132">
        <f t="shared" si="6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89.08</v>
      </c>
      <c r="E30" s="132">
        <f t="shared" si="5"/>
        <v>28.83</v>
      </c>
      <c r="F30" s="134">
        <f t="shared" si="1"/>
        <v>50.224050977986778</v>
      </c>
      <c r="G30" s="132">
        <f t="shared" si="5"/>
        <v>0</v>
      </c>
      <c r="H30" s="132">
        <f t="shared" si="5"/>
        <v>0</v>
      </c>
      <c r="I30" s="134">
        <f t="shared" si="2"/>
        <v>50.224050977986778</v>
      </c>
      <c r="J30" s="134">
        <f t="shared" si="3"/>
        <v>117.91</v>
      </c>
      <c r="K30" s="132">
        <f t="shared" si="6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91.04</v>
      </c>
      <c r="E31" s="132">
        <f t="shared" si="5"/>
        <v>29.46</v>
      </c>
      <c r="F31" s="134">
        <f t="shared" si="1"/>
        <v>51.327267770735368</v>
      </c>
      <c r="G31" s="132">
        <f t="shared" si="5"/>
        <v>0</v>
      </c>
      <c r="H31" s="132">
        <f t="shared" si="5"/>
        <v>0</v>
      </c>
      <c r="I31" s="134">
        <f t="shared" si="2"/>
        <v>51.327267770735368</v>
      </c>
      <c r="J31" s="134">
        <f t="shared" si="3"/>
        <v>120.5</v>
      </c>
      <c r="K31" s="132">
        <f t="shared" si="6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93.13</v>
      </c>
      <c r="E32" s="132">
        <f t="shared" si="5"/>
        <v>30.14</v>
      </c>
      <c r="F32" s="134">
        <f t="shared" si="1"/>
        <v>52.50715600081783</v>
      </c>
      <c r="G32" s="132">
        <f t="shared" si="5"/>
        <v>0</v>
      </c>
      <c r="H32" s="132">
        <f t="shared" si="5"/>
        <v>0</v>
      </c>
      <c r="I32" s="134">
        <f t="shared" si="2"/>
        <v>52.50715600081783</v>
      </c>
      <c r="J32" s="134">
        <f t="shared" si="3"/>
        <v>123.27</v>
      </c>
      <c r="K32" s="132">
        <f t="shared" si="6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95.27</v>
      </c>
      <c r="E33" s="132">
        <f t="shared" si="5"/>
        <v>30.83</v>
      </c>
      <c r="F33" s="134">
        <f t="shared" si="1"/>
        <v>53.712601376678251</v>
      </c>
      <c r="G33" s="132">
        <f t="shared" si="5"/>
        <v>0</v>
      </c>
      <c r="H33" s="132">
        <f t="shared" si="5"/>
        <v>0</v>
      </c>
      <c r="I33" s="134">
        <f t="shared" si="2"/>
        <v>53.712601376678251</v>
      </c>
      <c r="J33" s="134">
        <f t="shared" si="3"/>
        <v>126.1</v>
      </c>
      <c r="K33" s="132">
        <f t="shared" si="6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97.46</v>
      </c>
      <c r="E34" s="132">
        <f t="shared" si="5"/>
        <v>31.54</v>
      </c>
      <c r="F34" s="134">
        <f t="shared" si="1"/>
        <v>54.947863422612961</v>
      </c>
      <c r="G34" s="132">
        <f t="shared" si="5"/>
        <v>0</v>
      </c>
      <c r="H34" s="132">
        <f t="shared" si="5"/>
        <v>0</v>
      </c>
      <c r="I34" s="134">
        <f t="shared" si="2"/>
        <v>54.947863422612961</v>
      </c>
      <c r="J34" s="134">
        <f t="shared" si="3"/>
        <v>129</v>
      </c>
      <c r="K34" s="132">
        <f t="shared" si="6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99.7</v>
      </c>
      <c r="E35" s="132">
        <f t="shared" si="5"/>
        <v>32.270000000000003</v>
      </c>
      <c r="F35" s="134">
        <f t="shared" si="1"/>
        <v>56.212942138621962</v>
      </c>
      <c r="G35" s="132">
        <f t="shared" si="5"/>
        <v>0</v>
      </c>
      <c r="H35" s="132">
        <f t="shared" si="5"/>
        <v>0</v>
      </c>
      <c r="I35" s="134">
        <f t="shared" si="2"/>
        <v>56.212942138621962</v>
      </c>
      <c r="J35" s="134">
        <f t="shared" si="3"/>
        <v>131.97</v>
      </c>
      <c r="K35" s="132">
        <f t="shared" si="6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101.99</v>
      </c>
      <c r="E36" s="132">
        <f t="shared" si="5"/>
        <v>33.01</v>
      </c>
      <c r="F36" s="134">
        <f t="shared" si="1"/>
        <v>57.503578000408915</v>
      </c>
      <c r="G36" s="132">
        <f t="shared" si="5"/>
        <v>0</v>
      </c>
      <c r="H36" s="132">
        <f t="shared" si="5"/>
        <v>0</v>
      </c>
      <c r="I36" s="134">
        <f t="shared" si="2"/>
        <v>57.503578000408915</v>
      </c>
      <c r="J36" s="134">
        <f t="shared" si="3"/>
        <v>135</v>
      </c>
      <c r="K36" s="132">
        <f t="shared" si="6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126</v>
      </c>
      <c r="C55" s="185">
        <v>1129.0663267642597</v>
      </c>
      <c r="D55" s="121" t="s">
        <v>74</v>
      </c>
      <c r="H55" s="121" t="s">
        <v>9</v>
      </c>
    </row>
    <row r="56" spans="2:24">
      <c r="B56" s="85" t="s">
        <v>111</v>
      </c>
      <c r="C56" s="154">
        <v>18.718009285501743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39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2.3E-2</v>
      </c>
      <c r="H67" s="85"/>
      <c r="I67" s="87">
        <f t="shared" ref="I67:I74" si="10">I66+1</f>
        <v>2036</v>
      </c>
      <c r="J67" s="41">
        <v>2.1999999999999999E-2</v>
      </c>
    </row>
    <row r="68" spans="3:11">
      <c r="C68" s="87">
        <f t="shared" si="8"/>
        <v>2019</v>
      </c>
      <c r="D68" s="41">
        <v>0.02</v>
      </c>
      <c r="E68" s="85"/>
      <c r="F68" s="87">
        <f t="shared" si="9"/>
        <v>2028</v>
      </c>
      <c r="G68" s="41">
        <v>2.4E-2</v>
      </c>
      <c r="H68" s="85"/>
      <c r="I68" s="87">
        <f t="shared" si="10"/>
        <v>2037</v>
      </c>
      <c r="J68" s="41">
        <v>2.1999999999999999E-2</v>
      </c>
    </row>
    <row r="69" spans="3:11">
      <c r="C69" s="87">
        <f t="shared" si="8"/>
        <v>2020</v>
      </c>
      <c r="D69" s="41">
        <v>2.1999999999999999E-2</v>
      </c>
      <c r="E69" s="85"/>
      <c r="F69" s="87">
        <f t="shared" si="9"/>
        <v>2029</v>
      </c>
      <c r="G69" s="41">
        <v>2.4E-2</v>
      </c>
      <c r="H69" s="85"/>
      <c r="I69" s="87">
        <f t="shared" si="10"/>
        <v>2038</v>
      </c>
      <c r="J69" s="41">
        <v>2.3E-2</v>
      </c>
    </row>
    <row r="70" spans="3:11">
      <c r="C70" s="87">
        <f t="shared" si="8"/>
        <v>2021</v>
      </c>
      <c r="D70" s="41">
        <v>2.4E-2</v>
      </c>
      <c r="E70" s="85"/>
      <c r="F70" s="87">
        <f t="shared" si="9"/>
        <v>2030</v>
      </c>
      <c r="G70" s="41">
        <v>2.3E-2</v>
      </c>
      <c r="H70" s="85"/>
      <c r="I70" s="87">
        <f t="shared" si="10"/>
        <v>2039</v>
      </c>
      <c r="J70" s="41">
        <v>2.3E-2</v>
      </c>
    </row>
    <row r="71" spans="3:11">
      <c r="C71" s="87">
        <f t="shared" si="8"/>
        <v>2022</v>
      </c>
      <c r="D71" s="41">
        <v>2.4E-2</v>
      </c>
      <c r="E71" s="85"/>
      <c r="F71" s="87">
        <f t="shared" si="9"/>
        <v>2031</v>
      </c>
      <c r="G71" s="41">
        <v>2.3E-2</v>
      </c>
      <c r="H71" s="85"/>
      <c r="I71" s="87">
        <f t="shared" si="10"/>
        <v>2040</v>
      </c>
      <c r="J71" s="41">
        <v>2.3E-2</v>
      </c>
    </row>
    <row r="72" spans="3:11" s="123" customFormat="1">
      <c r="C72" s="87">
        <f t="shared" si="8"/>
        <v>2023</v>
      </c>
      <c r="D72" s="41">
        <v>2.4E-2</v>
      </c>
      <c r="E72" s="86"/>
      <c r="F72" s="87">
        <f t="shared" si="9"/>
        <v>2032</v>
      </c>
      <c r="G72" s="41">
        <v>2.3E-2</v>
      </c>
      <c r="H72" s="86"/>
      <c r="I72" s="87">
        <f t="shared" si="10"/>
        <v>2041</v>
      </c>
      <c r="J72" s="41">
        <v>2.3E-2</v>
      </c>
    </row>
    <row r="73" spans="3:11" s="123" customFormat="1">
      <c r="C73" s="87">
        <f t="shared" si="8"/>
        <v>2024</v>
      </c>
      <c r="D73" s="41">
        <v>2.4E-2</v>
      </c>
      <c r="E73" s="86"/>
      <c r="F73" s="87">
        <f t="shared" si="9"/>
        <v>2033</v>
      </c>
      <c r="G73" s="41">
        <v>2.3E-2</v>
      </c>
      <c r="H73" s="86"/>
      <c r="I73" s="87">
        <f t="shared" si="10"/>
        <v>2042</v>
      </c>
      <c r="J73" s="41">
        <v>2.3E-2</v>
      </c>
    </row>
    <row r="74" spans="3:11" s="123" customFormat="1">
      <c r="C74" s="87">
        <f t="shared" si="8"/>
        <v>2025</v>
      </c>
      <c r="D74" s="41">
        <v>2.3E-2</v>
      </c>
      <c r="E74" s="86"/>
      <c r="F74" s="87">
        <f t="shared" si="9"/>
        <v>2034</v>
      </c>
      <c r="G74" s="41">
        <v>2.3E-2</v>
      </c>
      <c r="H74" s="86"/>
      <c r="I74" s="87">
        <f t="shared" si="10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D34" sqref="D34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56" customFormat="1" ht="15.75" hidden="1">
      <c r="B1" s="1" t="s">
        <v>37</v>
      </c>
      <c r="C1" s="1"/>
      <c r="D1" s="1"/>
      <c r="E1" s="1"/>
      <c r="F1" s="1"/>
      <c r="G1" s="253"/>
      <c r="H1" s="1"/>
      <c r="I1" s="1"/>
      <c r="J1" s="1"/>
      <c r="K1" s="1"/>
      <c r="L1" s="254"/>
      <c r="M1" s="255"/>
      <c r="N1" s="255"/>
      <c r="O1" s="255"/>
      <c r="P1" s="255"/>
    </row>
    <row r="2" spans="2:16" s="256" customFormat="1" ht="5.25" customHeight="1">
      <c r="B2" s="1"/>
      <c r="C2" s="1"/>
      <c r="D2" s="1"/>
      <c r="E2" s="1"/>
      <c r="F2" s="1"/>
      <c r="G2" s="253"/>
      <c r="H2" s="1"/>
      <c r="I2" s="1"/>
      <c r="J2" s="1"/>
      <c r="K2" s="1"/>
      <c r="L2" s="254"/>
      <c r="M2" s="255"/>
      <c r="N2" s="255"/>
      <c r="O2" s="255"/>
      <c r="P2" s="255"/>
    </row>
    <row r="3" spans="2:16" s="256" customFormat="1" ht="15.75">
      <c r="B3" s="1" t="s">
        <v>165</v>
      </c>
      <c r="C3" s="1"/>
      <c r="D3" s="1"/>
      <c r="E3" s="1"/>
      <c r="F3" s="1"/>
      <c r="G3" s="253"/>
      <c r="H3" s="1"/>
      <c r="I3" s="1"/>
      <c r="J3" s="1"/>
      <c r="K3" s="1"/>
      <c r="L3" s="254"/>
      <c r="M3" s="255"/>
      <c r="N3" s="255"/>
      <c r="O3" s="255"/>
      <c r="P3" s="255"/>
    </row>
    <row r="4" spans="2:16" s="258" customFormat="1" ht="15">
      <c r="B4" s="4" t="s">
        <v>166</v>
      </c>
      <c r="C4" s="4"/>
      <c r="D4" s="4"/>
      <c r="E4" s="4"/>
      <c r="F4" s="4"/>
      <c r="G4" s="4"/>
      <c r="H4" s="4"/>
      <c r="I4" s="4"/>
      <c r="J4" s="4"/>
      <c r="K4" s="4"/>
      <c r="L4" s="4"/>
      <c r="M4" s="257"/>
      <c r="N4" s="257"/>
      <c r="O4" s="257"/>
      <c r="P4" s="257"/>
    </row>
    <row r="5" spans="2:16" s="258" customFormat="1" ht="15">
      <c r="B5" s="4" t="str">
        <f ca="1">'Table 1'!B5</f>
        <v>Kennecott Refinery Non Firm - 6.2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58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7"/>
      <c r="N6" s="257"/>
      <c r="O6" s="257"/>
      <c r="P6" s="257"/>
    </row>
    <row r="7" spans="2:16">
      <c r="D7" s="259"/>
      <c r="E7" s="259"/>
      <c r="F7" s="259"/>
      <c r="G7" s="260"/>
      <c r="H7" s="260"/>
      <c r="I7" s="260"/>
      <c r="J7" s="260"/>
      <c r="K7" s="260"/>
      <c r="L7" s="260"/>
      <c r="M7" s="261"/>
    </row>
    <row r="8" spans="2:16">
      <c r="B8" s="262"/>
      <c r="C8" s="262"/>
      <c r="D8" s="263" t="s">
        <v>167</v>
      </c>
      <c r="E8" s="264"/>
      <c r="F8" s="264"/>
      <c r="G8" s="263"/>
      <c r="H8" s="263"/>
      <c r="I8" s="265" t="s">
        <v>168</v>
      </c>
      <c r="J8" s="266"/>
      <c r="K8" s="266"/>
      <c r="L8" s="267"/>
      <c r="M8" s="268" t="s">
        <v>167</v>
      </c>
      <c r="N8" s="269"/>
      <c r="O8" s="270"/>
    </row>
    <row r="9" spans="2:16">
      <c r="B9" s="271" t="str">
        <f>'[10]Avoided Costs'!B4</f>
        <v>Year</v>
      </c>
      <c r="C9" s="271" t="str">
        <f>'[10]Avoided Costs'!C4</f>
        <v>Annual</v>
      </c>
      <c r="D9" s="272" t="str">
        <f>'[10]Avoided Costs'!D4</f>
        <v>Jan</v>
      </c>
      <c r="E9" s="273" t="str">
        <f>'[10]Avoided Costs'!E4</f>
        <v>Feb</v>
      </c>
      <c r="F9" s="273" t="str">
        <f>'[10]Avoided Costs'!F4</f>
        <v>Mar</v>
      </c>
      <c r="G9" s="273" t="str">
        <f>'[10]Avoided Costs'!G4</f>
        <v>Apr</v>
      </c>
      <c r="H9" s="274" t="str">
        <f>'[10]Avoided Costs'!H4</f>
        <v>May</v>
      </c>
      <c r="I9" s="188" t="str">
        <f>'[10]Avoided Costs'!I4</f>
        <v>Jun</v>
      </c>
      <c r="J9" s="188" t="str">
        <f>'[10]Avoided Costs'!J4</f>
        <v>Jul</v>
      </c>
      <c r="K9" s="188" t="str">
        <f>'[10]Avoided Costs'!K4</f>
        <v>Aug</v>
      </c>
      <c r="L9" s="188" t="str">
        <f>'[10]Avoided Costs'!L4</f>
        <v>Sep</v>
      </c>
      <c r="M9" s="272" t="str">
        <f>'[10]Avoided Costs'!M4</f>
        <v>Oct</v>
      </c>
      <c r="N9" s="273" t="str">
        <f>'[10]Avoided Costs'!N4</f>
        <v>Nov</v>
      </c>
      <c r="O9" s="274" t="str">
        <f>'[10]Avoided Costs'!O4</f>
        <v>Dec</v>
      </c>
    </row>
    <row r="10" spans="2:16" ht="12.75" customHeight="1">
      <c r="B10" s="252"/>
      <c r="C10" s="252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5"/>
    </row>
    <row r="11" spans="2:16" ht="12.75" customHeight="1">
      <c r="B11" s="276" t="s">
        <v>169</v>
      </c>
      <c r="C11" s="276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5"/>
    </row>
    <row r="12" spans="2:16" ht="12.75" hidden="1" customHeight="1">
      <c r="B12" s="277"/>
      <c r="C12" s="278"/>
      <c r="D12" s="8"/>
      <c r="E12" s="8"/>
      <c r="F12" s="8"/>
      <c r="G12" s="8"/>
      <c r="H12" s="13"/>
      <c r="I12" s="279"/>
      <c r="J12" s="280"/>
      <c r="K12" s="280"/>
      <c r="L12" s="281"/>
      <c r="M12" s="279"/>
      <c r="N12" s="280"/>
      <c r="O12" s="281"/>
    </row>
    <row r="13" spans="2:16" ht="12.75" customHeight="1">
      <c r="B13" s="282">
        <f>'[10]Avoided Costs'!B7</f>
        <v>2020</v>
      </c>
      <c r="C13" s="283">
        <f>'[10]Avoided Costs'!C7</f>
        <v>20.285573822302116</v>
      </c>
      <c r="D13" s="284">
        <f>'[10]Avoided Costs'!D7</f>
        <v>19.330774142365893</v>
      </c>
      <c r="E13" s="284">
        <f>'[10]Avoided Costs'!E7</f>
        <v>20.632032419347148</v>
      </c>
      <c r="F13" s="284">
        <f>'[10]Avoided Costs'!F7</f>
        <v>17.343304933504783</v>
      </c>
      <c r="G13" s="284">
        <f>'[10]Avoided Costs'!G7</f>
        <v>16.764937749169036</v>
      </c>
      <c r="H13" s="285">
        <f>'[10]Avoided Costs'!H7</f>
        <v>15.748619418809026</v>
      </c>
      <c r="I13" s="286">
        <f>'[10]Avoided Costs'!I7</f>
        <v>16.686979083160942</v>
      </c>
      <c r="J13" s="284">
        <f>'[10]Avoided Costs'!J7</f>
        <v>31.579493222507455</v>
      </c>
      <c r="K13" s="284">
        <f>'[10]Avoided Costs'!K7</f>
        <v>31.368344725826194</v>
      </c>
      <c r="L13" s="285">
        <f>'[10]Avoided Costs'!L7</f>
        <v>22.305291035200206</v>
      </c>
      <c r="M13" s="286">
        <f>'[10]Avoided Costs'!M7</f>
        <v>16.390153346365672</v>
      </c>
      <c r="N13" s="284">
        <f>'[10]Avoided Costs'!N7</f>
        <v>17.591342483832726</v>
      </c>
      <c r="O13" s="285">
        <f>'[10]Avoided Costs'!O7</f>
        <v>17.456554348132521</v>
      </c>
    </row>
    <row r="14" spans="2:16" ht="12.75" hidden="1" customHeight="1">
      <c r="B14" s="299">
        <f>'[10]Avoided Costs'!B8</f>
        <v>2021</v>
      </c>
      <c r="C14" s="287">
        <f>'[10]Avoided Costs'!C8</f>
        <v>0</v>
      </c>
      <c r="D14" s="288">
        <f>'[10]Avoided Costs'!D8</f>
        <v>0</v>
      </c>
      <c r="E14" s="288">
        <f>'[10]Avoided Costs'!E8</f>
        <v>0</v>
      </c>
      <c r="F14" s="288">
        <f>'[10]Avoided Costs'!F8</f>
        <v>0</v>
      </c>
      <c r="G14" s="288">
        <f>'[10]Avoided Costs'!G8</f>
        <v>0</v>
      </c>
      <c r="H14" s="289">
        <f>'[10]Avoided Costs'!H8</f>
        <v>0</v>
      </c>
      <c r="I14" s="290">
        <f>'[10]Avoided Costs'!I8</f>
        <v>0</v>
      </c>
      <c r="J14" s="288">
        <f>'[10]Avoided Costs'!J8</f>
        <v>0</v>
      </c>
      <c r="K14" s="288">
        <f>'[10]Avoided Costs'!K8</f>
        <v>0</v>
      </c>
      <c r="L14" s="289">
        <f>'[10]Avoided Costs'!L8</f>
        <v>0</v>
      </c>
      <c r="M14" s="290">
        <f>'[10]Avoided Costs'!M8</f>
        <v>0</v>
      </c>
      <c r="N14" s="288">
        <f>'[10]Avoided Costs'!N8</f>
        <v>0</v>
      </c>
      <c r="O14" s="289">
        <f>'[10]Avoided Costs'!O8</f>
        <v>0</v>
      </c>
    </row>
    <row r="15" spans="2:16" ht="12.75" hidden="1" customHeight="1">
      <c r="B15" s="299">
        <f>'[10]Avoided Costs'!B9</f>
        <v>2022</v>
      </c>
      <c r="C15" s="287">
        <f>'[10]Avoided Costs'!C9</f>
        <v>0</v>
      </c>
      <c r="D15" s="288">
        <f>'[10]Avoided Costs'!D9</f>
        <v>0</v>
      </c>
      <c r="E15" s="288">
        <f>'[10]Avoided Costs'!E9</f>
        <v>0</v>
      </c>
      <c r="F15" s="288">
        <f>'[10]Avoided Costs'!F9</f>
        <v>0</v>
      </c>
      <c r="G15" s="288">
        <f>'[10]Avoided Costs'!G9</f>
        <v>0</v>
      </c>
      <c r="H15" s="289">
        <f>'[10]Avoided Costs'!H9</f>
        <v>0</v>
      </c>
      <c r="I15" s="290">
        <f>'[10]Avoided Costs'!I9</f>
        <v>0</v>
      </c>
      <c r="J15" s="288">
        <f>'[10]Avoided Costs'!J9</f>
        <v>0</v>
      </c>
      <c r="K15" s="288">
        <f>'[10]Avoided Costs'!K9</f>
        <v>0</v>
      </c>
      <c r="L15" s="289">
        <f>'[10]Avoided Costs'!L9</f>
        <v>0</v>
      </c>
      <c r="M15" s="290">
        <f>'[10]Avoided Costs'!M9</f>
        <v>0</v>
      </c>
      <c r="N15" s="288">
        <f>'[10]Avoided Costs'!N9</f>
        <v>0</v>
      </c>
      <c r="O15" s="289">
        <f>'[10]Avoided Costs'!O9</f>
        <v>0</v>
      </c>
    </row>
    <row r="16" spans="2:16" ht="12.75" hidden="1" customHeight="1">
      <c r="B16" s="299">
        <f>'[10]Avoided Costs'!B10</f>
        <v>2023</v>
      </c>
      <c r="C16" s="287">
        <f>'[10]Avoided Costs'!C10</f>
        <v>0</v>
      </c>
      <c r="D16" s="288">
        <f>'[10]Avoided Costs'!D10</f>
        <v>0</v>
      </c>
      <c r="E16" s="288">
        <f>'[10]Avoided Costs'!E10</f>
        <v>0</v>
      </c>
      <c r="F16" s="288">
        <f>'[10]Avoided Costs'!F10</f>
        <v>0</v>
      </c>
      <c r="G16" s="288">
        <f>'[10]Avoided Costs'!G10</f>
        <v>0</v>
      </c>
      <c r="H16" s="289">
        <f>'[10]Avoided Costs'!H10</f>
        <v>0</v>
      </c>
      <c r="I16" s="290">
        <f>'[10]Avoided Costs'!I10</f>
        <v>0</v>
      </c>
      <c r="J16" s="288">
        <f>'[10]Avoided Costs'!J10</f>
        <v>0</v>
      </c>
      <c r="K16" s="288">
        <f>'[10]Avoided Costs'!K10</f>
        <v>0</v>
      </c>
      <c r="L16" s="289">
        <f>'[10]Avoided Costs'!L10</f>
        <v>0</v>
      </c>
      <c r="M16" s="290">
        <f>'[10]Avoided Costs'!M10</f>
        <v>0</v>
      </c>
      <c r="N16" s="288">
        <f>'[10]Avoided Costs'!N10</f>
        <v>0</v>
      </c>
      <c r="O16" s="289">
        <f>'[10]Avoided Costs'!O10</f>
        <v>0</v>
      </c>
    </row>
    <row r="17" spans="2:15" ht="12.75" hidden="1" customHeight="1">
      <c r="B17" s="299">
        <f>'[10]Avoided Costs'!B11</f>
        <v>2024</v>
      </c>
      <c r="C17" s="287">
        <f>'[10]Avoided Costs'!C11</f>
        <v>0</v>
      </c>
      <c r="D17" s="288">
        <f>'[10]Avoided Costs'!D11</f>
        <v>0</v>
      </c>
      <c r="E17" s="288">
        <f>'[10]Avoided Costs'!E11</f>
        <v>0</v>
      </c>
      <c r="F17" s="288">
        <f>'[10]Avoided Costs'!F11</f>
        <v>0</v>
      </c>
      <c r="G17" s="288">
        <f>'[10]Avoided Costs'!G11</f>
        <v>0</v>
      </c>
      <c r="H17" s="289">
        <f>'[10]Avoided Costs'!H11</f>
        <v>0</v>
      </c>
      <c r="I17" s="290">
        <f>'[10]Avoided Costs'!I11</f>
        <v>0</v>
      </c>
      <c r="J17" s="288">
        <f>'[10]Avoided Costs'!J11</f>
        <v>0</v>
      </c>
      <c r="K17" s="288">
        <f>'[10]Avoided Costs'!K11</f>
        <v>0</v>
      </c>
      <c r="L17" s="289">
        <f>'[10]Avoided Costs'!L11</f>
        <v>0</v>
      </c>
      <c r="M17" s="290">
        <f>'[10]Avoided Costs'!M11</f>
        <v>0</v>
      </c>
      <c r="N17" s="288">
        <f>'[10]Avoided Costs'!N11</f>
        <v>0</v>
      </c>
      <c r="O17" s="289">
        <f>'[10]Avoided Costs'!O11</f>
        <v>0</v>
      </c>
    </row>
    <row r="18" spans="2:15" ht="12.75" hidden="1" customHeight="1">
      <c r="B18" s="299">
        <f>'[10]Avoided Costs'!B12</f>
        <v>2025</v>
      </c>
      <c r="C18" s="287">
        <f>'[10]Avoided Costs'!C12</f>
        <v>0</v>
      </c>
      <c r="D18" s="288">
        <f>'[10]Avoided Costs'!D12</f>
        <v>0</v>
      </c>
      <c r="E18" s="288">
        <f>'[10]Avoided Costs'!E12</f>
        <v>0</v>
      </c>
      <c r="F18" s="288">
        <f>'[10]Avoided Costs'!F12</f>
        <v>0</v>
      </c>
      <c r="G18" s="288">
        <f>'[10]Avoided Costs'!G12</f>
        <v>0</v>
      </c>
      <c r="H18" s="289">
        <f>'[10]Avoided Costs'!H12</f>
        <v>0</v>
      </c>
      <c r="I18" s="290">
        <f>'[10]Avoided Costs'!I12</f>
        <v>0</v>
      </c>
      <c r="J18" s="288">
        <f>'[10]Avoided Costs'!J12</f>
        <v>0</v>
      </c>
      <c r="K18" s="288">
        <f>'[10]Avoided Costs'!K12</f>
        <v>0</v>
      </c>
      <c r="L18" s="289">
        <f>'[10]Avoided Costs'!L12</f>
        <v>0</v>
      </c>
      <c r="M18" s="290">
        <f>'[10]Avoided Costs'!M12</f>
        <v>0</v>
      </c>
      <c r="N18" s="288">
        <f>'[10]Avoided Costs'!N12</f>
        <v>0</v>
      </c>
      <c r="O18" s="289">
        <f>'[10]Avoided Costs'!O12</f>
        <v>0</v>
      </c>
    </row>
    <row r="19" spans="2:15" ht="12.75" hidden="1" customHeight="1">
      <c r="B19" s="299">
        <f>'[10]Avoided Costs'!B13</f>
        <v>2026</v>
      </c>
      <c r="C19" s="287">
        <f>'[10]Avoided Costs'!C13</f>
        <v>0</v>
      </c>
      <c r="D19" s="288">
        <f>'[10]Avoided Costs'!D13</f>
        <v>0</v>
      </c>
      <c r="E19" s="288">
        <f>'[10]Avoided Costs'!E13</f>
        <v>0</v>
      </c>
      <c r="F19" s="288">
        <f>'[10]Avoided Costs'!F13</f>
        <v>0</v>
      </c>
      <c r="G19" s="288">
        <f>'[10]Avoided Costs'!G13</f>
        <v>0</v>
      </c>
      <c r="H19" s="289">
        <f>'[10]Avoided Costs'!H13</f>
        <v>0</v>
      </c>
      <c r="I19" s="290">
        <f>'[10]Avoided Costs'!I13</f>
        <v>0</v>
      </c>
      <c r="J19" s="288">
        <f>'[10]Avoided Costs'!J13</f>
        <v>0</v>
      </c>
      <c r="K19" s="288">
        <f>'[10]Avoided Costs'!K13</f>
        <v>0</v>
      </c>
      <c r="L19" s="289">
        <f>'[10]Avoided Costs'!L13</f>
        <v>0</v>
      </c>
      <c r="M19" s="290">
        <f>'[10]Avoided Costs'!M13</f>
        <v>0</v>
      </c>
      <c r="N19" s="288">
        <f>'[10]Avoided Costs'!N13</f>
        <v>0</v>
      </c>
      <c r="O19" s="289">
        <f>'[10]Avoided Costs'!O13</f>
        <v>0</v>
      </c>
    </row>
    <row r="20" spans="2:15" ht="12.75" hidden="1" customHeight="1">
      <c r="B20" s="299">
        <f>'[10]Avoided Costs'!B14</f>
        <v>2027</v>
      </c>
      <c r="C20" s="287">
        <f>'[10]Avoided Costs'!C14</f>
        <v>0</v>
      </c>
      <c r="D20" s="288">
        <f>'[10]Avoided Costs'!D14</f>
        <v>0</v>
      </c>
      <c r="E20" s="288">
        <f>'[10]Avoided Costs'!E14</f>
        <v>0</v>
      </c>
      <c r="F20" s="288">
        <f>'[10]Avoided Costs'!F14</f>
        <v>0</v>
      </c>
      <c r="G20" s="288">
        <f>'[10]Avoided Costs'!G14</f>
        <v>0</v>
      </c>
      <c r="H20" s="289">
        <f>'[10]Avoided Costs'!H14</f>
        <v>0</v>
      </c>
      <c r="I20" s="290">
        <f>'[10]Avoided Costs'!I14</f>
        <v>0</v>
      </c>
      <c r="J20" s="288">
        <f>'[10]Avoided Costs'!J14</f>
        <v>0</v>
      </c>
      <c r="K20" s="288">
        <f>'[10]Avoided Costs'!K14</f>
        <v>0</v>
      </c>
      <c r="L20" s="289">
        <f>'[10]Avoided Costs'!L14</f>
        <v>0</v>
      </c>
      <c r="M20" s="290">
        <f>'[10]Avoided Costs'!M14</f>
        <v>0</v>
      </c>
      <c r="N20" s="288">
        <f>'[10]Avoided Costs'!N14</f>
        <v>0</v>
      </c>
      <c r="O20" s="289">
        <f>'[10]Avoided Costs'!O14</f>
        <v>0</v>
      </c>
    </row>
    <row r="21" spans="2:15" ht="12.75" hidden="1" customHeight="1">
      <c r="B21" s="299">
        <f>'[10]Avoided Costs'!B15</f>
        <v>2028</v>
      </c>
      <c r="C21" s="287">
        <f>'[10]Avoided Costs'!C15</f>
        <v>0</v>
      </c>
      <c r="D21" s="288">
        <f>'[10]Avoided Costs'!D15</f>
        <v>0</v>
      </c>
      <c r="E21" s="288">
        <f>'[10]Avoided Costs'!E15</f>
        <v>0</v>
      </c>
      <c r="F21" s="288">
        <f>'[10]Avoided Costs'!F15</f>
        <v>0</v>
      </c>
      <c r="G21" s="288">
        <f>'[10]Avoided Costs'!G15</f>
        <v>0</v>
      </c>
      <c r="H21" s="289">
        <f>'[10]Avoided Costs'!H15</f>
        <v>0</v>
      </c>
      <c r="I21" s="290">
        <f>'[10]Avoided Costs'!I15</f>
        <v>0</v>
      </c>
      <c r="J21" s="288">
        <f>'[10]Avoided Costs'!J15</f>
        <v>0</v>
      </c>
      <c r="K21" s="288">
        <f>'[10]Avoided Costs'!K15</f>
        <v>0</v>
      </c>
      <c r="L21" s="289">
        <f>'[10]Avoided Costs'!L15</f>
        <v>0</v>
      </c>
      <c r="M21" s="290">
        <f>'[10]Avoided Costs'!M15</f>
        <v>0</v>
      </c>
      <c r="N21" s="288">
        <f>'[10]Avoided Costs'!N15</f>
        <v>0</v>
      </c>
      <c r="O21" s="289">
        <f>'[10]Avoided Costs'!O15</f>
        <v>0</v>
      </c>
    </row>
    <row r="22" spans="2:15" ht="12.75" hidden="1" customHeight="1">
      <c r="B22" s="299">
        <f>'[10]Avoided Costs'!B16</f>
        <v>2029</v>
      </c>
      <c r="C22" s="287">
        <f>'[10]Avoided Costs'!C16</f>
        <v>0</v>
      </c>
      <c r="D22" s="288">
        <f>'[10]Avoided Costs'!D16</f>
        <v>0</v>
      </c>
      <c r="E22" s="288">
        <f>'[10]Avoided Costs'!E16</f>
        <v>0</v>
      </c>
      <c r="F22" s="288">
        <f>'[10]Avoided Costs'!F16</f>
        <v>0</v>
      </c>
      <c r="G22" s="288">
        <f>'[10]Avoided Costs'!G16</f>
        <v>0</v>
      </c>
      <c r="H22" s="289">
        <f>'[10]Avoided Costs'!H16</f>
        <v>0</v>
      </c>
      <c r="I22" s="290">
        <f>'[10]Avoided Costs'!I16</f>
        <v>0</v>
      </c>
      <c r="J22" s="288">
        <f>'[10]Avoided Costs'!J16</f>
        <v>0</v>
      </c>
      <c r="K22" s="288">
        <f>'[10]Avoided Costs'!K16</f>
        <v>0</v>
      </c>
      <c r="L22" s="289">
        <f>'[10]Avoided Costs'!L16</f>
        <v>0</v>
      </c>
      <c r="M22" s="290">
        <f>'[10]Avoided Costs'!M16</f>
        <v>0</v>
      </c>
      <c r="N22" s="288">
        <f>'[10]Avoided Costs'!N16</f>
        <v>0</v>
      </c>
      <c r="O22" s="289">
        <f>'[10]Avoided Costs'!O16</f>
        <v>0</v>
      </c>
    </row>
    <row r="23" spans="2:15" ht="12.75" hidden="1" customHeight="1">
      <c r="B23" s="299">
        <f>'[10]Avoided Costs'!B17</f>
        <v>0</v>
      </c>
      <c r="C23" s="287">
        <f>'[10]Avoided Costs'!C17</f>
        <v>0</v>
      </c>
      <c r="D23" s="288">
        <f>'[10]Avoided Costs'!D17</f>
        <v>0</v>
      </c>
      <c r="E23" s="288">
        <f>'[10]Avoided Costs'!E17</f>
        <v>0</v>
      </c>
      <c r="F23" s="288">
        <f>'[10]Avoided Costs'!F17</f>
        <v>0</v>
      </c>
      <c r="G23" s="288">
        <f>'[10]Avoided Costs'!G17</f>
        <v>0</v>
      </c>
      <c r="H23" s="289">
        <f>'[10]Avoided Costs'!H17</f>
        <v>0</v>
      </c>
      <c r="I23" s="290">
        <f>'[10]Avoided Costs'!I17</f>
        <v>0</v>
      </c>
      <c r="J23" s="288">
        <f>'[10]Avoided Costs'!J17</f>
        <v>0</v>
      </c>
      <c r="K23" s="288">
        <f>'[10]Avoided Costs'!K17</f>
        <v>0</v>
      </c>
      <c r="L23" s="289">
        <f>'[10]Avoided Costs'!L17</f>
        <v>0</v>
      </c>
      <c r="M23" s="290">
        <f>'[10]Avoided Costs'!M17</f>
        <v>0</v>
      </c>
      <c r="N23" s="288">
        <f>'[10]Avoided Costs'!N17</f>
        <v>0</v>
      </c>
      <c r="O23" s="289">
        <f>'[10]Avoided Costs'!O17</f>
        <v>0</v>
      </c>
    </row>
    <row r="24" spans="2:15" ht="12.75" hidden="1" customHeight="1">
      <c r="B24" s="299">
        <f>'[10]Avoided Costs'!B18</f>
        <v>0</v>
      </c>
      <c r="C24" s="287">
        <f>'[10]Avoided Costs'!C18</f>
        <v>0</v>
      </c>
      <c r="D24" s="288">
        <f>'[10]Avoided Costs'!D18</f>
        <v>0</v>
      </c>
      <c r="E24" s="288">
        <f>'[10]Avoided Costs'!E18</f>
        <v>0</v>
      </c>
      <c r="F24" s="288">
        <f>'[10]Avoided Costs'!F18</f>
        <v>0</v>
      </c>
      <c r="G24" s="288">
        <f>'[10]Avoided Costs'!G18</f>
        <v>0</v>
      </c>
      <c r="H24" s="289">
        <f>'[10]Avoided Costs'!H18</f>
        <v>0</v>
      </c>
      <c r="I24" s="290">
        <f>'[10]Avoided Costs'!I18</f>
        <v>0</v>
      </c>
      <c r="J24" s="288">
        <f>'[10]Avoided Costs'!J18</f>
        <v>0</v>
      </c>
      <c r="K24" s="288">
        <f>'[10]Avoided Costs'!K18</f>
        <v>0</v>
      </c>
      <c r="L24" s="289">
        <f>'[10]Avoided Costs'!L18</f>
        <v>0</v>
      </c>
      <c r="M24" s="290">
        <f>'[10]Avoided Costs'!M18</f>
        <v>0</v>
      </c>
      <c r="N24" s="288">
        <f>'[10]Avoided Costs'!N18</f>
        <v>0</v>
      </c>
      <c r="O24" s="289">
        <f>'[10]Avoided Costs'!O18</f>
        <v>0</v>
      </c>
    </row>
    <row r="25" spans="2:15" ht="12.75" hidden="1" customHeight="1">
      <c r="B25" s="299">
        <f>'[10]Avoided Costs'!B19</f>
        <v>0</v>
      </c>
      <c r="C25" s="287">
        <f>'[10]Avoided Costs'!C19</f>
        <v>0</v>
      </c>
      <c r="D25" s="288">
        <f>'[10]Avoided Costs'!D19</f>
        <v>0</v>
      </c>
      <c r="E25" s="288">
        <f>'[10]Avoided Costs'!E19</f>
        <v>0</v>
      </c>
      <c r="F25" s="288">
        <f>'[10]Avoided Costs'!F19</f>
        <v>0</v>
      </c>
      <c r="G25" s="288">
        <f>'[10]Avoided Costs'!G19</f>
        <v>0</v>
      </c>
      <c r="H25" s="289">
        <f>'[10]Avoided Costs'!H19</f>
        <v>0</v>
      </c>
      <c r="I25" s="290">
        <f>'[10]Avoided Costs'!I19</f>
        <v>0</v>
      </c>
      <c r="J25" s="288">
        <f>'[10]Avoided Costs'!J19</f>
        <v>0</v>
      </c>
      <c r="K25" s="288">
        <f>'[10]Avoided Costs'!K19</f>
        <v>0</v>
      </c>
      <c r="L25" s="289">
        <f>'[10]Avoided Costs'!L19</f>
        <v>0</v>
      </c>
      <c r="M25" s="290">
        <f>'[10]Avoided Costs'!M19</f>
        <v>0</v>
      </c>
      <c r="N25" s="288">
        <f>'[10]Avoided Costs'!N19</f>
        <v>0</v>
      </c>
      <c r="O25" s="289">
        <f>'[10]Avoided Costs'!O19</f>
        <v>0</v>
      </c>
    </row>
    <row r="26" spans="2:15" ht="12.75" hidden="1" customHeight="1">
      <c r="B26" s="299">
        <f>'[10]Avoided Costs'!B20</f>
        <v>0</v>
      </c>
      <c r="C26" s="287">
        <f>'[10]Avoided Costs'!C20</f>
        <v>0</v>
      </c>
      <c r="D26" s="288">
        <f>'[10]Avoided Costs'!D20</f>
        <v>0</v>
      </c>
      <c r="E26" s="288">
        <f>'[10]Avoided Costs'!E20</f>
        <v>0</v>
      </c>
      <c r="F26" s="288">
        <f>'[10]Avoided Costs'!F20</f>
        <v>0</v>
      </c>
      <c r="G26" s="288">
        <f>'[10]Avoided Costs'!G20</f>
        <v>0</v>
      </c>
      <c r="H26" s="289">
        <f>'[10]Avoided Costs'!H20</f>
        <v>0</v>
      </c>
      <c r="I26" s="290">
        <f>'[10]Avoided Costs'!I20</f>
        <v>0</v>
      </c>
      <c r="J26" s="288">
        <f>'[10]Avoided Costs'!J20</f>
        <v>0</v>
      </c>
      <c r="K26" s="288">
        <f>'[10]Avoided Costs'!K20</f>
        <v>0</v>
      </c>
      <c r="L26" s="289">
        <f>'[10]Avoided Costs'!L20</f>
        <v>0</v>
      </c>
      <c r="M26" s="290">
        <f>'[10]Avoided Costs'!M20</f>
        <v>0</v>
      </c>
      <c r="N26" s="288">
        <f>'[10]Avoided Costs'!N20</f>
        <v>0</v>
      </c>
      <c r="O26" s="289">
        <f>'[10]Avoided Costs'!O20</f>
        <v>0</v>
      </c>
    </row>
    <row r="27" spans="2:15" ht="12.75" hidden="1" customHeight="1">
      <c r="B27" s="299">
        <f>'[10]Avoided Costs'!B21</f>
        <v>0</v>
      </c>
      <c r="C27" s="287">
        <f>'[10]Avoided Costs'!C21</f>
        <v>0</v>
      </c>
      <c r="D27" s="288">
        <f>'[10]Avoided Costs'!D21</f>
        <v>0</v>
      </c>
      <c r="E27" s="288">
        <f>'[10]Avoided Costs'!E21</f>
        <v>0</v>
      </c>
      <c r="F27" s="288">
        <f>'[10]Avoided Costs'!F21</f>
        <v>0</v>
      </c>
      <c r="G27" s="288">
        <f>'[10]Avoided Costs'!G21</f>
        <v>0</v>
      </c>
      <c r="H27" s="289">
        <f>'[10]Avoided Costs'!H21</f>
        <v>0</v>
      </c>
      <c r="I27" s="290">
        <f>'[10]Avoided Costs'!I21</f>
        <v>0</v>
      </c>
      <c r="J27" s="288">
        <f>'[10]Avoided Costs'!J21</f>
        <v>0</v>
      </c>
      <c r="K27" s="288">
        <f>'[10]Avoided Costs'!K21</f>
        <v>0</v>
      </c>
      <c r="L27" s="289">
        <f>'[10]Avoided Costs'!L21</f>
        <v>0</v>
      </c>
      <c r="M27" s="290">
        <f>'[10]Avoided Costs'!M21</f>
        <v>0</v>
      </c>
      <c r="N27" s="288">
        <f>'[10]Avoided Costs'!N21</f>
        <v>0</v>
      </c>
      <c r="O27" s="289">
        <f>'[10]Avoided Costs'!O21</f>
        <v>0</v>
      </c>
    </row>
    <row r="28" spans="2:15" ht="12.75" hidden="1" customHeight="1">
      <c r="B28" s="299">
        <f>'[10]Avoided Costs'!B22</f>
        <v>0</v>
      </c>
      <c r="C28" s="287">
        <f>'[10]Avoided Costs'!C22</f>
        <v>0</v>
      </c>
      <c r="D28" s="288">
        <f>'[10]Avoided Costs'!D22</f>
        <v>0</v>
      </c>
      <c r="E28" s="288">
        <f>'[10]Avoided Costs'!E22</f>
        <v>0</v>
      </c>
      <c r="F28" s="288">
        <f>'[10]Avoided Costs'!F22</f>
        <v>0</v>
      </c>
      <c r="G28" s="288">
        <f>'[10]Avoided Costs'!G22</f>
        <v>0</v>
      </c>
      <c r="H28" s="289">
        <f>'[10]Avoided Costs'!H22</f>
        <v>0</v>
      </c>
      <c r="I28" s="290">
        <f>'[10]Avoided Costs'!I22</f>
        <v>0</v>
      </c>
      <c r="J28" s="288">
        <f>'[10]Avoided Costs'!J22</f>
        <v>0</v>
      </c>
      <c r="K28" s="288">
        <f>'[10]Avoided Costs'!K22</f>
        <v>0</v>
      </c>
      <c r="L28" s="289">
        <f>'[10]Avoided Costs'!L22</f>
        <v>0</v>
      </c>
      <c r="M28" s="290">
        <f>'[10]Avoided Costs'!M22</f>
        <v>0</v>
      </c>
      <c r="N28" s="288">
        <f>'[10]Avoided Costs'!N22</f>
        <v>0</v>
      </c>
      <c r="O28" s="289">
        <f>'[10]Avoided Costs'!O22</f>
        <v>0</v>
      </c>
    </row>
    <row r="29" spans="2:15" ht="12.75" hidden="1" customHeight="1">
      <c r="B29" s="299">
        <f>'[10]Avoided Costs'!B23</f>
        <v>0</v>
      </c>
      <c r="C29" s="287">
        <f>'[10]Avoided Costs'!C23</f>
        <v>0</v>
      </c>
      <c r="D29" s="288">
        <f>'[10]Avoided Costs'!D23</f>
        <v>0</v>
      </c>
      <c r="E29" s="288">
        <f>'[10]Avoided Costs'!E23</f>
        <v>0</v>
      </c>
      <c r="F29" s="288">
        <f>'[10]Avoided Costs'!F23</f>
        <v>0</v>
      </c>
      <c r="G29" s="288">
        <f>'[10]Avoided Costs'!G23</f>
        <v>0</v>
      </c>
      <c r="H29" s="289">
        <f>'[10]Avoided Costs'!H23</f>
        <v>0</v>
      </c>
      <c r="I29" s="290">
        <f>'[10]Avoided Costs'!I23</f>
        <v>0</v>
      </c>
      <c r="J29" s="288">
        <f>'[10]Avoided Costs'!J23</f>
        <v>0</v>
      </c>
      <c r="K29" s="288">
        <f>'[10]Avoided Costs'!K23</f>
        <v>0</v>
      </c>
      <c r="L29" s="289">
        <f>'[10]Avoided Costs'!L23</f>
        <v>0</v>
      </c>
      <c r="M29" s="290">
        <f>'[10]Avoided Costs'!M23</f>
        <v>0</v>
      </c>
      <c r="N29" s="288">
        <f>'[10]Avoided Costs'!N23</f>
        <v>0</v>
      </c>
      <c r="O29" s="289">
        <f>'[10]Avoided Costs'!O23</f>
        <v>0</v>
      </c>
    </row>
    <row r="30" spans="2:15" ht="12.75" hidden="1" customHeight="1">
      <c r="B30" s="300">
        <f>'[10]Avoided Costs'!B24</f>
        <v>0</v>
      </c>
      <c r="C30" s="292">
        <f>'[10]Avoided Costs'!C24</f>
        <v>0</v>
      </c>
      <c r="D30" s="293">
        <f>'[10]Avoided Costs'!D24</f>
        <v>0</v>
      </c>
      <c r="E30" s="293">
        <f>'[10]Avoided Costs'!E24</f>
        <v>0</v>
      </c>
      <c r="F30" s="293">
        <f>'[10]Avoided Costs'!F24</f>
        <v>0</v>
      </c>
      <c r="G30" s="293">
        <f>'[10]Avoided Costs'!G24</f>
        <v>0</v>
      </c>
      <c r="H30" s="294">
        <f>'[10]Avoided Costs'!H24</f>
        <v>0</v>
      </c>
      <c r="I30" s="295">
        <f>'[10]Avoided Costs'!I24</f>
        <v>0</v>
      </c>
      <c r="J30" s="293">
        <f>'[10]Avoided Costs'!J24</f>
        <v>0</v>
      </c>
      <c r="K30" s="293">
        <f>'[10]Avoided Costs'!K24</f>
        <v>0</v>
      </c>
      <c r="L30" s="294">
        <f>'[10]Avoided Costs'!L24</f>
        <v>0</v>
      </c>
      <c r="M30" s="295">
        <f>'[10]Avoided Costs'!M24</f>
        <v>0</v>
      </c>
      <c r="N30" s="293">
        <f>'[10]Avoided Costs'!N24</f>
        <v>0</v>
      </c>
      <c r="O30" s="294">
        <f>'[10]Avoided Costs'!O24</f>
        <v>0</v>
      </c>
    </row>
    <row r="31" spans="2:15" ht="12.75" hidden="1" customHeight="1">
      <c r="B31" s="15"/>
      <c r="C31" s="287"/>
      <c r="D31" s="288"/>
      <c r="E31" s="288"/>
      <c r="F31" s="288"/>
      <c r="G31" s="288"/>
      <c r="H31" s="289"/>
      <c r="I31" s="290"/>
      <c r="J31" s="288"/>
      <c r="K31" s="288"/>
      <c r="L31" s="289"/>
      <c r="M31" s="290"/>
      <c r="N31" s="288"/>
      <c r="O31" s="289"/>
    </row>
    <row r="32" spans="2:15" ht="12.75" hidden="1" customHeight="1">
      <c r="B32" s="291"/>
      <c r="C32" s="292"/>
      <c r="D32" s="293"/>
      <c r="E32" s="293"/>
      <c r="F32" s="293"/>
      <c r="G32" s="293"/>
      <c r="H32" s="294"/>
      <c r="I32" s="295"/>
      <c r="J32" s="293"/>
      <c r="K32" s="293"/>
      <c r="L32" s="294"/>
      <c r="M32" s="295"/>
      <c r="N32" s="293"/>
      <c r="O32" s="294"/>
    </row>
    <row r="33" spans="2:16" ht="12.75" customHeight="1">
      <c r="D33" s="10"/>
      <c r="E33" s="10"/>
      <c r="F33" s="10"/>
      <c r="M33" s="296"/>
    </row>
    <row r="34" spans="2:16">
      <c r="B34" s="297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8" spans="2:16" hidden="1">
      <c r="C38" s="298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98"/>
    </row>
    <row r="40" spans="2:16">
      <c r="C40" s="298"/>
    </row>
    <row r="41" spans="2:16">
      <c r="C41" s="298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26.54</v>
      </c>
      <c r="F24" s="134">
        <f t="shared" si="1"/>
        <v>47.709597363482111</v>
      </c>
      <c r="G24" s="132">
        <f t="shared" si="4"/>
        <v>0</v>
      </c>
      <c r="H24" s="132">
        <f t="shared" si="4"/>
        <v>0</v>
      </c>
      <c r="I24" s="134">
        <f t="shared" si="2"/>
        <v>47.709597363482111</v>
      </c>
      <c r="J24" s="134">
        <f t="shared" si="3"/>
        <v>120.37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95.98</v>
      </c>
      <c r="E25" s="132">
        <f t="shared" si="4"/>
        <v>27.15</v>
      </c>
      <c r="F25" s="134">
        <f t="shared" si="1"/>
        <v>48.805333587011674</v>
      </c>
      <c r="G25" s="132">
        <f t="shared" si="4"/>
        <v>0</v>
      </c>
      <c r="H25" s="132">
        <f t="shared" si="4"/>
        <v>0</v>
      </c>
      <c r="I25" s="134">
        <f t="shared" si="2"/>
        <v>48.805333587011674</v>
      </c>
      <c r="J25" s="134">
        <f t="shared" si="3"/>
        <v>123.13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98.19</v>
      </c>
      <c r="E26" s="132">
        <f t="shared" si="4"/>
        <v>27.77</v>
      </c>
      <c r="F26" s="134">
        <f t="shared" si="1"/>
        <v>49.927067478437344</v>
      </c>
      <c r="G26" s="132">
        <f t="shared" si="4"/>
        <v>0</v>
      </c>
      <c r="H26" s="132">
        <f t="shared" si="4"/>
        <v>0</v>
      </c>
      <c r="I26" s="134">
        <f t="shared" si="2"/>
        <v>49.927067478437344</v>
      </c>
      <c r="J26" s="134">
        <f t="shared" si="3"/>
        <v>125.96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100.45</v>
      </c>
      <c r="E27" s="132">
        <f t="shared" si="4"/>
        <v>28.41</v>
      </c>
      <c r="F27" s="134">
        <f t="shared" si="1"/>
        <v>51.076547437848816</v>
      </c>
      <c r="G27" s="132">
        <f t="shared" si="4"/>
        <v>0</v>
      </c>
      <c r="H27" s="132">
        <f t="shared" si="4"/>
        <v>0</v>
      </c>
      <c r="I27" s="134">
        <f t="shared" si="2"/>
        <v>51.076547437848816</v>
      </c>
      <c r="J27" s="134">
        <f t="shared" si="3"/>
        <v>128.86000000000001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102.76</v>
      </c>
      <c r="E28" s="132">
        <f t="shared" si="4"/>
        <v>29.06</v>
      </c>
      <c r="F28" s="134">
        <f t="shared" si="1"/>
        <v>52.2498097412481</v>
      </c>
      <c r="G28" s="132">
        <f t="shared" si="4"/>
        <v>0</v>
      </c>
      <c r="H28" s="132">
        <f t="shared" si="4"/>
        <v>0</v>
      </c>
      <c r="I28" s="134">
        <f t="shared" si="2"/>
        <v>52.2498097412481</v>
      </c>
      <c r="J28" s="134">
        <f t="shared" si="3"/>
        <v>131.82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105.02</v>
      </c>
      <c r="E29" s="132">
        <f t="shared" si="4"/>
        <v>29.7</v>
      </c>
      <c r="F29" s="134">
        <f t="shared" si="1"/>
        <v>53.399289700659565</v>
      </c>
      <c r="G29" s="132">
        <f t="shared" si="4"/>
        <v>0</v>
      </c>
      <c r="H29" s="132">
        <f t="shared" si="4"/>
        <v>0</v>
      </c>
      <c r="I29" s="134">
        <f t="shared" si="2"/>
        <v>53.399289700659565</v>
      </c>
      <c r="J29" s="134">
        <f t="shared" si="3"/>
        <v>134.72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107.33</v>
      </c>
      <c r="E30" s="132">
        <f t="shared" si="4"/>
        <v>30.35</v>
      </c>
      <c r="F30" s="134">
        <f t="shared" si="1"/>
        <v>54.572552004058863</v>
      </c>
      <c r="G30" s="132">
        <f t="shared" si="4"/>
        <v>0</v>
      </c>
      <c r="H30" s="132">
        <f t="shared" si="4"/>
        <v>0</v>
      </c>
      <c r="I30" s="134">
        <f t="shared" si="2"/>
        <v>54.572552004058863</v>
      </c>
      <c r="J30" s="134">
        <f t="shared" si="3"/>
        <v>137.68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109.69</v>
      </c>
      <c r="E31" s="132">
        <f t="shared" si="4"/>
        <v>31.02</v>
      </c>
      <c r="F31" s="134">
        <f t="shared" si="1"/>
        <v>55.773560375443942</v>
      </c>
      <c r="G31" s="132">
        <f t="shared" si="4"/>
        <v>0</v>
      </c>
      <c r="H31" s="132">
        <f t="shared" si="4"/>
        <v>0</v>
      </c>
      <c r="I31" s="134">
        <f t="shared" si="2"/>
        <v>55.773560375443942</v>
      </c>
      <c r="J31" s="134">
        <f t="shared" si="3"/>
        <v>140.71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112.21</v>
      </c>
      <c r="E32" s="132">
        <f t="shared" si="4"/>
        <v>31.73</v>
      </c>
      <c r="F32" s="134">
        <f t="shared" si="1"/>
        <v>57.053843226788437</v>
      </c>
      <c r="G32" s="132">
        <f t="shared" si="4"/>
        <v>0</v>
      </c>
      <c r="H32" s="132">
        <f t="shared" si="4"/>
        <v>0</v>
      </c>
      <c r="I32" s="134">
        <f t="shared" si="2"/>
        <v>57.053843226788437</v>
      </c>
      <c r="J32" s="134">
        <f t="shared" si="3"/>
        <v>143.94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114.79</v>
      </c>
      <c r="E33" s="132">
        <f t="shared" si="4"/>
        <v>32.46</v>
      </c>
      <c r="F33" s="134">
        <f t="shared" si="1"/>
        <v>58.365835870116697</v>
      </c>
      <c r="G33" s="132">
        <f t="shared" si="4"/>
        <v>0</v>
      </c>
      <c r="H33" s="132">
        <f t="shared" si="4"/>
        <v>0</v>
      </c>
      <c r="I33" s="134">
        <f t="shared" si="2"/>
        <v>58.365835870116697</v>
      </c>
      <c r="J33" s="134">
        <f t="shared" si="3"/>
        <v>147.25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117.43</v>
      </c>
      <c r="E34" s="132">
        <f t="shared" si="4"/>
        <v>33.21</v>
      </c>
      <c r="F34" s="134">
        <f t="shared" si="1"/>
        <v>59.70953830542873</v>
      </c>
      <c r="G34" s="132">
        <f t="shared" si="4"/>
        <v>0</v>
      </c>
      <c r="H34" s="132">
        <f t="shared" si="4"/>
        <v>0</v>
      </c>
      <c r="I34" s="134">
        <f t="shared" si="2"/>
        <v>59.70953830542873</v>
      </c>
      <c r="J34" s="134">
        <f t="shared" si="3"/>
        <v>150.63999999999999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120.13</v>
      </c>
      <c r="E35" s="132">
        <f t="shared" si="4"/>
        <v>33.97</v>
      </c>
      <c r="F35" s="134">
        <f t="shared" si="1"/>
        <v>61.080986808726536</v>
      </c>
      <c r="G35" s="132">
        <f t="shared" si="4"/>
        <v>0</v>
      </c>
      <c r="H35" s="132">
        <f t="shared" si="4"/>
        <v>0</v>
      </c>
      <c r="I35" s="134">
        <f t="shared" si="2"/>
        <v>61.080986808726536</v>
      </c>
      <c r="J35" s="134">
        <f t="shared" si="3"/>
        <v>154.1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122.89</v>
      </c>
      <c r="E36" s="132">
        <f t="shared" si="4"/>
        <v>34.75</v>
      </c>
      <c r="F36" s="134">
        <f t="shared" si="1"/>
        <v>62.484145104008121</v>
      </c>
      <c r="G36" s="132">
        <f t="shared" si="4"/>
        <v>0</v>
      </c>
      <c r="H36" s="132">
        <f t="shared" si="4"/>
        <v>0</v>
      </c>
      <c r="I36" s="134">
        <f t="shared" si="2"/>
        <v>62.484145104008121</v>
      </c>
      <c r="J36" s="134">
        <f t="shared" si="3"/>
        <v>157.63999999999999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1215.4108609806308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26.54</v>
      </c>
      <c r="F24" s="134">
        <f t="shared" si="1"/>
        <v>10.519723490613902</v>
      </c>
      <c r="G24" s="132">
        <f t="shared" si="4"/>
        <v>0</v>
      </c>
      <c r="H24" s="132">
        <f t="shared" si="4"/>
        <v>0</v>
      </c>
      <c r="I24" s="134">
        <f t="shared" si="2"/>
        <v>10.519723490613902</v>
      </c>
      <c r="J24" s="134">
        <f t="shared" si="3"/>
        <v>26.54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27.15</v>
      </c>
      <c r="F25" s="134">
        <f t="shared" si="1"/>
        <v>47.739402246282971</v>
      </c>
      <c r="G25" s="132">
        <f t="shared" si="4"/>
        <v>0</v>
      </c>
      <c r="H25" s="132">
        <f t="shared" si="4"/>
        <v>0</v>
      </c>
      <c r="I25" s="134">
        <f t="shared" si="2"/>
        <v>47.739402246282971</v>
      </c>
      <c r="J25" s="134">
        <f t="shared" si="3"/>
        <v>120.44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95.44</v>
      </c>
      <c r="E26" s="132">
        <f t="shared" si="4"/>
        <v>27.77</v>
      </c>
      <c r="F26" s="134">
        <f t="shared" si="1"/>
        <v>48.837043378995432</v>
      </c>
      <c r="G26" s="132">
        <f t="shared" si="4"/>
        <v>0</v>
      </c>
      <c r="H26" s="132">
        <f t="shared" si="4"/>
        <v>0</v>
      </c>
      <c r="I26" s="134">
        <f t="shared" si="2"/>
        <v>48.837043378995432</v>
      </c>
      <c r="J26" s="134">
        <f t="shared" si="3"/>
        <v>123.21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97.64</v>
      </c>
      <c r="E27" s="132">
        <f t="shared" si="4"/>
        <v>28.41</v>
      </c>
      <c r="F27" s="134">
        <f t="shared" si="1"/>
        <v>49.962740994419079</v>
      </c>
      <c r="G27" s="132">
        <f t="shared" si="4"/>
        <v>0</v>
      </c>
      <c r="H27" s="132">
        <f t="shared" si="4"/>
        <v>0</v>
      </c>
      <c r="I27" s="134">
        <f t="shared" si="2"/>
        <v>49.962740994419079</v>
      </c>
      <c r="J27" s="134">
        <f t="shared" si="3"/>
        <v>126.05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99.89</v>
      </c>
      <c r="E28" s="132">
        <f t="shared" si="4"/>
        <v>29.06</v>
      </c>
      <c r="F28" s="134">
        <f t="shared" si="1"/>
        <v>51.112220953830544</v>
      </c>
      <c r="G28" s="132">
        <f t="shared" si="4"/>
        <v>0</v>
      </c>
      <c r="H28" s="132">
        <f t="shared" si="4"/>
        <v>0</v>
      </c>
      <c r="I28" s="134">
        <f t="shared" si="2"/>
        <v>51.112220953830544</v>
      </c>
      <c r="J28" s="134">
        <f t="shared" si="3"/>
        <v>128.94999999999999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102.09</v>
      </c>
      <c r="E29" s="132">
        <f t="shared" si="4"/>
        <v>29.7</v>
      </c>
      <c r="F29" s="134">
        <f t="shared" si="1"/>
        <v>52.237918569254184</v>
      </c>
      <c r="G29" s="132">
        <f t="shared" si="4"/>
        <v>0</v>
      </c>
      <c r="H29" s="132">
        <f t="shared" si="4"/>
        <v>0</v>
      </c>
      <c r="I29" s="134">
        <f t="shared" si="2"/>
        <v>52.237918569254184</v>
      </c>
      <c r="J29" s="134">
        <f t="shared" si="3"/>
        <v>131.79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104.34</v>
      </c>
      <c r="E30" s="132">
        <f t="shared" si="4"/>
        <v>30.35</v>
      </c>
      <c r="F30" s="134">
        <f t="shared" si="1"/>
        <v>53.387398528665656</v>
      </c>
      <c r="G30" s="132">
        <f t="shared" si="4"/>
        <v>0</v>
      </c>
      <c r="H30" s="132">
        <f t="shared" si="4"/>
        <v>0</v>
      </c>
      <c r="I30" s="134">
        <f t="shared" si="2"/>
        <v>53.387398528665656</v>
      </c>
      <c r="J30" s="134">
        <f t="shared" si="3"/>
        <v>134.69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106.64</v>
      </c>
      <c r="E31" s="132">
        <f t="shared" si="4"/>
        <v>31.02</v>
      </c>
      <c r="F31" s="134">
        <f t="shared" si="1"/>
        <v>54.564624556062917</v>
      </c>
      <c r="G31" s="132">
        <f t="shared" si="4"/>
        <v>0</v>
      </c>
      <c r="H31" s="132">
        <f t="shared" si="4"/>
        <v>0</v>
      </c>
      <c r="I31" s="134">
        <f t="shared" si="2"/>
        <v>54.564624556062917</v>
      </c>
      <c r="J31" s="134">
        <f t="shared" si="3"/>
        <v>137.66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109.09</v>
      </c>
      <c r="E32" s="132">
        <f t="shared" si="4"/>
        <v>31.73</v>
      </c>
      <c r="F32" s="134">
        <f t="shared" si="1"/>
        <v>55.817161339421617</v>
      </c>
      <c r="G32" s="132">
        <f t="shared" si="4"/>
        <v>0</v>
      </c>
      <c r="H32" s="132">
        <f t="shared" si="4"/>
        <v>0</v>
      </c>
      <c r="I32" s="134">
        <f t="shared" si="2"/>
        <v>55.817161339421617</v>
      </c>
      <c r="J32" s="134">
        <f t="shared" si="3"/>
        <v>140.82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111.6</v>
      </c>
      <c r="E33" s="132">
        <f t="shared" si="4"/>
        <v>32.46</v>
      </c>
      <c r="F33" s="134">
        <f t="shared" si="1"/>
        <v>57.101407914764081</v>
      </c>
      <c r="G33" s="132">
        <f t="shared" si="4"/>
        <v>0</v>
      </c>
      <c r="H33" s="132">
        <f t="shared" si="4"/>
        <v>0</v>
      </c>
      <c r="I33" s="134">
        <f t="shared" si="2"/>
        <v>57.101407914764081</v>
      </c>
      <c r="J33" s="134">
        <f t="shared" si="3"/>
        <v>144.06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114.17</v>
      </c>
      <c r="E34" s="132">
        <f t="shared" si="4"/>
        <v>33.21</v>
      </c>
      <c r="F34" s="134">
        <f t="shared" si="1"/>
        <v>58.417364282090311</v>
      </c>
      <c r="G34" s="132">
        <f t="shared" si="4"/>
        <v>0</v>
      </c>
      <c r="H34" s="132">
        <f t="shared" si="4"/>
        <v>0</v>
      </c>
      <c r="I34" s="134">
        <f t="shared" si="2"/>
        <v>58.417364282090311</v>
      </c>
      <c r="J34" s="134">
        <f t="shared" si="3"/>
        <v>147.38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116.8</v>
      </c>
      <c r="E35" s="132">
        <f t="shared" si="4"/>
        <v>33.97</v>
      </c>
      <c r="F35" s="134">
        <f t="shared" si="1"/>
        <v>59.761066717402329</v>
      </c>
      <c r="G35" s="132">
        <f t="shared" si="4"/>
        <v>0</v>
      </c>
      <c r="H35" s="132">
        <f t="shared" si="4"/>
        <v>0</v>
      </c>
      <c r="I35" s="134">
        <f t="shared" si="2"/>
        <v>59.761066717402329</v>
      </c>
      <c r="J35" s="134">
        <f t="shared" si="3"/>
        <v>150.77000000000001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119.49</v>
      </c>
      <c r="E36" s="132">
        <f t="shared" si="4"/>
        <v>34.75</v>
      </c>
      <c r="F36" s="134">
        <f t="shared" si="1"/>
        <v>61.136478944698133</v>
      </c>
      <c r="G36" s="132">
        <f t="shared" si="4"/>
        <v>0</v>
      </c>
      <c r="H36" s="132">
        <f t="shared" si="4"/>
        <v>0</v>
      </c>
      <c r="I36" s="134">
        <f t="shared" si="2"/>
        <v>61.136478944698133</v>
      </c>
      <c r="J36" s="134">
        <f t="shared" si="3"/>
        <v>154.24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133</v>
      </c>
      <c r="C55" s="185">
        <v>1208.4830190730411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Oregon Update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26.54</v>
      </c>
      <c r="F24" s="134">
        <f t="shared" si="1"/>
        <v>10.519723490613902</v>
      </c>
      <c r="G24" s="132">
        <f t="shared" si="4"/>
        <v>0</v>
      </c>
      <c r="H24" s="132">
        <f t="shared" si="4"/>
        <v>0</v>
      </c>
      <c r="I24" s="134">
        <f t="shared" si="2"/>
        <v>10.519723490613902</v>
      </c>
      <c r="J24" s="134">
        <f t="shared" si="3"/>
        <v>26.54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27.15</v>
      </c>
      <c r="F25" s="134">
        <f t="shared" si="1"/>
        <v>10.761510654490106</v>
      </c>
      <c r="G25" s="132">
        <f t="shared" si="4"/>
        <v>0</v>
      </c>
      <c r="H25" s="132">
        <f t="shared" si="4"/>
        <v>0</v>
      </c>
      <c r="I25" s="134">
        <f t="shared" si="2"/>
        <v>10.761510654490106</v>
      </c>
      <c r="J25" s="134">
        <f t="shared" si="3"/>
        <v>27.15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27.77</v>
      </c>
      <c r="F26" s="134">
        <f t="shared" si="1"/>
        <v>47.774379152083924</v>
      </c>
      <c r="G26" s="132">
        <f t="shared" si="4"/>
        <v>0</v>
      </c>
      <c r="H26" s="132">
        <f t="shared" si="4"/>
        <v>0</v>
      </c>
      <c r="I26" s="134">
        <f t="shared" si="2"/>
        <v>47.774379152083924</v>
      </c>
      <c r="J26" s="134">
        <f t="shared" si="3"/>
        <v>120.53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94.89</v>
      </c>
      <c r="E27" s="132">
        <f t="shared" si="4"/>
        <v>28.41</v>
      </c>
      <c r="F27" s="134">
        <f t="shared" si="1"/>
        <v>48.872716894977174</v>
      </c>
      <c r="G27" s="132">
        <f t="shared" si="4"/>
        <v>0</v>
      </c>
      <c r="H27" s="132">
        <f t="shared" si="4"/>
        <v>0</v>
      </c>
      <c r="I27" s="134">
        <f t="shared" si="2"/>
        <v>48.872716894977174</v>
      </c>
      <c r="J27" s="134">
        <f t="shared" si="3"/>
        <v>123.3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97.07</v>
      </c>
      <c r="E28" s="132">
        <f t="shared" si="4"/>
        <v>29.06</v>
      </c>
      <c r="F28" s="134">
        <f t="shared" si="1"/>
        <v>49.994450786402844</v>
      </c>
      <c r="G28" s="132">
        <f t="shared" si="4"/>
        <v>0</v>
      </c>
      <c r="H28" s="132">
        <f t="shared" si="4"/>
        <v>0</v>
      </c>
      <c r="I28" s="134">
        <f t="shared" si="2"/>
        <v>49.994450786402844</v>
      </c>
      <c r="J28" s="134">
        <f t="shared" si="3"/>
        <v>126.13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99.21</v>
      </c>
      <c r="E29" s="132">
        <f t="shared" si="4"/>
        <v>29.7</v>
      </c>
      <c r="F29" s="134">
        <f t="shared" si="1"/>
        <v>51.096366057838665</v>
      </c>
      <c r="G29" s="132">
        <f t="shared" si="4"/>
        <v>0</v>
      </c>
      <c r="H29" s="132">
        <f t="shared" si="4"/>
        <v>0</v>
      </c>
      <c r="I29" s="134">
        <f t="shared" si="2"/>
        <v>51.096366057838665</v>
      </c>
      <c r="J29" s="134">
        <f t="shared" si="3"/>
        <v>128.91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101.39</v>
      </c>
      <c r="E30" s="132">
        <f t="shared" si="4"/>
        <v>30.35</v>
      </c>
      <c r="F30" s="134">
        <f t="shared" si="1"/>
        <v>52.218099949264342</v>
      </c>
      <c r="G30" s="132">
        <f t="shared" si="4"/>
        <v>0</v>
      </c>
      <c r="H30" s="132">
        <f t="shared" si="4"/>
        <v>0</v>
      </c>
      <c r="I30" s="134">
        <f t="shared" si="2"/>
        <v>52.218099949264342</v>
      </c>
      <c r="J30" s="134">
        <f t="shared" si="3"/>
        <v>131.74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103.62</v>
      </c>
      <c r="E31" s="132">
        <f t="shared" si="4"/>
        <v>31.02</v>
      </c>
      <c r="F31" s="134">
        <f t="shared" si="1"/>
        <v>53.367579908675808</v>
      </c>
      <c r="G31" s="132">
        <f t="shared" si="4"/>
        <v>0</v>
      </c>
      <c r="H31" s="132">
        <f t="shared" si="4"/>
        <v>0</v>
      </c>
      <c r="I31" s="134">
        <f t="shared" si="2"/>
        <v>53.367579908675808</v>
      </c>
      <c r="J31" s="134">
        <f t="shared" si="3"/>
        <v>134.63999999999999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106</v>
      </c>
      <c r="E32" s="132">
        <f t="shared" si="4"/>
        <v>31.73</v>
      </c>
      <c r="F32" s="134">
        <f t="shared" si="1"/>
        <v>54.592370624048705</v>
      </c>
      <c r="G32" s="132">
        <f t="shared" si="4"/>
        <v>0</v>
      </c>
      <c r="H32" s="132">
        <f t="shared" si="4"/>
        <v>0</v>
      </c>
      <c r="I32" s="134">
        <f t="shared" si="2"/>
        <v>54.592370624048705</v>
      </c>
      <c r="J32" s="134">
        <f t="shared" si="3"/>
        <v>137.72999999999999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108.44</v>
      </c>
      <c r="E33" s="132">
        <f t="shared" si="4"/>
        <v>32.46</v>
      </c>
      <c r="F33" s="134">
        <f t="shared" si="1"/>
        <v>55.848871131405382</v>
      </c>
      <c r="G33" s="132">
        <f t="shared" si="4"/>
        <v>0</v>
      </c>
      <c r="H33" s="132">
        <f t="shared" si="4"/>
        <v>0</v>
      </c>
      <c r="I33" s="134">
        <f t="shared" si="2"/>
        <v>55.848871131405382</v>
      </c>
      <c r="J33" s="134">
        <f t="shared" si="3"/>
        <v>140.9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110.93</v>
      </c>
      <c r="E34" s="132">
        <f t="shared" si="4"/>
        <v>33.21</v>
      </c>
      <c r="F34" s="134">
        <f t="shared" si="1"/>
        <v>57.133117706747854</v>
      </c>
      <c r="G34" s="132">
        <f t="shared" si="4"/>
        <v>0</v>
      </c>
      <c r="H34" s="132">
        <f t="shared" si="4"/>
        <v>0</v>
      </c>
      <c r="I34" s="134">
        <f t="shared" si="2"/>
        <v>57.133117706747854</v>
      </c>
      <c r="J34" s="134">
        <f t="shared" si="3"/>
        <v>144.13999999999999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113.48</v>
      </c>
      <c r="E35" s="132">
        <f t="shared" si="4"/>
        <v>33.97</v>
      </c>
      <c r="F35" s="134">
        <f t="shared" si="1"/>
        <v>58.445110350076106</v>
      </c>
      <c r="G35" s="132">
        <f t="shared" si="4"/>
        <v>0</v>
      </c>
      <c r="H35" s="132">
        <f t="shared" si="4"/>
        <v>0</v>
      </c>
      <c r="I35" s="134">
        <f t="shared" si="2"/>
        <v>58.445110350076106</v>
      </c>
      <c r="J35" s="134">
        <f t="shared" si="3"/>
        <v>147.44999999999999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116.09</v>
      </c>
      <c r="E36" s="132">
        <f t="shared" si="4"/>
        <v>34.75</v>
      </c>
      <c r="F36" s="134">
        <f t="shared" si="1"/>
        <v>59.788812785388131</v>
      </c>
      <c r="G36" s="132">
        <f t="shared" si="4"/>
        <v>0</v>
      </c>
      <c r="H36" s="132">
        <f t="shared" si="4"/>
        <v>0</v>
      </c>
      <c r="I36" s="134">
        <f t="shared" si="2"/>
        <v>59.788812785388131</v>
      </c>
      <c r="J36" s="134">
        <f t="shared" si="3"/>
        <v>150.84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Update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130</v>
      </c>
      <c r="C55" s="185">
        <v>1201.5946658643247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83</v>
      </c>
      <c r="J5" s="17" t="s">
        <v>55</v>
      </c>
      <c r="K5" s="125" t="s">
        <v>71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20.57</v>
      </c>
      <c r="F13" s="134">
        <f t="shared" si="1"/>
        <v>8.1533802638254702</v>
      </c>
      <c r="G13" s="132">
        <f t="shared" si="4"/>
        <v>0</v>
      </c>
      <c r="H13" s="132">
        <f t="shared" si="4"/>
        <v>0</v>
      </c>
      <c r="I13" s="134">
        <f t="shared" si="2"/>
        <v>8.1533802638254702</v>
      </c>
      <c r="J13" s="134">
        <f t="shared" si="3"/>
        <v>20.57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21.02</v>
      </c>
      <c r="F14" s="134">
        <f t="shared" si="1"/>
        <v>8.3317478437341457</v>
      </c>
      <c r="G14" s="132">
        <f t="shared" si="4"/>
        <v>0</v>
      </c>
      <c r="H14" s="132">
        <f t="shared" si="4"/>
        <v>0</v>
      </c>
      <c r="I14" s="134">
        <f t="shared" si="2"/>
        <v>8.3317478437341457</v>
      </c>
      <c r="J14" s="134">
        <f t="shared" si="3"/>
        <v>21.02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21.52</v>
      </c>
      <c r="F15" s="134">
        <f t="shared" si="1"/>
        <v>8.5299340436326752</v>
      </c>
      <c r="G15" s="132">
        <f t="shared" si="4"/>
        <v>0</v>
      </c>
      <c r="H15" s="132">
        <f t="shared" si="4"/>
        <v>0</v>
      </c>
      <c r="I15" s="134">
        <f t="shared" si="2"/>
        <v>8.5299340436326752</v>
      </c>
      <c r="J15" s="134">
        <f t="shared" si="3"/>
        <v>21.52</v>
      </c>
      <c r="K15" s="132">
        <f t="shared" si="5"/>
        <v>0.67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22.04</v>
      </c>
      <c r="F16" s="134">
        <f t="shared" si="1"/>
        <v>8.7360476915271441</v>
      </c>
      <c r="G16" s="132">
        <f t="shared" si="4"/>
        <v>0</v>
      </c>
      <c r="H16" s="132">
        <f t="shared" si="4"/>
        <v>0</v>
      </c>
      <c r="I16" s="134">
        <f t="shared" si="2"/>
        <v>8.7360476915271441</v>
      </c>
      <c r="J16" s="134">
        <f t="shared" si="3"/>
        <v>22.04</v>
      </c>
      <c r="K16" s="132">
        <f t="shared" si="5"/>
        <v>0.69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22.57</v>
      </c>
      <c r="F17" s="134">
        <f t="shared" si="1"/>
        <v>8.9461250634195846</v>
      </c>
      <c r="G17" s="132">
        <f t="shared" si="4"/>
        <v>0</v>
      </c>
      <c r="H17" s="132">
        <f t="shared" si="4"/>
        <v>0</v>
      </c>
      <c r="I17" s="134">
        <f t="shared" si="2"/>
        <v>8.9461250634195846</v>
      </c>
      <c r="J17" s="134">
        <f t="shared" si="3"/>
        <v>22.57</v>
      </c>
      <c r="K17" s="132">
        <f t="shared" si="5"/>
        <v>0.71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23.11</v>
      </c>
      <c r="F18" s="134">
        <f t="shared" si="1"/>
        <v>9.1601661593099948</v>
      </c>
      <c r="G18" s="132">
        <f t="shared" si="4"/>
        <v>0</v>
      </c>
      <c r="H18" s="132">
        <f t="shared" si="4"/>
        <v>0</v>
      </c>
      <c r="I18" s="134">
        <f t="shared" si="2"/>
        <v>9.1601661593099948</v>
      </c>
      <c r="J18" s="134">
        <f t="shared" si="3"/>
        <v>23.11</v>
      </c>
      <c r="K18" s="132">
        <f t="shared" si="5"/>
        <v>0.73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23.64</v>
      </c>
      <c r="F19" s="134">
        <f t="shared" si="1"/>
        <v>9.370243531202437</v>
      </c>
      <c r="G19" s="132">
        <f t="shared" si="4"/>
        <v>0</v>
      </c>
      <c r="H19" s="132">
        <f t="shared" si="4"/>
        <v>0</v>
      </c>
      <c r="I19" s="134">
        <f t="shared" si="2"/>
        <v>9.370243531202437</v>
      </c>
      <c r="J19" s="134">
        <f t="shared" si="3"/>
        <v>23.64</v>
      </c>
      <c r="K19" s="132">
        <f t="shared" si="5"/>
        <v>0.75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24.18</v>
      </c>
      <c r="F20" s="134">
        <f t="shared" si="1"/>
        <v>9.5842846270928472</v>
      </c>
      <c r="G20" s="132">
        <f t="shared" si="4"/>
        <v>0</v>
      </c>
      <c r="H20" s="132">
        <f t="shared" si="4"/>
        <v>0</v>
      </c>
      <c r="I20" s="134">
        <f t="shared" si="2"/>
        <v>9.5842846270928472</v>
      </c>
      <c r="J20" s="134">
        <f t="shared" si="3"/>
        <v>24.18</v>
      </c>
      <c r="K20" s="132">
        <f t="shared" si="5"/>
        <v>0.77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24.74</v>
      </c>
      <c r="F21" s="134">
        <f t="shared" si="1"/>
        <v>9.8062531709791987</v>
      </c>
      <c r="G21" s="132">
        <f t="shared" si="4"/>
        <v>0</v>
      </c>
      <c r="H21" s="132">
        <f t="shared" si="4"/>
        <v>0</v>
      </c>
      <c r="I21" s="134">
        <f t="shared" si="2"/>
        <v>9.8062531709791987</v>
      </c>
      <c r="J21" s="134">
        <f t="shared" si="3"/>
        <v>24.74</v>
      </c>
      <c r="K21" s="132">
        <f t="shared" si="5"/>
        <v>0.79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25.33</v>
      </c>
      <c r="F22" s="134">
        <f t="shared" si="1"/>
        <v>10.040112886859463</v>
      </c>
      <c r="G22" s="132">
        <f t="shared" si="4"/>
        <v>0</v>
      </c>
      <c r="H22" s="132">
        <f t="shared" si="4"/>
        <v>0</v>
      </c>
      <c r="I22" s="134">
        <f t="shared" si="2"/>
        <v>10.040112886859463</v>
      </c>
      <c r="J22" s="134">
        <f t="shared" si="3"/>
        <v>25.33</v>
      </c>
      <c r="K22" s="132">
        <f t="shared" si="5"/>
        <v>0.81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25.94</v>
      </c>
      <c r="F23" s="134">
        <f t="shared" si="1"/>
        <v>10.281900050735668</v>
      </c>
      <c r="G23" s="132">
        <f t="shared" si="4"/>
        <v>0</v>
      </c>
      <c r="H23" s="132">
        <f t="shared" si="4"/>
        <v>0</v>
      </c>
      <c r="I23" s="134">
        <f t="shared" si="2"/>
        <v>10.281900050735668</v>
      </c>
      <c r="J23" s="134">
        <f t="shared" si="3"/>
        <v>25.94</v>
      </c>
      <c r="K23" s="132">
        <f t="shared" si="5"/>
        <v>0.83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26.54</v>
      </c>
      <c r="F24" s="134">
        <f t="shared" si="1"/>
        <v>10.519723490613902</v>
      </c>
      <c r="G24" s="132">
        <f t="shared" si="4"/>
        <v>0</v>
      </c>
      <c r="H24" s="132">
        <f t="shared" si="4"/>
        <v>0</v>
      </c>
      <c r="I24" s="134">
        <f t="shared" si="2"/>
        <v>10.519723490613902</v>
      </c>
      <c r="J24" s="134">
        <f t="shared" si="3"/>
        <v>26.54</v>
      </c>
      <c r="K24" s="132">
        <f t="shared" si="5"/>
        <v>0.85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27.15</v>
      </c>
      <c r="F25" s="134">
        <f t="shared" si="1"/>
        <v>10.761510654490106</v>
      </c>
      <c r="G25" s="132">
        <f t="shared" si="4"/>
        <v>0</v>
      </c>
      <c r="H25" s="132">
        <f t="shared" si="4"/>
        <v>0</v>
      </c>
      <c r="I25" s="134">
        <f t="shared" si="2"/>
        <v>10.761510654490106</v>
      </c>
      <c r="J25" s="134">
        <f t="shared" si="3"/>
        <v>27.15</v>
      </c>
      <c r="K25" s="132">
        <f t="shared" si="5"/>
        <v>0.87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27.77</v>
      </c>
      <c r="F26" s="134">
        <f t="shared" si="1"/>
        <v>11.007261542364283</v>
      </c>
      <c r="G26" s="132">
        <f t="shared" si="4"/>
        <v>0</v>
      </c>
      <c r="H26" s="132">
        <f t="shared" si="4"/>
        <v>0</v>
      </c>
      <c r="I26" s="134">
        <f t="shared" si="2"/>
        <v>11.007261542364283</v>
      </c>
      <c r="J26" s="134">
        <f t="shared" si="3"/>
        <v>27.77</v>
      </c>
      <c r="K26" s="132">
        <f t="shared" si="5"/>
        <v>0.89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28.41</v>
      </c>
      <c r="F27" s="134">
        <f t="shared" si="1"/>
        <v>47.818484917578637</v>
      </c>
      <c r="G27" s="132">
        <f t="shared" si="4"/>
        <v>0</v>
      </c>
      <c r="H27" s="132">
        <f t="shared" si="4"/>
        <v>0</v>
      </c>
      <c r="I27" s="134">
        <f t="shared" si="2"/>
        <v>47.818484917578637</v>
      </c>
      <c r="J27" s="134">
        <f t="shared" si="3"/>
        <v>120.64</v>
      </c>
      <c r="K27" s="132">
        <f t="shared" si="5"/>
        <v>0.91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94.35</v>
      </c>
      <c r="E28" s="132">
        <f t="shared" si="4"/>
        <v>29.06</v>
      </c>
      <c r="F28" s="134">
        <f t="shared" si="1"/>
        <v>48.916317858954848</v>
      </c>
      <c r="G28" s="132">
        <f t="shared" si="4"/>
        <v>0</v>
      </c>
      <c r="H28" s="132">
        <f t="shared" si="4"/>
        <v>0</v>
      </c>
      <c r="I28" s="134">
        <f t="shared" si="2"/>
        <v>48.916317858954848</v>
      </c>
      <c r="J28" s="134">
        <f t="shared" si="3"/>
        <v>123.41</v>
      </c>
      <c r="K28" s="132">
        <f t="shared" si="5"/>
        <v>0.93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96.43</v>
      </c>
      <c r="E29" s="132">
        <f t="shared" si="4"/>
        <v>29.7</v>
      </c>
      <c r="F29" s="134">
        <f t="shared" si="1"/>
        <v>49.994450786402851</v>
      </c>
      <c r="G29" s="132">
        <f t="shared" si="4"/>
        <v>0</v>
      </c>
      <c r="H29" s="132">
        <f t="shared" si="4"/>
        <v>0</v>
      </c>
      <c r="I29" s="134">
        <f t="shared" si="2"/>
        <v>49.994450786402851</v>
      </c>
      <c r="J29" s="134">
        <f t="shared" si="3"/>
        <v>126.13</v>
      </c>
      <c r="K29" s="132">
        <f t="shared" si="5"/>
        <v>0.95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98.55</v>
      </c>
      <c r="E30" s="132">
        <f t="shared" si="4"/>
        <v>30.35</v>
      </c>
      <c r="F30" s="134">
        <f t="shared" si="1"/>
        <v>51.092402333840695</v>
      </c>
      <c r="G30" s="132">
        <f t="shared" si="4"/>
        <v>0</v>
      </c>
      <c r="H30" s="132">
        <f t="shared" si="4"/>
        <v>0</v>
      </c>
      <c r="I30" s="134">
        <f t="shared" si="2"/>
        <v>51.092402333840695</v>
      </c>
      <c r="J30" s="134">
        <f t="shared" si="3"/>
        <v>128.9</v>
      </c>
      <c r="K30" s="132">
        <f t="shared" si="5"/>
        <v>0.97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100.72</v>
      </c>
      <c r="E31" s="132">
        <f t="shared" si="4"/>
        <v>31.02</v>
      </c>
      <c r="F31" s="134">
        <f t="shared" si="1"/>
        <v>52.218099949264342</v>
      </c>
      <c r="G31" s="132">
        <f t="shared" si="4"/>
        <v>0</v>
      </c>
      <c r="H31" s="132">
        <f t="shared" si="4"/>
        <v>0</v>
      </c>
      <c r="I31" s="134">
        <f t="shared" si="2"/>
        <v>52.218099949264342</v>
      </c>
      <c r="J31" s="134">
        <f t="shared" si="3"/>
        <v>131.74</v>
      </c>
      <c r="K31" s="132">
        <f t="shared" si="5"/>
        <v>0.99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103.04</v>
      </c>
      <c r="E32" s="132">
        <f t="shared" si="4"/>
        <v>31.73</v>
      </c>
      <c r="F32" s="134">
        <f t="shared" si="1"/>
        <v>53.419108320649428</v>
      </c>
      <c r="G32" s="132">
        <f t="shared" si="4"/>
        <v>0</v>
      </c>
      <c r="H32" s="132">
        <f t="shared" si="4"/>
        <v>0</v>
      </c>
      <c r="I32" s="134">
        <f t="shared" si="2"/>
        <v>53.419108320649428</v>
      </c>
      <c r="J32" s="134">
        <f t="shared" si="3"/>
        <v>134.77000000000001</v>
      </c>
      <c r="K32" s="132">
        <f t="shared" si="5"/>
        <v>1.01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105.41</v>
      </c>
      <c r="E33" s="132">
        <f t="shared" si="4"/>
        <v>32.46</v>
      </c>
      <c r="F33" s="134">
        <f t="shared" si="1"/>
        <v>54.647862760020303</v>
      </c>
      <c r="G33" s="132">
        <f t="shared" si="4"/>
        <v>0</v>
      </c>
      <c r="H33" s="132">
        <f t="shared" si="4"/>
        <v>0</v>
      </c>
      <c r="I33" s="134">
        <f t="shared" si="2"/>
        <v>54.647862760020303</v>
      </c>
      <c r="J33" s="134">
        <f t="shared" si="3"/>
        <v>137.87</v>
      </c>
      <c r="K33" s="132">
        <f t="shared" si="5"/>
        <v>1.03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107.83</v>
      </c>
      <c r="E34" s="132">
        <f t="shared" si="4"/>
        <v>33.21</v>
      </c>
      <c r="F34" s="134">
        <f t="shared" si="1"/>
        <v>55.904363267376965</v>
      </c>
      <c r="G34" s="132">
        <f t="shared" si="4"/>
        <v>0</v>
      </c>
      <c r="H34" s="132">
        <f t="shared" si="4"/>
        <v>0</v>
      </c>
      <c r="I34" s="134">
        <f t="shared" si="2"/>
        <v>55.904363267376965</v>
      </c>
      <c r="J34" s="134">
        <f t="shared" si="3"/>
        <v>141.04</v>
      </c>
      <c r="K34" s="132">
        <f t="shared" si="5"/>
        <v>1.05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110.31</v>
      </c>
      <c r="E35" s="132">
        <f t="shared" si="4"/>
        <v>33.97</v>
      </c>
      <c r="F35" s="134">
        <f t="shared" si="1"/>
        <v>57.188609842719437</v>
      </c>
      <c r="G35" s="132">
        <f t="shared" si="4"/>
        <v>0</v>
      </c>
      <c r="H35" s="132">
        <f t="shared" si="4"/>
        <v>0</v>
      </c>
      <c r="I35" s="134">
        <f t="shared" si="2"/>
        <v>57.188609842719437</v>
      </c>
      <c r="J35" s="134">
        <f t="shared" si="3"/>
        <v>144.28</v>
      </c>
      <c r="K35" s="132">
        <f t="shared" si="5"/>
        <v>1.07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112.85</v>
      </c>
      <c r="E36" s="132">
        <f t="shared" si="4"/>
        <v>34.75</v>
      </c>
      <c r="F36" s="134">
        <f t="shared" si="1"/>
        <v>58.504566210045667</v>
      </c>
      <c r="G36" s="132">
        <f t="shared" si="4"/>
        <v>0</v>
      </c>
      <c r="H36" s="132">
        <f t="shared" si="4"/>
        <v>0</v>
      </c>
      <c r="I36" s="134">
        <f t="shared" si="2"/>
        <v>58.504566210045667</v>
      </c>
      <c r="J36" s="134">
        <f t="shared" si="3"/>
        <v>147.6</v>
      </c>
      <c r="K36" s="132">
        <f t="shared" si="5"/>
        <v>1.0900000000000001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81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1194.745576268898</v>
      </c>
      <c r="D55" s="121" t="s">
        <v>74</v>
      </c>
      <c r="H55" s="121" t="s">
        <v>9</v>
      </c>
    </row>
    <row r="56" spans="2:24">
      <c r="B56" s="85" t="s">
        <v>111</v>
      </c>
      <c r="C56" s="154">
        <v>19.720289118454605</v>
      </c>
      <c r="D56" s="121" t="s">
        <v>77</v>
      </c>
      <c r="H56" s="121" t="s">
        <v>9</v>
      </c>
    </row>
    <row r="57" spans="2:24">
      <c r="B57" s="85" t="s">
        <v>111</v>
      </c>
      <c r="C57" s="159">
        <v>0.61668809999999996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38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39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85"/>
      <c r="I69" s="87">
        <f t="shared" si="8"/>
        <v>2038</v>
      </c>
      <c r="J69" s="41">
        <v>2.3E-2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2.3E-2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2.3E-2</v>
      </c>
    </row>
    <row r="72" spans="3:11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2.3E-2</v>
      </c>
    </row>
    <row r="73" spans="3:11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116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7" t="s">
        <v>120</v>
      </c>
      <c r="I5" s="125" t="s">
        <v>70</v>
      </c>
      <c r="J5" s="125" t="s">
        <v>88</v>
      </c>
      <c r="K5" s="17" t="s">
        <v>55</v>
      </c>
      <c r="L5" s="125" t="s">
        <v>71</v>
      </c>
      <c r="N5" s="246" t="s">
        <v>157</v>
      </c>
      <c r="O5" s="246" t="s">
        <v>158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27.44</v>
      </c>
      <c r="F13" s="134">
        <f t="shared" si="1"/>
        <v>8.0741787505065687</v>
      </c>
      <c r="G13" s="132">
        <f t="shared" si="4"/>
        <v>1.23</v>
      </c>
      <c r="H13" s="132">
        <f t="shared" si="4"/>
        <v>1.88</v>
      </c>
      <c r="I13" s="132"/>
      <c r="J13" s="134">
        <f t="shared" si="3"/>
        <v>11.184178750506568</v>
      </c>
      <c r="K13" s="134">
        <f t="shared" si="2"/>
        <v>38.01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28.04</v>
      </c>
      <c r="F14" s="134">
        <f t="shared" si="1"/>
        <v>28.364922399874068</v>
      </c>
      <c r="G14" s="132">
        <f t="shared" si="4"/>
        <v>1.26</v>
      </c>
      <c r="H14" s="132">
        <f t="shared" si="4"/>
        <v>1.92</v>
      </c>
      <c r="I14" s="132">
        <v>-33.15</v>
      </c>
      <c r="J14" s="134">
        <f t="shared" si="3"/>
        <v>-0.2675129333543218</v>
      </c>
      <c r="K14" s="134">
        <f t="shared" si="2"/>
        <v>-0.91</v>
      </c>
      <c r="L14" s="132">
        <f t="shared" si="5"/>
        <v>0.62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70</v>
      </c>
      <c r="E15" s="132">
        <f t="shared" si="4"/>
        <v>28.71</v>
      </c>
      <c r="F15" s="134">
        <f t="shared" si="1"/>
        <v>29.045269113064993</v>
      </c>
      <c r="G15" s="132">
        <f t="shared" si="4"/>
        <v>1.29</v>
      </c>
      <c r="H15" s="132">
        <f t="shared" si="4"/>
        <v>1.97</v>
      </c>
      <c r="I15" s="132">
        <v>-34.479999999999997</v>
      </c>
      <c r="J15" s="134">
        <f t="shared" si="3"/>
        <v>-2.1747308869350022</v>
      </c>
      <c r="K15" s="134">
        <f t="shared" si="2"/>
        <v>-7.39</v>
      </c>
      <c r="L15" s="132">
        <f t="shared" si="5"/>
        <v>0.63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71.680000000000007</v>
      </c>
      <c r="E16" s="132">
        <f t="shared" si="4"/>
        <v>29.4</v>
      </c>
      <c r="F16" s="134">
        <f t="shared" si="1"/>
        <v>29.742638050335422</v>
      </c>
      <c r="G16" s="132">
        <f t="shared" si="4"/>
        <v>1.32</v>
      </c>
      <c r="H16" s="132">
        <f t="shared" si="4"/>
        <v>2.02</v>
      </c>
      <c r="I16" s="132">
        <v>-34.479999999999997</v>
      </c>
      <c r="J16" s="134">
        <f t="shared" si="3"/>
        <v>-1.3973619496645711</v>
      </c>
      <c r="K16" s="134">
        <f t="shared" si="2"/>
        <v>-4.75</v>
      </c>
      <c r="L16" s="132">
        <f t="shared" si="5"/>
        <v>0.65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73.400000000000006</v>
      </c>
      <c r="E17" s="132">
        <f t="shared" si="4"/>
        <v>30.11</v>
      </c>
      <c r="F17" s="134">
        <f t="shared" si="1"/>
        <v>30.457661897410166</v>
      </c>
      <c r="G17" s="132">
        <f t="shared" si="4"/>
        <v>1.35</v>
      </c>
      <c r="H17" s="132">
        <f t="shared" si="4"/>
        <v>2.0699999999999998</v>
      </c>
      <c r="I17" s="132">
        <v>-35.799999999999997</v>
      </c>
      <c r="J17" s="134">
        <f t="shared" si="3"/>
        <v>-1.9223381025898334</v>
      </c>
      <c r="K17" s="134">
        <f t="shared" si="2"/>
        <v>-6.53</v>
      </c>
      <c r="L17" s="132">
        <f t="shared" si="5"/>
        <v>0.67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75.16</v>
      </c>
      <c r="E18" s="132">
        <f t="shared" si="4"/>
        <v>30.83</v>
      </c>
      <c r="F18" s="134">
        <f t="shared" si="1"/>
        <v>31.187398169321835</v>
      </c>
      <c r="G18" s="132">
        <f t="shared" si="4"/>
        <v>1.38</v>
      </c>
      <c r="H18" s="132">
        <f t="shared" si="4"/>
        <v>2.12</v>
      </c>
      <c r="I18" s="132">
        <v>-35.799999999999997</v>
      </c>
      <c r="J18" s="134">
        <f t="shared" si="3"/>
        <v>-1.112601830678166</v>
      </c>
      <c r="K18" s="134">
        <f t="shared" si="2"/>
        <v>-3.78</v>
      </c>
      <c r="L18" s="132">
        <f t="shared" si="5"/>
        <v>0.69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76.89</v>
      </c>
      <c r="E19" s="132">
        <f t="shared" si="4"/>
        <v>31.54</v>
      </c>
      <c r="F19" s="134">
        <f t="shared" si="1"/>
        <v>31.905364501363966</v>
      </c>
      <c r="G19" s="132">
        <f t="shared" si="4"/>
        <v>1.41</v>
      </c>
      <c r="H19" s="132">
        <f t="shared" si="4"/>
        <v>2.17</v>
      </c>
      <c r="I19" s="132">
        <v>-37.130000000000003</v>
      </c>
      <c r="J19" s="134">
        <f t="shared" si="3"/>
        <v>-1.6446354986360348</v>
      </c>
      <c r="K19" s="134">
        <f t="shared" si="2"/>
        <v>-5.59</v>
      </c>
      <c r="L19" s="132">
        <f t="shared" si="5"/>
        <v>0.71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78.66</v>
      </c>
      <c r="E20" s="132">
        <f t="shared" si="4"/>
        <v>32.270000000000003</v>
      </c>
      <c r="F20" s="134">
        <f t="shared" si="1"/>
        <v>32.640985743210415</v>
      </c>
      <c r="G20" s="132">
        <f t="shared" si="4"/>
        <v>1.44</v>
      </c>
      <c r="H20" s="132">
        <f t="shared" si="4"/>
        <v>2.2200000000000002</v>
      </c>
      <c r="I20" s="132">
        <v>-37.130000000000003</v>
      </c>
      <c r="J20" s="134">
        <f t="shared" si="3"/>
        <v>-0.82901425678959129</v>
      </c>
      <c r="K20" s="134">
        <f t="shared" si="2"/>
        <v>-2.82</v>
      </c>
      <c r="L20" s="132">
        <f t="shared" si="5"/>
        <v>0.73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80.47</v>
      </c>
      <c r="E21" s="132">
        <f t="shared" si="4"/>
        <v>33.01</v>
      </c>
      <c r="F21" s="134">
        <f t="shared" si="1"/>
        <v>33.391319409893782</v>
      </c>
      <c r="G21" s="132">
        <f t="shared" si="4"/>
        <v>1.47</v>
      </c>
      <c r="H21" s="132">
        <f t="shared" si="4"/>
        <v>2.27</v>
      </c>
      <c r="I21" s="132">
        <v>-38.450000000000003</v>
      </c>
      <c r="J21" s="134">
        <f t="shared" si="3"/>
        <v>-1.3186805901062186</v>
      </c>
      <c r="K21" s="134">
        <f t="shared" si="2"/>
        <v>-4.4800000000000004</v>
      </c>
      <c r="L21" s="132">
        <f t="shared" si="5"/>
        <v>0.75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82.4</v>
      </c>
      <c r="E22" s="132">
        <f t="shared" si="4"/>
        <v>33.799999999999997</v>
      </c>
      <c r="F22" s="134">
        <f t="shared" si="1"/>
        <v>34.191675321022714</v>
      </c>
      <c r="G22" s="132">
        <f t="shared" si="4"/>
        <v>1.51</v>
      </c>
      <c r="H22" s="132">
        <f t="shared" si="4"/>
        <v>2.3199999999999998</v>
      </c>
      <c r="I22" s="132">
        <v>-38.450000000000003</v>
      </c>
      <c r="J22" s="134">
        <f t="shared" si="3"/>
        <v>-0.42832467897729032</v>
      </c>
      <c r="K22" s="134">
        <f t="shared" si="2"/>
        <v>-1.46</v>
      </c>
      <c r="L22" s="132">
        <f t="shared" si="5"/>
        <v>0.77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84.38</v>
      </c>
      <c r="E23" s="132">
        <f t="shared" si="4"/>
        <v>34.61</v>
      </c>
      <c r="F23" s="134">
        <f t="shared" si="1"/>
        <v>35.012628626923345</v>
      </c>
      <c r="G23" s="132">
        <f t="shared" si="4"/>
        <v>1.55</v>
      </c>
      <c r="H23" s="132">
        <f t="shared" si="4"/>
        <v>2.38</v>
      </c>
      <c r="I23" s="132">
        <v>-39.78</v>
      </c>
      <c r="J23" s="134">
        <f t="shared" si="3"/>
        <v>-0.83737137307665677</v>
      </c>
      <c r="K23" s="134">
        <f t="shared" si="2"/>
        <v>-2.85</v>
      </c>
      <c r="L23" s="132">
        <f t="shared" si="5"/>
        <v>0.79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86.32</v>
      </c>
      <c r="E24" s="132">
        <f t="shared" si="4"/>
        <v>35.409999999999997</v>
      </c>
      <c r="F24" s="134">
        <f t="shared" si="1"/>
        <v>35.818869507987046</v>
      </c>
      <c r="G24" s="132">
        <f t="shared" si="4"/>
        <v>1.59</v>
      </c>
      <c r="H24" s="132">
        <f t="shared" si="4"/>
        <v>2.4300000000000002</v>
      </c>
      <c r="I24" s="132">
        <v>-41.11</v>
      </c>
      <c r="J24" s="134">
        <f t="shared" si="3"/>
        <v>5.5805361746537159</v>
      </c>
      <c r="K24" s="134">
        <f t="shared" si="2"/>
        <v>18.97</v>
      </c>
      <c r="L24" s="132">
        <f t="shared" si="5"/>
        <v>0.81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88.31</v>
      </c>
      <c r="E25" s="132">
        <f t="shared" si="4"/>
        <v>36.22</v>
      </c>
      <c r="F25" s="134">
        <f t="shared" si="1"/>
        <v>36.642765298855068</v>
      </c>
      <c r="G25" s="132">
        <f t="shared" si="4"/>
        <v>1.63</v>
      </c>
      <c r="H25" s="132">
        <f t="shared" si="4"/>
        <v>2.4900000000000002</v>
      </c>
      <c r="I25" s="132"/>
      <c r="J25" s="134">
        <f t="shared" si="3"/>
        <v>40.762765298855072</v>
      </c>
      <c r="K25" s="134">
        <f t="shared" si="2"/>
        <v>138.53</v>
      </c>
      <c r="L25" s="132">
        <f t="shared" si="5"/>
        <v>0.83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90.34</v>
      </c>
      <c r="E26" s="132">
        <f t="shared" si="4"/>
        <v>37.049999999999997</v>
      </c>
      <c r="F26" s="134">
        <f t="shared" si="1"/>
        <v>37.484315999527396</v>
      </c>
      <c r="G26" s="132">
        <f t="shared" si="4"/>
        <v>1.67</v>
      </c>
      <c r="H26" s="132">
        <f t="shared" si="4"/>
        <v>2.5499999999999998</v>
      </c>
      <c r="I26" s="132"/>
      <c r="J26" s="134">
        <f t="shared" si="3"/>
        <v>41.704315999527395</v>
      </c>
      <c r="K26" s="134">
        <f t="shared" si="2"/>
        <v>141.72999999999999</v>
      </c>
      <c r="L26" s="132">
        <f t="shared" si="5"/>
        <v>0.85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92.42</v>
      </c>
      <c r="E27" s="132">
        <f t="shared" si="4"/>
        <v>37.9</v>
      </c>
      <c r="F27" s="134">
        <f t="shared" si="1"/>
        <v>38.346464094971424</v>
      </c>
      <c r="G27" s="132">
        <f t="shared" si="4"/>
        <v>1.71</v>
      </c>
      <c r="H27" s="132">
        <f t="shared" si="4"/>
        <v>2.61</v>
      </c>
      <c r="I27" s="132"/>
      <c r="J27" s="134">
        <f t="shared" si="3"/>
        <v>42.666464094971424</v>
      </c>
      <c r="K27" s="134">
        <f t="shared" si="2"/>
        <v>145</v>
      </c>
      <c r="L27" s="132">
        <f t="shared" si="5"/>
        <v>0.87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94.55</v>
      </c>
      <c r="E28" s="132">
        <f t="shared" si="4"/>
        <v>38.770000000000003</v>
      </c>
      <c r="F28" s="134">
        <f t="shared" si="1"/>
        <v>39.229209585187157</v>
      </c>
      <c r="G28" s="132">
        <f t="shared" si="4"/>
        <v>1.75</v>
      </c>
      <c r="H28" s="132">
        <f t="shared" si="4"/>
        <v>2.67</v>
      </c>
      <c r="I28" s="132"/>
      <c r="J28" s="134">
        <f t="shared" si="3"/>
        <v>43.649209585187158</v>
      </c>
      <c r="K28" s="134">
        <f t="shared" si="2"/>
        <v>148.34</v>
      </c>
      <c r="L28" s="132">
        <f t="shared" si="5"/>
        <v>0.89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96.63</v>
      </c>
      <c r="E29" s="132">
        <f t="shared" si="4"/>
        <v>39.619999999999997</v>
      </c>
      <c r="F29" s="134">
        <f t="shared" si="1"/>
        <v>40.091357680631191</v>
      </c>
      <c r="G29" s="132">
        <f t="shared" si="4"/>
        <v>1.79</v>
      </c>
      <c r="H29" s="132">
        <f t="shared" si="4"/>
        <v>2.73</v>
      </c>
      <c r="I29" s="132"/>
      <c r="J29" s="134">
        <f t="shared" si="3"/>
        <v>44.611357680631187</v>
      </c>
      <c r="K29" s="134">
        <f t="shared" si="2"/>
        <v>151.61000000000001</v>
      </c>
      <c r="L29" s="132">
        <f t="shared" si="5"/>
        <v>0.91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98.76</v>
      </c>
      <c r="E30" s="132">
        <f t="shared" si="4"/>
        <v>40.49</v>
      </c>
      <c r="F30" s="134">
        <f t="shared" si="1"/>
        <v>40.974103170846924</v>
      </c>
      <c r="G30" s="132">
        <f t="shared" si="4"/>
        <v>1.83</v>
      </c>
      <c r="H30" s="132">
        <f t="shared" si="4"/>
        <v>2.79</v>
      </c>
      <c r="I30" s="132"/>
      <c r="J30" s="134">
        <f t="shared" si="3"/>
        <v>45.594103170846921</v>
      </c>
      <c r="K30" s="134">
        <f t="shared" si="2"/>
        <v>154.94999999999999</v>
      </c>
      <c r="L30" s="132">
        <f t="shared" si="5"/>
        <v>0.93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100.93</v>
      </c>
      <c r="E31" s="132">
        <f t="shared" si="4"/>
        <v>41.38</v>
      </c>
      <c r="F31" s="134">
        <f t="shared" si="1"/>
        <v>41.874503570866977</v>
      </c>
      <c r="G31" s="132">
        <f t="shared" si="4"/>
        <v>1.87</v>
      </c>
      <c r="H31" s="132">
        <f t="shared" si="4"/>
        <v>2.85</v>
      </c>
      <c r="I31" s="132"/>
      <c r="J31" s="134">
        <f t="shared" si="3"/>
        <v>46.594503570866976</v>
      </c>
      <c r="K31" s="134">
        <f t="shared" si="2"/>
        <v>158.35</v>
      </c>
      <c r="L31" s="132">
        <f t="shared" si="5"/>
        <v>0.95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103.25</v>
      </c>
      <c r="E32" s="132">
        <f t="shared" si="4"/>
        <v>42.33</v>
      </c>
      <c r="F32" s="134">
        <f t="shared" si="1"/>
        <v>42.836696155202119</v>
      </c>
      <c r="G32" s="132">
        <f t="shared" si="4"/>
        <v>1.91</v>
      </c>
      <c r="H32" s="132">
        <f t="shared" si="4"/>
        <v>2.92</v>
      </c>
      <c r="I32" s="132"/>
      <c r="J32" s="134">
        <f t="shared" si="3"/>
        <v>47.666696155202118</v>
      </c>
      <c r="K32" s="134">
        <f t="shared" si="2"/>
        <v>161.99</v>
      </c>
      <c r="L32" s="132">
        <f t="shared" si="5"/>
        <v>0.97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105.62</v>
      </c>
      <c r="E33" s="132">
        <f t="shared" si="4"/>
        <v>43.3</v>
      </c>
      <c r="F33" s="134">
        <f t="shared" si="1"/>
        <v>43.819486134308974</v>
      </c>
      <c r="G33" s="132">
        <f t="shared" si="4"/>
        <v>1.95</v>
      </c>
      <c r="H33" s="132">
        <f t="shared" si="4"/>
        <v>2.99</v>
      </c>
      <c r="I33" s="132"/>
      <c r="J33" s="134">
        <f t="shared" si="3"/>
        <v>48.759486134308979</v>
      </c>
      <c r="K33" s="134">
        <f t="shared" si="2"/>
        <v>165.71</v>
      </c>
      <c r="L33" s="132">
        <f t="shared" si="5"/>
        <v>0.99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108.05</v>
      </c>
      <c r="E34" s="132">
        <f t="shared" si="4"/>
        <v>44.3</v>
      </c>
      <c r="F34" s="134">
        <f t="shared" si="1"/>
        <v>44.828758478122289</v>
      </c>
      <c r="G34" s="132">
        <f t="shared" si="4"/>
        <v>1.99</v>
      </c>
      <c r="H34" s="132">
        <f t="shared" si="4"/>
        <v>3.06</v>
      </c>
      <c r="I34" s="132"/>
      <c r="J34" s="134">
        <f t="shared" si="3"/>
        <v>49.8787584781223</v>
      </c>
      <c r="K34" s="134">
        <f t="shared" si="2"/>
        <v>169.51</v>
      </c>
      <c r="L34" s="132">
        <f t="shared" si="5"/>
        <v>1.01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110.54</v>
      </c>
      <c r="E35" s="132">
        <f t="shared" si="4"/>
        <v>45.32</v>
      </c>
      <c r="F35" s="134">
        <f t="shared" si="1"/>
        <v>45.861570701674701</v>
      </c>
      <c r="G35" s="132">
        <f t="shared" si="4"/>
        <v>2.04</v>
      </c>
      <c r="H35" s="132">
        <f t="shared" si="4"/>
        <v>3.13</v>
      </c>
      <c r="I35" s="132"/>
      <c r="J35" s="134">
        <f t="shared" si="3"/>
        <v>51.031570701674703</v>
      </c>
      <c r="K35" s="134">
        <f t="shared" si="2"/>
        <v>173.43</v>
      </c>
      <c r="L35" s="132">
        <f t="shared" si="5"/>
        <v>1.03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113.08</v>
      </c>
      <c r="E36" s="132">
        <f t="shared" si="4"/>
        <v>46.36</v>
      </c>
      <c r="F36" s="134">
        <f t="shared" si="1"/>
        <v>46.914980319998804</v>
      </c>
      <c r="G36" s="132">
        <f t="shared" si="4"/>
        <v>2.09</v>
      </c>
      <c r="H36" s="132">
        <f t="shared" si="4"/>
        <v>3.2</v>
      </c>
      <c r="I36" s="132"/>
      <c r="J36" s="134">
        <f t="shared" si="3"/>
        <v>52.204980319998811</v>
      </c>
      <c r="K36" s="134">
        <f t="shared" si="2"/>
        <v>177.42</v>
      </c>
      <c r="L36" s="132">
        <f t="shared" si="5"/>
        <v>1.05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72</v>
      </c>
      <c r="C44" s="146" t="s">
        <v>73</v>
      </c>
      <c r="D44" s="147" t="s">
        <v>117</v>
      </c>
    </row>
    <row r="45" spans="2:15">
      <c r="C45" s="146" t="str">
        <f>C7</f>
        <v>(a)</v>
      </c>
      <c r="D45" s="121" t="s">
        <v>74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112</v>
      </c>
      <c r="C55" s="185">
        <v>1293.6882754756971</v>
      </c>
      <c r="D55" s="121" t="s">
        <v>74</v>
      </c>
      <c r="I55" s="121" t="s">
        <v>9</v>
      </c>
    </row>
    <row r="56" spans="2:24">
      <c r="B56" s="85" t="s">
        <v>111</v>
      </c>
      <c r="C56" s="154">
        <v>26.293898611068769</v>
      </c>
      <c r="D56" s="121" t="s">
        <v>77</v>
      </c>
      <c r="I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I57" s="121" t="s">
        <v>79</v>
      </c>
    </row>
    <row r="58" spans="2:24">
      <c r="B58" s="85" t="s">
        <v>111</v>
      </c>
      <c r="C58" s="154">
        <v>1.1816399331260157</v>
      </c>
      <c r="D58" s="121" t="s">
        <v>78</v>
      </c>
      <c r="I58" s="121" t="s">
        <v>79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>
        <v>-12.501261943267853</v>
      </c>
      <c r="D59" s="121" t="s">
        <v>80</v>
      </c>
      <c r="I59" s="121" t="s">
        <v>79</v>
      </c>
      <c r="J59" s="220" t="s">
        <v>115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111</v>
      </c>
      <c r="C60" s="159">
        <v>1.7950732843896238</v>
      </c>
      <c r="D60" s="121" t="s">
        <v>114</v>
      </c>
      <c r="I60" s="121" t="s">
        <v>79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237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2.3E-2</v>
      </c>
      <c r="O72" s="175"/>
    </row>
    <row r="73" spans="3:15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116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7" t="s">
        <v>120</v>
      </c>
      <c r="I5" s="125" t="s">
        <v>70</v>
      </c>
      <c r="J5" s="125" t="s">
        <v>88</v>
      </c>
      <c r="K5" s="17" t="s">
        <v>55</v>
      </c>
      <c r="L5" s="125" t="s">
        <v>71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8" t="s">
        <v>33</v>
      </c>
      <c r="I6" s="127" t="s">
        <v>33</v>
      </c>
      <c r="J6" s="127" t="s">
        <v>33</v>
      </c>
      <c r="K6" s="19" t="s">
        <v>9</v>
      </c>
      <c r="L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24</v>
      </c>
      <c r="K7" s="129" t="s">
        <v>25</v>
      </c>
      <c r="L7" s="129" t="s">
        <v>25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27.44</v>
      </c>
      <c r="F13" s="134">
        <f t="shared" si="1"/>
        <v>8.0741787505065687</v>
      </c>
      <c r="G13" s="132">
        <f t="shared" si="4"/>
        <v>1.23</v>
      </c>
      <c r="H13" s="132">
        <f t="shared" si="4"/>
        <v>1.88</v>
      </c>
      <c r="I13" s="132"/>
      <c r="J13" s="134">
        <f t="shared" si="3"/>
        <v>11.184178750506568</v>
      </c>
      <c r="K13" s="134">
        <f t="shared" si="2"/>
        <v>38.01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28.04</v>
      </c>
      <c r="F14" s="134">
        <f t="shared" si="1"/>
        <v>8.2507278485497153</v>
      </c>
      <c r="G14" s="132">
        <f t="shared" si="4"/>
        <v>1.26</v>
      </c>
      <c r="H14" s="132">
        <f t="shared" si="4"/>
        <v>1.92</v>
      </c>
      <c r="I14" s="132"/>
      <c r="J14" s="134">
        <f t="shared" si="3"/>
        <v>11.430727848549715</v>
      </c>
      <c r="K14" s="134">
        <f t="shared" si="2"/>
        <v>38.85</v>
      </c>
      <c r="L14" s="132">
        <f t="shared" si="5"/>
        <v>0.62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28.71</v>
      </c>
      <c r="F15" s="134">
        <f t="shared" si="1"/>
        <v>28.485634953393888</v>
      </c>
      <c r="G15" s="132">
        <f t="shared" si="4"/>
        <v>1.29</v>
      </c>
      <c r="H15" s="132">
        <f t="shared" si="4"/>
        <v>1.97</v>
      </c>
      <c r="I15" s="132">
        <v>-34.479999999999997</v>
      </c>
      <c r="J15" s="134">
        <f t="shared" si="3"/>
        <v>-2.7343650466061096</v>
      </c>
      <c r="K15" s="134">
        <f t="shared" si="2"/>
        <v>-9.2899999999999991</v>
      </c>
      <c r="L15" s="132">
        <f t="shared" si="5"/>
        <v>0.63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69.73</v>
      </c>
      <c r="E16" s="132">
        <f t="shared" si="4"/>
        <v>29.4</v>
      </c>
      <c r="F16" s="134">
        <f t="shared" si="1"/>
        <v>29.168853481695194</v>
      </c>
      <c r="G16" s="132">
        <f t="shared" si="4"/>
        <v>1.32</v>
      </c>
      <c r="H16" s="132">
        <f t="shared" si="4"/>
        <v>2.02</v>
      </c>
      <c r="I16" s="132">
        <v>-34.479999999999997</v>
      </c>
      <c r="J16" s="134">
        <f t="shared" si="3"/>
        <v>-1.9711465183048023</v>
      </c>
      <c r="K16" s="134">
        <f t="shared" si="2"/>
        <v>-6.7</v>
      </c>
      <c r="L16" s="132">
        <f t="shared" si="5"/>
        <v>0.65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71.400000000000006</v>
      </c>
      <c r="E17" s="132">
        <f t="shared" si="4"/>
        <v>30.11</v>
      </c>
      <c r="F17" s="134">
        <f t="shared" si="1"/>
        <v>29.869164903933012</v>
      </c>
      <c r="G17" s="132">
        <f t="shared" si="4"/>
        <v>1.35</v>
      </c>
      <c r="H17" s="132">
        <f t="shared" si="4"/>
        <v>2.0699999999999998</v>
      </c>
      <c r="I17" s="132">
        <v>-35.799999999999997</v>
      </c>
      <c r="J17" s="134">
        <f t="shared" si="3"/>
        <v>-2.5108350960669861</v>
      </c>
      <c r="K17" s="134">
        <f t="shared" si="2"/>
        <v>-8.5299999999999994</v>
      </c>
      <c r="L17" s="132">
        <f t="shared" si="5"/>
        <v>0.67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73.11</v>
      </c>
      <c r="E18" s="132">
        <f t="shared" si="4"/>
        <v>30.83</v>
      </c>
      <c r="F18" s="134">
        <f t="shared" si="1"/>
        <v>30.584188751007751</v>
      </c>
      <c r="G18" s="132">
        <f t="shared" si="4"/>
        <v>1.38</v>
      </c>
      <c r="H18" s="132">
        <f t="shared" si="4"/>
        <v>2.12</v>
      </c>
      <c r="I18" s="132">
        <v>-35.799999999999997</v>
      </c>
      <c r="J18" s="134">
        <f t="shared" si="3"/>
        <v>-1.7158112489922459</v>
      </c>
      <c r="K18" s="134">
        <f t="shared" si="2"/>
        <v>-5.83</v>
      </c>
      <c r="L18" s="132">
        <f t="shared" si="5"/>
        <v>0.69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74.790000000000006</v>
      </c>
      <c r="E19" s="132">
        <f t="shared" si="4"/>
        <v>31.54</v>
      </c>
      <c r="F19" s="134">
        <f t="shared" si="1"/>
        <v>31.287442658212957</v>
      </c>
      <c r="G19" s="132">
        <f t="shared" si="4"/>
        <v>1.41</v>
      </c>
      <c r="H19" s="132">
        <f t="shared" si="4"/>
        <v>2.17</v>
      </c>
      <c r="I19" s="132">
        <v>-37.130000000000003</v>
      </c>
      <c r="J19" s="134">
        <f t="shared" si="3"/>
        <v>-2.2625573417870459</v>
      </c>
      <c r="K19" s="134">
        <f t="shared" si="2"/>
        <v>-7.69</v>
      </c>
      <c r="L19" s="132">
        <f t="shared" si="5"/>
        <v>0.71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76.510000000000005</v>
      </c>
      <c r="E20" s="132">
        <f t="shared" si="4"/>
        <v>32.270000000000003</v>
      </c>
      <c r="F20" s="134">
        <f t="shared" si="1"/>
        <v>32.008351475222469</v>
      </c>
      <c r="G20" s="132">
        <f t="shared" si="4"/>
        <v>1.44</v>
      </c>
      <c r="H20" s="132">
        <f t="shared" si="4"/>
        <v>2.2200000000000002</v>
      </c>
      <c r="I20" s="132">
        <v>-37.130000000000003</v>
      </c>
      <c r="J20" s="134">
        <f t="shared" si="3"/>
        <v>-1.4616485247775337</v>
      </c>
      <c r="K20" s="134">
        <f t="shared" si="2"/>
        <v>-4.97</v>
      </c>
      <c r="L20" s="132">
        <f t="shared" si="5"/>
        <v>0.73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78.27</v>
      </c>
      <c r="E21" s="132">
        <f t="shared" si="4"/>
        <v>33.01</v>
      </c>
      <c r="F21" s="134">
        <f t="shared" si="1"/>
        <v>32.743972717068914</v>
      </c>
      <c r="G21" s="132">
        <f t="shared" si="4"/>
        <v>1.47</v>
      </c>
      <c r="H21" s="132">
        <f t="shared" si="4"/>
        <v>2.27</v>
      </c>
      <c r="I21" s="132">
        <v>-38.450000000000003</v>
      </c>
      <c r="J21" s="134">
        <f t="shared" si="3"/>
        <v>-1.9660272829310892</v>
      </c>
      <c r="K21" s="134">
        <f t="shared" si="2"/>
        <v>-6.68</v>
      </c>
      <c r="L21" s="132">
        <f t="shared" si="5"/>
        <v>0.75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80.150000000000006</v>
      </c>
      <c r="E22" s="132">
        <f t="shared" si="4"/>
        <v>33.799999999999997</v>
      </c>
      <c r="F22" s="134">
        <f t="shared" si="1"/>
        <v>33.529616203360916</v>
      </c>
      <c r="G22" s="132">
        <f t="shared" si="4"/>
        <v>1.51</v>
      </c>
      <c r="H22" s="132">
        <f t="shared" si="4"/>
        <v>2.3199999999999998</v>
      </c>
      <c r="I22" s="132">
        <v>-38.450000000000003</v>
      </c>
      <c r="J22" s="134">
        <f t="shared" si="3"/>
        <v>-1.0903837966390868</v>
      </c>
      <c r="K22" s="134">
        <f t="shared" si="2"/>
        <v>-3.71</v>
      </c>
      <c r="L22" s="132">
        <f t="shared" si="5"/>
        <v>0.77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82.07</v>
      </c>
      <c r="E23" s="132">
        <f t="shared" si="4"/>
        <v>34.61</v>
      </c>
      <c r="F23" s="134">
        <f t="shared" si="1"/>
        <v>34.332914599457226</v>
      </c>
      <c r="G23" s="132">
        <f t="shared" si="4"/>
        <v>1.55</v>
      </c>
      <c r="H23" s="132">
        <f t="shared" si="4"/>
        <v>2.38</v>
      </c>
      <c r="I23" s="132">
        <v>-39.78</v>
      </c>
      <c r="J23" s="134">
        <f t="shared" si="3"/>
        <v>-1.5170854005427756</v>
      </c>
      <c r="K23" s="134">
        <f t="shared" si="2"/>
        <v>-5.16</v>
      </c>
      <c r="L23" s="132">
        <f t="shared" si="5"/>
        <v>0.79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83.96</v>
      </c>
      <c r="E24" s="132">
        <f t="shared" si="4"/>
        <v>35.409999999999997</v>
      </c>
      <c r="F24" s="134">
        <f t="shared" si="1"/>
        <v>35.124443055684004</v>
      </c>
      <c r="G24" s="132">
        <f t="shared" si="4"/>
        <v>1.59</v>
      </c>
      <c r="H24" s="132">
        <f t="shared" si="4"/>
        <v>2.4300000000000002</v>
      </c>
      <c r="I24" s="132">
        <v>-41.11</v>
      </c>
      <c r="J24" s="134">
        <f t="shared" si="3"/>
        <v>-1.965556944315995</v>
      </c>
      <c r="K24" s="134">
        <f t="shared" si="2"/>
        <v>-6.68</v>
      </c>
      <c r="L24" s="132">
        <f t="shared" si="5"/>
        <v>0.81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85.89</v>
      </c>
      <c r="E25" s="132">
        <f t="shared" si="4"/>
        <v>36.22</v>
      </c>
      <c r="F25" s="134">
        <f t="shared" si="1"/>
        <v>35.930683936747705</v>
      </c>
      <c r="G25" s="132">
        <f t="shared" si="4"/>
        <v>1.63</v>
      </c>
      <c r="H25" s="132">
        <f t="shared" si="4"/>
        <v>2.4900000000000002</v>
      </c>
      <c r="I25" s="132"/>
      <c r="J25" s="134">
        <f t="shared" si="3"/>
        <v>40.05068393674771</v>
      </c>
      <c r="K25" s="134">
        <f t="shared" si="2"/>
        <v>136.11000000000001</v>
      </c>
      <c r="L25" s="132">
        <f t="shared" si="5"/>
        <v>0.83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87.87</v>
      </c>
      <c r="E26" s="132">
        <f t="shared" si="4"/>
        <v>37.049999999999997</v>
      </c>
      <c r="F26" s="134">
        <f t="shared" si="1"/>
        <v>36.757522212583112</v>
      </c>
      <c r="G26" s="132">
        <f t="shared" si="4"/>
        <v>1.67</v>
      </c>
      <c r="H26" s="132">
        <f t="shared" si="4"/>
        <v>2.5499999999999998</v>
      </c>
      <c r="I26" s="132"/>
      <c r="J26" s="134">
        <f t="shared" si="3"/>
        <v>40.977522212583111</v>
      </c>
      <c r="K26" s="134">
        <f t="shared" si="2"/>
        <v>139.26</v>
      </c>
      <c r="L26" s="132">
        <f t="shared" si="5"/>
        <v>0.85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89.89</v>
      </c>
      <c r="E27" s="132">
        <f t="shared" si="4"/>
        <v>37.9</v>
      </c>
      <c r="F27" s="134">
        <f t="shared" si="1"/>
        <v>37.602015398222825</v>
      </c>
      <c r="G27" s="132">
        <f t="shared" si="4"/>
        <v>1.71</v>
      </c>
      <c r="H27" s="132">
        <f t="shared" si="4"/>
        <v>2.61</v>
      </c>
      <c r="I27" s="132"/>
      <c r="J27" s="134">
        <f t="shared" si="3"/>
        <v>41.922015398222825</v>
      </c>
      <c r="K27" s="134">
        <f t="shared" si="2"/>
        <v>142.47</v>
      </c>
      <c r="L27" s="132">
        <f t="shared" si="5"/>
        <v>0.87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91.96</v>
      </c>
      <c r="E28" s="132">
        <f t="shared" si="4"/>
        <v>38.770000000000003</v>
      </c>
      <c r="F28" s="134">
        <f t="shared" si="1"/>
        <v>38.467105978634244</v>
      </c>
      <c r="G28" s="132">
        <f t="shared" si="4"/>
        <v>1.75</v>
      </c>
      <c r="H28" s="132">
        <f t="shared" si="4"/>
        <v>2.67</v>
      </c>
      <c r="I28" s="132"/>
      <c r="J28" s="134">
        <f t="shared" si="3"/>
        <v>42.887105978634246</v>
      </c>
      <c r="K28" s="134">
        <f t="shared" si="2"/>
        <v>145.75</v>
      </c>
      <c r="L28" s="132">
        <f t="shared" si="5"/>
        <v>0.89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93.98</v>
      </c>
      <c r="E29" s="132">
        <f t="shared" si="4"/>
        <v>39.619999999999997</v>
      </c>
      <c r="F29" s="134">
        <f t="shared" si="1"/>
        <v>39.311599164273964</v>
      </c>
      <c r="G29" s="132">
        <f t="shared" si="4"/>
        <v>1.79</v>
      </c>
      <c r="H29" s="132">
        <f t="shared" si="4"/>
        <v>2.73</v>
      </c>
      <c r="I29" s="132"/>
      <c r="J29" s="134">
        <f t="shared" si="3"/>
        <v>43.83159916427396</v>
      </c>
      <c r="K29" s="134">
        <f t="shared" si="2"/>
        <v>148.96</v>
      </c>
      <c r="L29" s="132">
        <f t="shared" si="5"/>
        <v>0.91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96.05</v>
      </c>
      <c r="E30" s="132">
        <f t="shared" si="4"/>
        <v>40.49</v>
      </c>
      <c r="F30" s="134">
        <f t="shared" si="1"/>
        <v>40.176689744685376</v>
      </c>
      <c r="G30" s="132">
        <f t="shared" si="4"/>
        <v>1.83</v>
      </c>
      <c r="H30" s="132">
        <f t="shared" si="4"/>
        <v>2.79</v>
      </c>
      <c r="I30" s="132"/>
      <c r="J30" s="134">
        <f t="shared" si="3"/>
        <v>44.796689744685374</v>
      </c>
      <c r="K30" s="134">
        <f t="shared" si="2"/>
        <v>152.24</v>
      </c>
      <c r="L30" s="132">
        <f t="shared" si="5"/>
        <v>0.93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98.16</v>
      </c>
      <c r="E31" s="132">
        <f t="shared" si="4"/>
        <v>41.38</v>
      </c>
      <c r="F31" s="134">
        <f t="shared" si="1"/>
        <v>41.059435234901109</v>
      </c>
      <c r="G31" s="132">
        <f t="shared" si="4"/>
        <v>1.87</v>
      </c>
      <c r="H31" s="132">
        <f t="shared" si="4"/>
        <v>2.85</v>
      </c>
      <c r="I31" s="132"/>
      <c r="J31" s="134">
        <f t="shared" si="3"/>
        <v>45.779435234901108</v>
      </c>
      <c r="K31" s="134">
        <f t="shared" si="2"/>
        <v>155.58000000000001</v>
      </c>
      <c r="L31" s="132">
        <f t="shared" si="5"/>
        <v>0.95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100.42</v>
      </c>
      <c r="E32" s="132">
        <f t="shared" si="4"/>
        <v>42.33</v>
      </c>
      <c r="F32" s="134">
        <f t="shared" si="1"/>
        <v>42.003972909431944</v>
      </c>
      <c r="G32" s="132">
        <f t="shared" si="4"/>
        <v>1.91</v>
      </c>
      <c r="H32" s="132">
        <f t="shared" si="4"/>
        <v>2.92</v>
      </c>
      <c r="I32" s="132"/>
      <c r="J32" s="134">
        <f t="shared" si="3"/>
        <v>46.833972909431942</v>
      </c>
      <c r="K32" s="134">
        <f t="shared" si="2"/>
        <v>159.16</v>
      </c>
      <c r="L32" s="132">
        <f t="shared" si="5"/>
        <v>0.97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102.73</v>
      </c>
      <c r="E33" s="132">
        <f t="shared" si="4"/>
        <v>43.3</v>
      </c>
      <c r="F33" s="134">
        <f t="shared" si="1"/>
        <v>42.969107978734485</v>
      </c>
      <c r="G33" s="132">
        <f t="shared" si="4"/>
        <v>1.95</v>
      </c>
      <c r="H33" s="132">
        <f t="shared" si="4"/>
        <v>2.99</v>
      </c>
      <c r="I33" s="132"/>
      <c r="J33" s="134">
        <f t="shared" si="3"/>
        <v>47.90910797873449</v>
      </c>
      <c r="K33" s="134">
        <f t="shared" si="2"/>
        <v>162.82</v>
      </c>
      <c r="L33" s="132">
        <f t="shared" si="5"/>
        <v>0.99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105.09</v>
      </c>
      <c r="E34" s="132">
        <f t="shared" si="4"/>
        <v>44.3</v>
      </c>
      <c r="F34" s="134">
        <f t="shared" si="1"/>
        <v>43.957782927776101</v>
      </c>
      <c r="G34" s="132">
        <f t="shared" si="4"/>
        <v>1.99</v>
      </c>
      <c r="H34" s="132">
        <f t="shared" si="4"/>
        <v>3.06</v>
      </c>
      <c r="I34" s="132"/>
      <c r="J34" s="134">
        <f t="shared" si="3"/>
        <v>49.007782927776105</v>
      </c>
      <c r="K34" s="134">
        <f t="shared" si="2"/>
        <v>166.55</v>
      </c>
      <c r="L34" s="132">
        <f t="shared" si="5"/>
        <v>1.01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107.51</v>
      </c>
      <c r="E35" s="132">
        <f t="shared" si="4"/>
        <v>45.32</v>
      </c>
      <c r="F35" s="134">
        <f t="shared" si="1"/>
        <v>44.969997756556815</v>
      </c>
      <c r="G35" s="132">
        <f t="shared" si="4"/>
        <v>2.04</v>
      </c>
      <c r="H35" s="132">
        <f t="shared" si="4"/>
        <v>3.13</v>
      </c>
      <c r="I35" s="132"/>
      <c r="J35" s="134">
        <f t="shared" si="3"/>
        <v>50.139997756556816</v>
      </c>
      <c r="K35" s="134">
        <f t="shared" si="2"/>
        <v>170.4</v>
      </c>
      <c r="L35" s="132">
        <f t="shared" si="5"/>
        <v>1.03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109.98</v>
      </c>
      <c r="E36" s="132">
        <f t="shared" si="4"/>
        <v>46.36</v>
      </c>
      <c r="F36" s="134">
        <f t="shared" si="1"/>
        <v>46.00280998010922</v>
      </c>
      <c r="G36" s="132">
        <f t="shared" si="4"/>
        <v>2.09</v>
      </c>
      <c r="H36" s="132">
        <f t="shared" si="4"/>
        <v>3.2</v>
      </c>
      <c r="I36" s="132"/>
      <c r="J36" s="134">
        <f t="shared" si="3"/>
        <v>51.292809980109226</v>
      </c>
      <c r="K36" s="134">
        <f t="shared" si="2"/>
        <v>174.32</v>
      </c>
      <c r="L36" s="132">
        <f t="shared" si="5"/>
        <v>1.05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27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74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118</v>
      </c>
      <c r="C55" s="185">
        <v>1288.7722600288894</v>
      </c>
      <c r="D55" s="121" t="s">
        <v>74</v>
      </c>
      <c r="I55" s="121" t="s">
        <v>9</v>
      </c>
    </row>
    <row r="56" spans="2:24">
      <c r="B56" s="85" t="s">
        <v>111</v>
      </c>
      <c r="C56" s="154">
        <v>26.293898611068769</v>
      </c>
      <c r="D56" s="121" t="s">
        <v>77</v>
      </c>
      <c r="I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I57" s="121" t="s">
        <v>79</v>
      </c>
    </row>
    <row r="58" spans="2:24">
      <c r="B58" s="85" t="s">
        <v>111</v>
      </c>
      <c r="C58" s="154">
        <v>1.1816399331260157</v>
      </c>
      <c r="D58" s="121" t="s">
        <v>78</v>
      </c>
      <c r="I58" s="121" t="s">
        <v>79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>
        <v>-12.501261943267853</v>
      </c>
      <c r="D59" s="121" t="s">
        <v>80</v>
      </c>
      <c r="I59" s="121" t="s">
        <v>79</v>
      </c>
      <c r="J59" s="220" t="s">
        <v>115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111</v>
      </c>
      <c r="C60" s="159">
        <v>1.7950732843896238</v>
      </c>
      <c r="D60" s="121" t="s">
        <v>114</v>
      </c>
      <c r="I60" s="121" t="s">
        <v>79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38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39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2.3E-2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0.02</v>
      </c>
      <c r="E68" s="85"/>
      <c r="F68" s="87">
        <f t="shared" si="7"/>
        <v>2028</v>
      </c>
      <c r="G68" s="41">
        <v>2.4E-2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5" s="123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2.3E-2</v>
      </c>
      <c r="O72" s="175"/>
    </row>
    <row r="73" spans="3:15" s="123" customFormat="1">
      <c r="C73" s="87">
        <f t="shared" si="6"/>
        <v>2024</v>
      </c>
      <c r="D73" s="41">
        <v>2.4E-2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100" workbookViewId="0">
      <selection activeCell="A18" sqref="A18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5" t="s">
        <v>31</v>
      </c>
    </row>
    <row r="5" spans="2:15" ht="15.75">
      <c r="B5" s="1" t="str">
        <f ca="1">'Table 1'!$B$5</f>
        <v>Kennecott Refinery Non Firm - 6.2 MW and 85.0% CF</v>
      </c>
      <c r="C5" s="1"/>
      <c r="G5" s="96">
        <v>43553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7"/>
      <c r="H10" s="98"/>
    </row>
    <row r="11" spans="2:15" hidden="1">
      <c r="C11" s="12"/>
      <c r="G11" s="97"/>
      <c r="H11" s="98"/>
    </row>
    <row r="12" spans="2:15" hidden="1">
      <c r="C12" s="25"/>
      <c r="G12" s="97"/>
      <c r="H12" s="98"/>
    </row>
    <row r="13" spans="2:15" ht="6" customHeight="1">
      <c r="G13" s="99"/>
      <c r="H13" s="100"/>
    </row>
    <row r="14" spans="2:15" hidden="1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2:15" ht="13.5" hidden="1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2.65</v>
      </c>
      <c r="D15" s="27">
        <f t="shared" ref="D15:D40" si="2">ROUND(SUMIF($K$17:$K$340,$B15,$I$17:$I$340)/COUNTIF($K$17:$K$340,$B15),2)</f>
        <v>3.31</v>
      </c>
      <c r="E15" s="27">
        <f t="shared" ref="E15:E40" si="3">ROUND(SUMIF($K$17:$K$340,$B15,$J$17:$J$340)/COUNTIF($K$17:$K$340,$B15),2)</f>
        <v>2.66</v>
      </c>
      <c r="G15" s="30"/>
      <c r="H15" s="34" t="s">
        <v>66</v>
      </c>
      <c r="I15" s="3" t="s">
        <v>67</v>
      </c>
      <c r="J15" s="3" t="s">
        <v>68</v>
      </c>
      <c r="N15" s="3" t="s">
        <v>67</v>
      </c>
    </row>
    <row r="16" spans="2:15" ht="13.5" hidden="1" thickBot="1">
      <c r="B16" s="26">
        <f t="shared" si="0"/>
        <v>2018</v>
      </c>
      <c r="C16" s="27">
        <f t="shared" si="1"/>
        <v>2.59</v>
      </c>
      <c r="D16" s="27">
        <f t="shared" si="2"/>
        <v>3.23</v>
      </c>
      <c r="E16" s="27">
        <f t="shared" si="3"/>
        <v>2.6</v>
      </c>
      <c r="G16" s="30" t="s">
        <v>30</v>
      </c>
      <c r="H16" s="34" t="s">
        <v>29</v>
      </c>
      <c r="I16" s="34" t="s">
        <v>29</v>
      </c>
      <c r="J16" s="34" t="s">
        <v>29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113</v>
      </c>
      <c r="O16" s="103" t="s">
        <v>68</v>
      </c>
    </row>
    <row r="17" spans="2:15" ht="13.5" hidden="1" thickBot="1">
      <c r="B17" s="26">
        <f t="shared" si="0"/>
        <v>2019</v>
      </c>
      <c r="C17" s="27">
        <f t="shared" si="1"/>
        <v>2.75</v>
      </c>
      <c r="D17" s="27">
        <f t="shared" si="2"/>
        <v>4.37</v>
      </c>
      <c r="E17" s="27">
        <f t="shared" si="3"/>
        <v>2.4300000000000002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v>2020</v>
      </c>
      <c r="C18" s="27">
        <f t="shared" si="1"/>
        <v>2.37</v>
      </c>
      <c r="D18" s="27">
        <f t="shared" si="2"/>
        <v>2.33</v>
      </c>
      <c r="E18" s="27">
        <f t="shared" si="3"/>
        <v>2.17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 hidden="1">
      <c r="B19" s="26">
        <f t="shared" si="0"/>
        <v>2021</v>
      </c>
      <c r="C19" s="27">
        <f t="shared" si="1"/>
        <v>2.25</v>
      </c>
      <c r="D19" s="27">
        <f t="shared" si="2"/>
        <v>2.14</v>
      </c>
      <c r="E19" s="27">
        <f t="shared" si="3"/>
        <v>2.13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 hidden="1">
      <c r="B20" s="26">
        <f t="shared" si="0"/>
        <v>2022</v>
      </c>
      <c r="C20" s="27">
        <f t="shared" si="1"/>
        <v>2.36</v>
      </c>
      <c r="D20" s="27">
        <f t="shared" si="2"/>
        <v>2.2799999999999998</v>
      </c>
      <c r="E20" s="27">
        <f t="shared" si="3"/>
        <v>2.2400000000000002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 hidden="1">
      <c r="B21" s="26">
        <f t="shared" si="0"/>
        <v>2023</v>
      </c>
      <c r="C21" s="27">
        <f t="shared" si="1"/>
        <v>2.5299999999999998</v>
      </c>
      <c r="D21" s="27">
        <f t="shared" si="2"/>
        <v>2.4900000000000002</v>
      </c>
      <c r="E21" s="27">
        <f t="shared" si="3"/>
        <v>2.41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 hidden="1">
      <c r="B22" s="26">
        <f t="shared" si="0"/>
        <v>2024</v>
      </c>
      <c r="C22" s="27">
        <f t="shared" si="1"/>
        <v>2.82</v>
      </c>
      <c r="D22" s="27">
        <f t="shared" si="2"/>
        <v>2.84</v>
      </c>
      <c r="E22" s="27">
        <f t="shared" si="3"/>
        <v>2.7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 hidden="1">
      <c r="B23" s="26">
        <f t="shared" si="0"/>
        <v>2025</v>
      </c>
      <c r="C23" s="27">
        <f t="shared" si="1"/>
        <v>3.19</v>
      </c>
      <c r="D23" s="27">
        <f t="shared" si="2"/>
        <v>3.18</v>
      </c>
      <c r="E23" s="27">
        <f t="shared" si="3"/>
        <v>3.06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 hidden="1">
      <c r="B24" s="26">
        <f t="shared" si="0"/>
        <v>2026</v>
      </c>
      <c r="C24" s="27">
        <f t="shared" si="1"/>
        <v>3.42</v>
      </c>
      <c r="D24" s="27">
        <f t="shared" si="2"/>
        <v>3.44</v>
      </c>
      <c r="E24" s="27">
        <f t="shared" si="3"/>
        <v>3.29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 hidden="1">
      <c r="B25" s="26">
        <f t="shared" si="0"/>
        <v>2027</v>
      </c>
      <c r="C25" s="27">
        <f t="shared" si="1"/>
        <v>3.56</v>
      </c>
      <c r="D25" s="27">
        <f t="shared" si="2"/>
        <v>3.6</v>
      </c>
      <c r="E25" s="27">
        <f t="shared" si="3"/>
        <v>3.44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 hidden="1">
      <c r="B26" s="26">
        <f t="shared" si="0"/>
        <v>2028</v>
      </c>
      <c r="C26" s="27">
        <f t="shared" si="1"/>
        <v>3.8</v>
      </c>
      <c r="D26" s="27">
        <f t="shared" si="2"/>
        <v>3.86</v>
      </c>
      <c r="E26" s="27">
        <f t="shared" si="3"/>
        <v>3.67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 hidden="1">
      <c r="B27" s="26">
        <f t="shared" si="0"/>
        <v>2029</v>
      </c>
      <c r="C27" s="27">
        <f t="shared" si="1"/>
        <v>3.94</v>
      </c>
      <c r="D27" s="27">
        <f t="shared" si="2"/>
        <v>4.0199999999999996</v>
      </c>
      <c r="E27" s="27">
        <f t="shared" si="3"/>
        <v>3.81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 hidden="1">
      <c r="B28" s="26">
        <f t="shared" si="0"/>
        <v>2030</v>
      </c>
      <c r="C28" s="27">
        <f t="shared" si="1"/>
        <v>4.0999999999999996</v>
      </c>
      <c r="D28" s="27">
        <f t="shared" si="2"/>
        <v>4.16</v>
      </c>
      <c r="E28" s="27">
        <f t="shared" si="3"/>
        <v>3.96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 hidden="1">
      <c r="B29" s="26">
        <f t="shared" si="0"/>
        <v>2031</v>
      </c>
      <c r="C29" s="27">
        <f t="shared" si="1"/>
        <v>4.4000000000000004</v>
      </c>
      <c r="D29" s="27">
        <f t="shared" si="2"/>
        <v>4.45</v>
      </c>
      <c r="E29" s="27">
        <f t="shared" si="3"/>
        <v>4.2699999999999996</v>
      </c>
      <c r="G29" s="31">
        <v>42736</v>
      </c>
      <c r="H29" s="35">
        <v>2.9365659189280224</v>
      </c>
      <c r="I29" s="35">
        <v>2.8135887402859616</v>
      </c>
      <c r="J29" s="35">
        <v>3.0826510126176525</v>
      </c>
      <c r="K29" s="104">
        <f t="shared" si="4"/>
        <v>2017</v>
      </c>
    </row>
    <row r="30" spans="2:15" hidden="1">
      <c r="B30" s="26">
        <f t="shared" si="0"/>
        <v>2032</v>
      </c>
      <c r="C30" s="27">
        <f t="shared" si="1"/>
        <v>4.6500000000000004</v>
      </c>
      <c r="D30" s="27">
        <f t="shared" si="2"/>
        <v>4.68</v>
      </c>
      <c r="E30" s="27">
        <f t="shared" si="3"/>
        <v>4.51</v>
      </c>
      <c r="G30" s="31">
        <v>42767</v>
      </c>
      <c r="H30" s="35">
        <v>2.2424949344592338</v>
      </c>
      <c r="I30" s="35">
        <v>2.2559061081726517</v>
      </c>
      <c r="J30" s="35">
        <v>2.2490598127356938</v>
      </c>
      <c r="K30" s="104">
        <f t="shared" si="4"/>
        <v>2017</v>
      </c>
    </row>
    <row r="31" spans="2:15" hidden="1">
      <c r="B31" s="26">
        <f t="shared" si="0"/>
        <v>2033</v>
      </c>
      <c r="C31" s="27">
        <f t="shared" si="1"/>
        <v>5.04</v>
      </c>
      <c r="D31" s="27">
        <f t="shared" si="2"/>
        <v>5.03</v>
      </c>
      <c r="E31" s="27">
        <f t="shared" si="3"/>
        <v>4.8899999999999997</v>
      </c>
      <c r="G31" s="31">
        <v>42795</v>
      </c>
      <c r="H31" s="35">
        <v>2.1136794713706815</v>
      </c>
      <c r="I31" s="35">
        <v>2.1843639754367272</v>
      </c>
      <c r="J31" s="35">
        <v>2.1613389321133352</v>
      </c>
      <c r="K31" s="104">
        <f t="shared" si="4"/>
        <v>2017</v>
      </c>
    </row>
    <row r="32" spans="2:15" hidden="1">
      <c r="B32" s="26">
        <f t="shared" si="0"/>
        <v>2034</v>
      </c>
      <c r="C32" s="27">
        <f t="shared" si="1"/>
        <v>5.19</v>
      </c>
      <c r="D32" s="27">
        <f t="shared" si="2"/>
        <v>5.17</v>
      </c>
      <c r="E32" s="27">
        <f t="shared" si="3"/>
        <v>5.05</v>
      </c>
      <c r="G32" s="31">
        <v>42826</v>
      </c>
      <c r="H32" s="35">
        <v>1.9776764449626556</v>
      </c>
      <c r="I32" s="35">
        <v>2.02262576128114</v>
      </c>
      <c r="J32" s="35">
        <v>2.0694667469637662</v>
      </c>
      <c r="K32" s="104">
        <f t="shared" si="4"/>
        <v>2017</v>
      </c>
    </row>
    <row r="33" spans="2:11" hidden="1">
      <c r="B33" s="26">
        <f t="shared" si="0"/>
        <v>2035</v>
      </c>
      <c r="C33" s="27">
        <f t="shared" si="1"/>
        <v>5.35</v>
      </c>
      <c r="D33" s="27">
        <f t="shared" si="2"/>
        <v>5.27</v>
      </c>
      <c r="E33" s="27">
        <f t="shared" si="3"/>
        <v>5.2</v>
      </c>
      <c r="G33" s="31">
        <v>42856</v>
      </c>
      <c r="H33" s="35">
        <v>1.7831839406645238</v>
      </c>
      <c r="I33" s="35">
        <v>1.5708405984016238</v>
      </c>
      <c r="J33" s="35">
        <v>1.8794896381126289</v>
      </c>
      <c r="K33" s="104">
        <f t="shared" si="4"/>
        <v>2017</v>
      </c>
    </row>
    <row r="34" spans="2:11" hidden="1">
      <c r="B34" s="26">
        <f t="shared" si="0"/>
        <v>2036</v>
      </c>
      <c r="C34" s="27">
        <f t="shared" si="1"/>
        <v>5.47</v>
      </c>
      <c r="D34" s="27">
        <f t="shared" si="2"/>
        <v>5.35</v>
      </c>
      <c r="E34" s="27">
        <f t="shared" si="3"/>
        <v>5.32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 hidden="1">
      <c r="B35" s="26">
        <f t="shared" si="0"/>
        <v>2037</v>
      </c>
      <c r="C35" s="27">
        <f t="shared" si="1"/>
        <v>5.87</v>
      </c>
      <c r="D35" s="27">
        <f t="shared" si="2"/>
        <v>5.76</v>
      </c>
      <c r="E35" s="27">
        <f t="shared" si="3"/>
        <v>5.72</v>
      </c>
      <c r="G35" s="31">
        <v>42917</v>
      </c>
      <c r="H35" s="35">
        <v>2.421637499285668</v>
      </c>
      <c r="I35" s="35">
        <v>2.353571484540065</v>
      </c>
      <c r="J35" s="35">
        <v>2.4674716230698741</v>
      </c>
      <c r="K35" s="104">
        <f t="shared" si="4"/>
        <v>2017</v>
      </c>
    </row>
    <row r="36" spans="2:11" hidden="1">
      <c r="B36" s="26">
        <f t="shared" si="0"/>
        <v>2038</v>
      </c>
      <c r="C36" s="27">
        <f t="shared" si="1"/>
        <v>6.15</v>
      </c>
      <c r="D36" s="27">
        <f t="shared" si="2"/>
        <v>6.01</v>
      </c>
      <c r="E36" s="27">
        <f t="shared" si="3"/>
        <v>6</v>
      </c>
      <c r="G36" s="31">
        <v>42948</v>
      </c>
      <c r="H36" s="35">
        <v>2.4788435090089065</v>
      </c>
      <c r="I36" s="35">
        <v>2.5401507418632927</v>
      </c>
      <c r="J36" s="35">
        <v>2.4624530543656684</v>
      </c>
      <c r="K36" s="104">
        <f t="shared" si="4"/>
        <v>2017</v>
      </c>
    </row>
    <row r="37" spans="2:11" hidden="1">
      <c r="B37" s="26">
        <f t="shared" si="0"/>
        <v>2039</v>
      </c>
      <c r="C37" s="27">
        <f t="shared" si="1"/>
        <v>6.4</v>
      </c>
      <c r="D37" s="27">
        <f t="shared" si="2"/>
        <v>6.25</v>
      </c>
      <c r="E37" s="27">
        <f t="shared" si="3"/>
        <v>6.25</v>
      </c>
      <c r="G37" s="31">
        <v>42979</v>
      </c>
      <c r="H37" s="35">
        <v>2.2194892808138165</v>
      </c>
      <c r="I37" s="35">
        <v>2.3919118237202426</v>
      </c>
      <c r="J37" s="35">
        <v>2.224504673004402</v>
      </c>
      <c r="K37" s="104">
        <f t="shared" si="4"/>
        <v>2017</v>
      </c>
    </row>
    <row r="38" spans="2:11" hidden="1">
      <c r="B38" s="26">
        <f t="shared" si="0"/>
        <v>2040</v>
      </c>
      <c r="C38" s="27">
        <f t="shared" si="1"/>
        <v>6.63</v>
      </c>
      <c r="D38" s="27">
        <f t="shared" si="2"/>
        <v>6.49</v>
      </c>
      <c r="E38" s="27">
        <f t="shared" si="3"/>
        <v>6.47</v>
      </c>
      <c r="G38" s="31">
        <v>43009</v>
      </c>
      <c r="H38" s="35">
        <v>2.9128539684320356</v>
      </c>
      <c r="I38" s="35">
        <v>4.6218921162427922</v>
      </c>
      <c r="J38" s="35">
        <v>2.9275610507263972</v>
      </c>
      <c r="K38" s="104">
        <f t="shared" si="4"/>
        <v>2017</v>
      </c>
    </row>
    <row r="39" spans="2:11" hidden="1">
      <c r="B39" s="26">
        <f t="shared" si="0"/>
        <v>2041</v>
      </c>
      <c r="C39" s="27">
        <f t="shared" si="1"/>
        <v>6.86</v>
      </c>
      <c r="D39" s="27">
        <f t="shared" si="2"/>
        <v>6.75</v>
      </c>
      <c r="E39" s="27">
        <f t="shared" si="3"/>
        <v>6.7</v>
      </c>
      <c r="G39" s="31">
        <v>43040</v>
      </c>
      <c r="H39" s="35">
        <v>3.9745333850417399</v>
      </c>
      <c r="I39" s="35">
        <v>8.6680488460990404</v>
      </c>
      <c r="J39" s="35">
        <v>3.8702964836561957</v>
      </c>
      <c r="K39" s="104">
        <f t="shared" si="4"/>
        <v>2017</v>
      </c>
    </row>
    <row r="40" spans="2:11" hidden="1">
      <c r="B40" s="26">
        <f t="shared" si="0"/>
        <v>2042</v>
      </c>
      <c r="C40" s="27">
        <f>ROUND(SUMIF($K$17:$K$340,$B40,$H$17:$H$340)/COUNTIF($K$17:$K$340,$B40),2)</f>
        <v>4.8899999999999997</v>
      </c>
      <c r="D40" s="27">
        <f t="shared" si="2"/>
        <v>4.8</v>
      </c>
      <c r="E40" s="27">
        <f t="shared" si="3"/>
        <v>4.78</v>
      </c>
      <c r="G40" s="31">
        <v>43070</v>
      </c>
      <c r="H40" s="35">
        <v>3.9079382357981771</v>
      </c>
      <c r="I40" s="35">
        <v>5.443905271233902</v>
      </c>
      <c r="J40" s="35">
        <v>3.5768990853253793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2.9365659189280224</v>
      </c>
      <c r="I41" s="35">
        <v>2.8135887402859616</v>
      </c>
      <c r="J41" s="35">
        <v>3.0826510126176525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2.2424949344592338</v>
      </c>
      <c r="I42" s="35">
        <v>2.2559061081726517</v>
      </c>
      <c r="J42" s="35">
        <v>2.2490598127356938</v>
      </c>
      <c r="K42" s="104">
        <f t="shared" si="4"/>
        <v>2018</v>
      </c>
    </row>
    <row r="43" spans="2:11">
      <c r="G43" s="31">
        <v>43160</v>
      </c>
      <c r="H43" s="35">
        <v>2.1136794713706815</v>
      </c>
      <c r="I43" s="35">
        <v>2.1843639754367272</v>
      </c>
      <c r="J43" s="35">
        <v>2.1613389321133352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Mar 29, 2019</v>
      </c>
      <c r="G44" s="31">
        <v>43191</v>
      </c>
      <c r="H44" s="35">
        <v>1.9776764449626556</v>
      </c>
      <c r="I44" s="35">
        <v>2.02262576128114</v>
      </c>
      <c r="J44" s="35">
        <v>2.0694667469637662</v>
      </c>
      <c r="K44" s="104">
        <f t="shared" si="4"/>
        <v>2018</v>
      </c>
    </row>
    <row r="45" spans="2:11">
      <c r="G45" s="31">
        <v>43221</v>
      </c>
      <c r="H45" s="35">
        <v>1.7831839406645238</v>
      </c>
      <c r="I45" s="35">
        <v>1.5708405984016238</v>
      </c>
      <c r="J45" s="35">
        <v>1.8794896381126289</v>
      </c>
      <c r="K45" s="104">
        <f t="shared" si="4"/>
        <v>2018</v>
      </c>
    </row>
    <row r="46" spans="2:11">
      <c r="G46" s="31">
        <v>43252</v>
      </c>
      <c r="H46" s="35">
        <v>2.1432785268173982</v>
      </c>
      <c r="I46" s="35">
        <v>1.8480369077372496</v>
      </c>
      <c r="J46" s="35">
        <v>2.252644504667269</v>
      </c>
      <c r="K46" s="104">
        <f t="shared" si="4"/>
        <v>2018</v>
      </c>
    </row>
    <row r="47" spans="2:11">
      <c r="G47" s="31">
        <v>43282</v>
      </c>
      <c r="H47" s="35">
        <v>2.421637499285668</v>
      </c>
      <c r="I47" s="35">
        <v>2.353571484540065</v>
      </c>
      <c r="J47" s="35">
        <v>2.4674716230698741</v>
      </c>
      <c r="K47" s="104">
        <f t="shared" si="4"/>
        <v>2018</v>
      </c>
    </row>
    <row r="48" spans="2:11">
      <c r="G48" s="31">
        <v>43313</v>
      </c>
      <c r="H48" s="35">
        <v>2.4788435090089065</v>
      </c>
      <c r="I48" s="35">
        <v>2.5401507418632927</v>
      </c>
      <c r="J48" s="35">
        <v>2.4624530543656684</v>
      </c>
      <c r="K48" s="104">
        <f t="shared" si="4"/>
        <v>2018</v>
      </c>
    </row>
    <row r="49" spans="7:13">
      <c r="G49" s="31">
        <v>43344</v>
      </c>
      <c r="H49" s="35">
        <v>2.2194892808138165</v>
      </c>
      <c r="I49" s="35">
        <v>2.3919118237202426</v>
      </c>
      <c r="J49" s="35">
        <v>2.224504673004402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2.9128539684320356</v>
      </c>
      <c r="I50" s="35">
        <v>4.6218921162427922</v>
      </c>
      <c r="J50" s="35">
        <v>2.9275610507263972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3.9745333850417399</v>
      </c>
      <c r="I51" s="35">
        <v>8.6680488460990404</v>
      </c>
      <c r="J51" s="35">
        <v>3.8702964836561957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3.9079382357981771</v>
      </c>
      <c r="I52" s="35">
        <v>5.443905271233902</v>
      </c>
      <c r="J52" s="35">
        <v>3.5768990853253793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3.1877490634924275</v>
      </c>
      <c r="I53" s="35">
        <v>3.6245487172817223</v>
      </c>
      <c r="J53" s="35">
        <v>2.9303131690480573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4.6376436365125295</v>
      </c>
      <c r="I54" s="35">
        <v>13.248679181072774</v>
      </c>
      <c r="J54" s="35">
        <v>2.6293956266758434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2.8840796764808312</v>
      </c>
      <c r="I55" s="35">
        <v>13.147581543206581</v>
      </c>
      <c r="J55" s="35">
        <v>3.1561599255175179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2.5386957426746424</v>
      </c>
      <c r="I56" s="35">
        <v>2.4228079233587558</v>
      </c>
      <c r="J56" s="35">
        <v>2.453387252835491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2.0388478262192034</v>
      </c>
      <c r="I57" s="35">
        <v>1.9717939101998985</v>
      </c>
      <c r="J57" s="35">
        <v>1.9510285255445146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2.1159034887965125</v>
      </c>
      <c r="I58" s="35">
        <v>1.9935420026828745</v>
      </c>
      <c r="J58" s="35">
        <v>2.0222922011442335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2.5356540717834331</v>
      </c>
      <c r="I59" s="35">
        <v>2.4526856599365585</v>
      </c>
      <c r="J59" s="35">
        <v>2.3173840409515205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2.6978765193146104</v>
      </c>
      <c r="I60" s="35">
        <v>2.5769604741249923</v>
      </c>
      <c r="J60" s="35">
        <v>2.387644002810398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2.4479525610868902</v>
      </c>
      <c r="I61" s="35">
        <v>2.4511840059317818</v>
      </c>
      <c r="J61" s="35">
        <v>2.2882763424671282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2.3921885947480486</v>
      </c>
      <c r="I62" s="35">
        <v>2.2498588069465191</v>
      </c>
      <c r="J62" s="35">
        <v>2.2205256649603533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2.5838138608942516</v>
      </c>
      <c r="I63" s="35">
        <v>2.8359181181901412</v>
      </c>
      <c r="J63" s="35">
        <v>2.2195219512195119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2.9239740555611884</v>
      </c>
      <c r="I64" s="35">
        <v>3.4046825177925397</v>
      </c>
      <c r="J64" s="35">
        <v>2.548740058215397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3.0172519628916152</v>
      </c>
      <c r="I65" s="35">
        <v>3.3731477836922252</v>
      </c>
      <c r="J65" s="35">
        <v>2.6184981632038538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2.897612907837372</v>
      </c>
      <c r="I66" s="35">
        <v>3.0942543881843481</v>
      </c>
      <c r="J66" s="35">
        <v>2.4925320887282947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2.514362375544966</v>
      </c>
      <c r="I67" s="35">
        <v>2.7267634063946335</v>
      </c>
      <c r="J67" s="35">
        <v>2.2235368061828762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2.0824451089932068</v>
      </c>
      <c r="I68" s="35">
        <v>1.8098224023743064</v>
      </c>
      <c r="J68" s="35">
        <v>1.9540396667670381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2.0292158683970394</v>
      </c>
      <c r="I69" s="35">
        <v>1.7386750712514278</v>
      </c>
      <c r="J69" s="35">
        <v>1.896326126668674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2.0586186870120651</v>
      </c>
      <c r="I70" s="35">
        <v>1.7745076426757596</v>
      </c>
      <c r="J70" s="35">
        <v>1.9354709625614772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2.2760981557335498</v>
      </c>
      <c r="I71" s="35">
        <v>2.0600808094462648</v>
      </c>
      <c r="J71" s="35">
        <v>2.10058187292984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2.2826884426645035</v>
      </c>
      <c r="I72" s="35">
        <v>2.0784631257116377</v>
      </c>
      <c r="J72" s="35">
        <v>2.1045967278932047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2.2537925691980125</v>
      </c>
      <c r="I73" s="35">
        <v>2.0709548556877531</v>
      </c>
      <c r="J73" s="35">
        <v>2.0885373080397471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2.1645702230558652</v>
      </c>
      <c r="I74" s="35">
        <v>1.9901762264652709</v>
      </c>
      <c r="J74" s="35">
        <v>2.0855261668172238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2.2705217590996654</v>
      </c>
      <c r="I75" s="35">
        <v>2.4530999093171868</v>
      </c>
      <c r="J75" s="35">
        <v>2.130191428284653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2.5569457680218997</v>
      </c>
      <c r="I76" s="35">
        <v>2.8227139191826205</v>
      </c>
      <c r="J76" s="35">
        <v>2.3886477165512399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2.6816542745614926</v>
      </c>
      <c r="I77" s="35">
        <v>2.8251476342938107</v>
      </c>
      <c r="J77" s="35">
        <v>2.5146137910267989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2.6056125022812529</v>
      </c>
      <c r="I78" s="35">
        <v>2.6354731991387137</v>
      </c>
      <c r="J78" s="35">
        <v>2.4945395162099766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2.3009384680117608</v>
      </c>
      <c r="I79" s="35">
        <v>2.3314141537576791</v>
      </c>
      <c r="J79" s="35">
        <v>2.1853956840309143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1.9942366531481297</v>
      </c>
      <c r="I80" s="35">
        <v>1.752759550192784</v>
      </c>
      <c r="J80" s="35">
        <v>1.9545415236374586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1.9592574378992196</v>
      </c>
      <c r="I81" s="35">
        <v>1.6969394461531455</v>
      </c>
      <c r="J81" s="35">
        <v>1.8396163003111512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1.9937297079995946</v>
      </c>
      <c r="I82" s="35">
        <v>1.7328237987500561</v>
      </c>
      <c r="J82" s="35">
        <v>1.8913075579644685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2.1818063581060532</v>
      </c>
      <c r="I83" s="35">
        <v>1.8886851282113832</v>
      </c>
      <c r="J83" s="35">
        <v>2.0147643480879256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2.194479986819426</v>
      </c>
      <c r="I84" s="35">
        <v>1.9152488697441612</v>
      </c>
      <c r="J84" s="35">
        <v>2.0248014854963365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2.1767369066207034</v>
      </c>
      <c r="I85" s="35">
        <v>1.9203752058294339</v>
      </c>
      <c r="J85" s="35">
        <v>2.0373479072568506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2.1321257335496302</v>
      </c>
      <c r="I86" s="35">
        <v>1.9557417467005589</v>
      </c>
      <c r="J86" s="35">
        <v>2.0534073271103082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2.2537925691980125</v>
      </c>
      <c r="I87" s="35">
        <v>2.3712856566431348</v>
      </c>
      <c r="J87" s="35">
        <v>2.1462508481381106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2.5148693206935011</v>
      </c>
      <c r="I88" s="35">
        <v>2.6812995368706982</v>
      </c>
      <c r="J88" s="35">
        <v>2.417253558165211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2.6441403335699079</v>
      </c>
      <c r="I89" s="35">
        <v>2.7434369439649156</v>
      </c>
      <c r="J89" s="35">
        <v>2.4975506574324999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2.5985152702017644</v>
      </c>
      <c r="I90" s="35">
        <v>2.6230457177198701</v>
      </c>
      <c r="J90" s="35">
        <v>2.4925320887282947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2.3470704765284394</v>
      </c>
      <c r="I91" s="35">
        <v>2.3785350208041263</v>
      </c>
      <c r="J91" s="35">
        <v>2.2636853558165209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1.984604695325966</v>
      </c>
      <c r="I92" s="35">
        <v>1.7959968292958433</v>
      </c>
      <c r="J92" s="35">
        <v>1.9249319682826458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2.1562563226198921</v>
      </c>
      <c r="I93" s="35">
        <v>1.956104214908609</v>
      </c>
      <c r="J93" s="35">
        <v>2.0346378801565792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2.1796771884822062</v>
      </c>
      <c r="I94" s="35">
        <v>1.9771791521480639</v>
      </c>
      <c r="J94" s="35">
        <v>2.0753886580347287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2.3048926401703338</v>
      </c>
      <c r="I95" s="35">
        <v>2.1091693610506965</v>
      </c>
      <c r="J95" s="35">
        <v>2.1366151962260362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2.3236496106661257</v>
      </c>
      <c r="I96" s="35">
        <v>2.1383221612123999</v>
      </c>
      <c r="J96" s="35">
        <v>2.1526746160794943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2.3210134958937441</v>
      </c>
      <c r="I97" s="35">
        <v>2.1091175798781179</v>
      </c>
      <c r="J97" s="35">
        <v>2.1801763725785408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2.2987079093582077</v>
      </c>
      <c r="I98" s="35">
        <v>2.1299853924272591</v>
      </c>
      <c r="J98" s="35">
        <v>2.2183174947305027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2.4714748159789108</v>
      </c>
      <c r="I99" s="35">
        <v>2.5379174700007932</v>
      </c>
      <c r="J99" s="35">
        <v>2.3617481882966977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2.6891570627598096</v>
      </c>
      <c r="I100" s="35">
        <v>2.8963467465892672</v>
      </c>
      <c r="J100" s="35">
        <v>2.589791950215798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2.7437043607421678</v>
      </c>
      <c r="I101" s="35">
        <v>2.8865601049719278</v>
      </c>
      <c r="J101" s="35">
        <v>2.5961153467830971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2.6954431826016423</v>
      </c>
      <c r="I102" s="35">
        <v>2.7059473750180709</v>
      </c>
      <c r="J102" s="35">
        <v>2.5884871223527051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2.5314971215654469</v>
      </c>
      <c r="I103" s="35">
        <v>2.4958711578670396</v>
      </c>
      <c r="J103" s="35">
        <v>2.4462608852755192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2.3056023633782821</v>
      </c>
      <c r="I104" s="35">
        <v>2.1948154204955586</v>
      </c>
      <c r="J104" s="35">
        <v>2.2427077386329421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2.3532552073405655</v>
      </c>
      <c r="I105" s="35">
        <v>2.2152172024914933</v>
      </c>
      <c r="J105" s="35">
        <v>2.229659460002007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2.3657260579945252</v>
      </c>
      <c r="I106" s="35">
        <v>2.2215862867186504</v>
      </c>
      <c r="J106" s="35">
        <v>2.2595701294790724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2.427877533204907</v>
      </c>
      <c r="I107" s="35">
        <v>2.3296535938900091</v>
      </c>
      <c r="J107" s="35">
        <v>2.2583656729900627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2.4528192345128255</v>
      </c>
      <c r="I108" s="35">
        <v>2.3613954526806382</v>
      </c>
      <c r="J108" s="35">
        <v>2.2805477466626516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2.4652900851667847</v>
      </c>
      <c r="I109" s="35">
        <v>2.2978599539268019</v>
      </c>
      <c r="J109" s="35">
        <v>2.3230048379002306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2.4652900851667847</v>
      </c>
      <c r="I110" s="35">
        <v>2.304229038153959</v>
      </c>
      <c r="J110" s="35">
        <v>2.3832276623506972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2.6892584517895162</v>
      </c>
      <c r="I111" s="35">
        <v>2.7046528457036083</v>
      </c>
      <c r="J111" s="35">
        <v>2.5773458998293686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2.8634448048261181</v>
      </c>
      <c r="I112" s="35">
        <v>3.1113939563078361</v>
      </c>
      <c r="J112" s="35">
        <v>2.7623303422663854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2.8432683879144274</v>
      </c>
      <c r="I113" s="35">
        <v>3.0296314848063624</v>
      </c>
      <c r="J113" s="35">
        <v>2.6946800361336947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2.792269705971814</v>
      </c>
      <c r="I114" s="35">
        <v>2.7888490323162722</v>
      </c>
      <c r="J114" s="35">
        <v>2.6843417846030313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2.7158223775727466</v>
      </c>
      <c r="I115" s="35">
        <v>2.6131037325847952</v>
      </c>
      <c r="J115" s="35">
        <v>2.6287360433604334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2.6266000314305993</v>
      </c>
      <c r="I116" s="35">
        <v>2.5935822305226957</v>
      </c>
      <c r="J116" s="35">
        <v>2.5604835089832378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2.6521500669167595</v>
      </c>
      <c r="I117" s="35">
        <v>2.6196281603296878</v>
      </c>
      <c r="J117" s="35">
        <v>2.5255542708019671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2.6648236956301328</v>
      </c>
      <c r="I118" s="35">
        <v>2.6000548770950096</v>
      </c>
      <c r="J118" s="35">
        <v>2.5556656830272004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2.792269705971814</v>
      </c>
      <c r="I119" s="35">
        <v>2.7692757490815936</v>
      </c>
      <c r="J119" s="35">
        <v>2.619100391448359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2.8304933701713475</v>
      </c>
      <c r="I120" s="35">
        <v>2.8213676086955788</v>
      </c>
      <c r="J120" s="35">
        <v>2.6544311151259659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2.8432683879144274</v>
      </c>
      <c r="I121" s="35">
        <v>2.7563304559369648</v>
      </c>
      <c r="J121" s="35">
        <v>2.6971893204857973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2.8814920521139613</v>
      </c>
      <c r="I122" s="35">
        <v>2.8148431809506862</v>
      </c>
      <c r="J122" s="35">
        <v>2.7952521529659742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3.0217130801987224</v>
      </c>
      <c r="I123" s="35">
        <v>3.1272389951168615</v>
      </c>
      <c r="J123" s="35">
        <v>2.906463635451169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3.2000563834533104</v>
      </c>
      <c r="I124" s="35">
        <v>3.4917266688970221</v>
      </c>
      <c r="J124" s="35">
        <v>3.0955633042256347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3.2087758400081108</v>
      </c>
      <c r="I125" s="35">
        <v>3.4585867184467736</v>
      </c>
      <c r="J125" s="35">
        <v>3.0565188397069156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3.1956966551759103</v>
      </c>
      <c r="I126" s="35">
        <v>3.265546507074073</v>
      </c>
      <c r="J126" s="35">
        <v>3.0837194820837097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3.0783895478049277</v>
      </c>
      <c r="I127" s="35">
        <v>3.0258514592081314</v>
      </c>
      <c r="J127" s="35">
        <v>2.9876640770852152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3.0131964017033357</v>
      </c>
      <c r="I128" s="35">
        <v>2.9326453485668056</v>
      </c>
      <c r="J128" s="35">
        <v>2.9431995583659538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3.0131964017033357</v>
      </c>
      <c r="I129" s="35">
        <v>2.9127095971240777</v>
      </c>
      <c r="J129" s="35">
        <v>2.8829767339154873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3.0131964017033357</v>
      </c>
      <c r="I130" s="35">
        <v>2.9326453485668056</v>
      </c>
      <c r="J130" s="35">
        <v>2.9005417243802065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3.1696396745412145</v>
      </c>
      <c r="I131" s="35">
        <v>3.0857622758814718</v>
      </c>
      <c r="J131" s="35">
        <v>2.9926826457894209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3.1956966551759103</v>
      </c>
      <c r="I132" s="35">
        <v>3.1123777985868277</v>
      </c>
      <c r="J132" s="35">
        <v>3.0159688045769348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3.2087758400081108</v>
      </c>
      <c r="I133" s="35">
        <v>3.0524669819134873</v>
      </c>
      <c r="J133" s="35">
        <v>3.0590281240590182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3.1827188593734159</v>
      </c>
      <c r="I134" s="35">
        <v>3.0724545145287938</v>
      </c>
      <c r="J134" s="35">
        <v>3.0934555053698687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3.3912760934806854</v>
      </c>
      <c r="I135" s="35">
        <v>3.4385991858314666</v>
      </c>
      <c r="J135" s="35">
        <v>3.2723172939877547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3.57377634695326</v>
      </c>
      <c r="I136" s="35">
        <v>3.8115271907419253</v>
      </c>
      <c r="J136" s="35">
        <v>3.4655321890996684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3.5762096836662272</v>
      </c>
      <c r="I137" s="35">
        <v>3.7763159933885353</v>
      </c>
      <c r="J137" s="35">
        <v>3.4202646993877348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3.5495443688532902</v>
      </c>
      <c r="I138" s="35">
        <v>3.5652041527859337</v>
      </c>
      <c r="J138" s="35">
        <v>3.4340155776372576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3.3495038132414074</v>
      </c>
      <c r="I139" s="35">
        <v>3.3200203006266693</v>
      </c>
      <c r="J139" s="35">
        <v>3.2560571313861284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3.2161772391767212</v>
      </c>
      <c r="I140" s="35">
        <v>3.1974024839607482</v>
      </c>
      <c r="J140" s="35">
        <v>3.1441430492823446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3.2027938872553987</v>
      </c>
      <c r="I141" s="35">
        <v>3.1633304724040858</v>
      </c>
      <c r="J141" s="35">
        <v>3.0706712034527754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3.2161772391767212</v>
      </c>
      <c r="I142" s="35">
        <v>3.1973507027881696</v>
      </c>
      <c r="J142" s="35">
        <v>3.1014852152965973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3.4028344428672819</v>
      </c>
      <c r="I143" s="35">
        <v>3.3472571974029677</v>
      </c>
      <c r="J143" s="35">
        <v>3.2235368061828766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3.4028344428672819</v>
      </c>
      <c r="I144" s="35">
        <v>3.3608238646185384</v>
      </c>
      <c r="J144" s="35">
        <v>3.221027521830774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3.3761691280543444</v>
      </c>
      <c r="I145" s="35">
        <v>3.2654947259014939</v>
      </c>
      <c r="J145" s="35">
        <v>3.2247412626718859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3.3761691280543444</v>
      </c>
      <c r="I146" s="35">
        <v>3.2927316226777923</v>
      </c>
      <c r="J146" s="35">
        <v>3.2849640871223524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3.5762096836662272</v>
      </c>
      <c r="I147" s="35">
        <v>3.6741517398911272</v>
      </c>
      <c r="J147" s="35">
        <v>3.4553946803171733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3.7495849244651729</v>
      </c>
      <c r="I148" s="35">
        <v>4.0828087538807605</v>
      </c>
      <c r="J148" s="35">
        <v>3.6395761517615175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3.7678349498124302</v>
      </c>
      <c r="I149" s="35">
        <v>4.0371895408390897</v>
      </c>
      <c r="J149" s="35">
        <v>3.6099665964067045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3.7269751708405154</v>
      </c>
      <c r="I150" s="35">
        <v>3.8072293534179087</v>
      </c>
      <c r="J150" s="35">
        <v>3.6096654822844525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3.5495443688532902</v>
      </c>
      <c r="I151" s="35">
        <v>3.5215008431296679</v>
      </c>
      <c r="J151" s="35">
        <v>3.45408985245408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3.3586288259150359</v>
      </c>
      <c r="I152" s="35">
        <v>3.3334316243245041</v>
      </c>
      <c r="J152" s="35">
        <v>3.2851648298705207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3.3449413069045928</v>
      </c>
      <c r="I153" s="35">
        <v>3.3125120306027847</v>
      </c>
      <c r="J153" s="35">
        <v>3.2113918699186987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3.3449413069045928</v>
      </c>
      <c r="I154" s="35">
        <v>3.3125120306027851</v>
      </c>
      <c r="J154" s="35">
        <v>3.2289568603834184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3.5359582388725541</v>
      </c>
      <c r="I155" s="35">
        <v>3.5076234888786257</v>
      </c>
      <c r="J155" s="35">
        <v>3.3553244203553145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3.5359582388725541</v>
      </c>
      <c r="I156" s="35">
        <v>3.5076234888786257</v>
      </c>
      <c r="J156" s="35">
        <v>3.3528151360032119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3.4949970708709319</v>
      </c>
      <c r="I157" s="35">
        <v>3.3542994368736458</v>
      </c>
      <c r="J157" s="35">
        <v>3.342376513098464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3.4949970708709319</v>
      </c>
      <c r="I158" s="35">
        <v>3.423996895164326</v>
      </c>
      <c r="J158" s="35">
        <v>3.402599337548931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3.7132876518300724</v>
      </c>
      <c r="I159" s="35">
        <v>3.8281489471396286</v>
      </c>
      <c r="J159" s="35">
        <v>3.5910967780788918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3.8906170647875902</v>
      </c>
      <c r="I160" s="35">
        <v>4.2461783533659725</v>
      </c>
      <c r="J160" s="35">
        <v>3.7791927331125161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3.9284351728682956</v>
      </c>
      <c r="I161" s="35">
        <v>4.2194074871428811</v>
      </c>
      <c r="J161" s="35">
        <v>3.7689548529559369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3.8725698174997465</v>
      </c>
      <c r="I162" s="35">
        <v>3.9625728711534505</v>
      </c>
      <c r="J162" s="35">
        <v>3.7537987754692357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3.7188640484639564</v>
      </c>
      <c r="I163" s="35">
        <v>3.7128322758072771</v>
      </c>
      <c r="J163" s="35">
        <v>3.6217100471745458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3.5791499655277299</v>
      </c>
      <c r="I164" s="35">
        <v>3.5915607696283973</v>
      </c>
      <c r="J164" s="35">
        <v>3.5034725685034629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3.5651582794281658</v>
      </c>
      <c r="I165" s="35">
        <v>3.5772691659967273</v>
      </c>
      <c r="J165" s="35">
        <v>3.4293984944293885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3.5651582794281658</v>
      </c>
      <c r="I166" s="35">
        <v>3.5915607696283969</v>
      </c>
      <c r="J166" s="35">
        <v>3.4469634848941082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3.7887210899320691</v>
      </c>
      <c r="I167" s="35">
        <v>3.7556553055297086</v>
      </c>
      <c r="J167" s="35">
        <v>3.6055502559470036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3.8027127760316337</v>
      </c>
      <c r="I168" s="35">
        <v>3.7699469091613782</v>
      </c>
      <c r="J168" s="35">
        <v>3.6168922212185084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3.7887210899320691</v>
      </c>
      <c r="I169" s="35">
        <v>3.6771550479006812</v>
      </c>
      <c r="J169" s="35">
        <v>3.6331523838201347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3.7887210899320691</v>
      </c>
      <c r="I170" s="35">
        <v>3.7485095037138736</v>
      </c>
      <c r="J170" s="35">
        <v>3.6933752082706013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3.970308842137281</v>
      </c>
      <c r="I171" s="35">
        <v>4.1124275845956708</v>
      </c>
      <c r="J171" s="35">
        <v>3.8455382113821135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4.1798799665416198</v>
      </c>
      <c r="I172" s="35">
        <v>4.5618881625771728</v>
      </c>
      <c r="J172" s="35">
        <v>4.0655522633744861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4.2089786180675253</v>
      </c>
      <c r="I173" s="35">
        <v>4.5323211130348415</v>
      </c>
      <c r="J173" s="35">
        <v>4.0466824450466721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4.165989669471764</v>
      </c>
      <c r="I174" s="35">
        <v>4.3350866266832808</v>
      </c>
      <c r="J174" s="35">
        <v>4.0442735320686536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3.9800421889891515</v>
      </c>
      <c r="I175" s="35">
        <v>4.0281796168104282</v>
      </c>
      <c r="J175" s="35">
        <v>3.8802667068152163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3.708218200344723</v>
      </c>
      <c r="I176" s="35">
        <v>3.7578818959505846</v>
      </c>
      <c r="J176" s="35">
        <v>3.6312453277125365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3.6796264939673531</v>
      </c>
      <c r="I177" s="35">
        <v>3.743227824110865</v>
      </c>
      <c r="J177" s="35">
        <v>3.5427177757703503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3.6939223471560378</v>
      </c>
      <c r="I178" s="35">
        <v>3.7578818959505846</v>
      </c>
      <c r="J178" s="35">
        <v>3.5744351299809294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3.8942670698570416</v>
      </c>
      <c r="I179" s="35">
        <v>3.9040083649671518</v>
      </c>
      <c r="J179" s="35">
        <v>3.7100368563685637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3.9085629230457268</v>
      </c>
      <c r="I180" s="35">
        <v>3.9113095103007218</v>
      </c>
      <c r="J180" s="35">
        <v>3.7216799357623205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3.8512781212612794</v>
      </c>
      <c r="I181" s="35">
        <v>3.7651830412841552</v>
      </c>
      <c r="J181" s="35">
        <v>3.6950815216300308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3.8512781212612794</v>
      </c>
      <c r="I182" s="35">
        <v>3.845547421126009</v>
      </c>
      <c r="J182" s="35">
        <v>3.7553043460804978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4.0229297485552067</v>
      </c>
      <c r="I183" s="35">
        <v>4.1451015044927129</v>
      </c>
      <c r="J183" s="35">
        <v>3.8976309545317678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4.28045788401095</v>
      </c>
      <c r="I184" s="35">
        <v>4.5688786208752719</v>
      </c>
      <c r="J184" s="35">
        <v>4.1651206664659242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4.3206079397749164</v>
      </c>
      <c r="I185" s="35">
        <v>4.5541209866903953</v>
      </c>
      <c r="J185" s="35">
        <v>4.1571913279132788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4.2621064696339852</v>
      </c>
      <c r="I186" s="35">
        <v>4.3374167794493141</v>
      </c>
      <c r="J186" s="35">
        <v>4.1394255947003913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4.027999200040556</v>
      </c>
      <c r="I187" s="35">
        <v>4.0234675301057834</v>
      </c>
      <c r="J187" s="35">
        <v>3.9277423667570006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3.7352890712764881</v>
      </c>
      <c r="I188" s="35">
        <v>3.7693773162630144</v>
      </c>
      <c r="J188" s="35">
        <v>3.658044484592994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3.749889091554294</v>
      </c>
      <c r="I189" s="35">
        <v>3.8067115416921231</v>
      </c>
      <c r="J189" s="35">
        <v>3.6122751380106393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3.7937905414174184</v>
      </c>
      <c r="I190" s="35">
        <v>3.8515540371451165</v>
      </c>
      <c r="J190" s="35">
        <v>3.6733009334537789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4.0571992405961677</v>
      </c>
      <c r="I191" s="35">
        <v>4.0533452666835856</v>
      </c>
      <c r="J191" s="35">
        <v>3.8713336545217301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4.1158020997668059</v>
      </c>
      <c r="I192" s="35">
        <v>4.1206090098630757</v>
      </c>
      <c r="J192" s="35">
        <v>3.9268390243902438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4.0571992405961677</v>
      </c>
      <c r="I193" s="35">
        <v>3.9860815235040965</v>
      </c>
      <c r="J193" s="35">
        <v>3.8989357823948607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4.0865006701814863</v>
      </c>
      <c r="I194" s="35">
        <v>4.0683100255587767</v>
      </c>
      <c r="J194" s="35">
        <v>3.9881659339556359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4.3206079397749164</v>
      </c>
      <c r="I195" s="35">
        <v>4.4420665292304911</v>
      </c>
      <c r="J195" s="35">
        <v>4.1923213088427174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4.6280194778464967</v>
      </c>
      <c r="I196" s="35">
        <v>4.9054562426356139</v>
      </c>
      <c r="J196" s="35">
        <v>4.5091937368262576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4.6598556331744909</v>
      </c>
      <c r="I197" s="35">
        <v>4.9033332145598951</v>
      </c>
      <c r="J197" s="35">
        <v>4.4930339455987145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4.5550193764574676</v>
      </c>
      <c r="I198" s="35">
        <v>4.6586153929538368</v>
      </c>
      <c r="J198" s="35">
        <v>4.4293984944293889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4.3903635922133226</v>
      </c>
      <c r="I199" s="35">
        <v>4.4216129660619776</v>
      </c>
      <c r="J199" s="35">
        <v>4.2864696577336137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4.0909617874885935</v>
      </c>
      <c r="I200" s="35">
        <v>4.0928543013609922</v>
      </c>
      <c r="J200" s="35">
        <v>4.0101472648800565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4.0609506346953266</v>
      </c>
      <c r="I201" s="35">
        <v>4.1004661337300341</v>
      </c>
      <c r="J201" s="35">
        <v>3.9202145137006927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4.0759562110919605</v>
      </c>
      <c r="I202" s="35">
        <v>4.1004661337300341</v>
      </c>
      <c r="J202" s="35">
        <v>3.9526344675298604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4.4801942725337121</v>
      </c>
      <c r="I203" s="35">
        <v>4.4216129660619776</v>
      </c>
      <c r="J203" s="35">
        <v>4.2900830272006427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4.4950984599006389</v>
      </c>
      <c r="I204" s="35">
        <v>4.4598274714249211</v>
      </c>
      <c r="J204" s="35">
        <v>4.3023283348389043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4.4052677795802495</v>
      </c>
      <c r="I205" s="35">
        <v>4.2839786093482868</v>
      </c>
      <c r="J205" s="35">
        <v>4.2435107096256148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4.4052677795802495</v>
      </c>
      <c r="I206" s="35">
        <v>4.3375203417944714</v>
      </c>
      <c r="J206" s="35">
        <v>4.3037335340760814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4.4950984599006389</v>
      </c>
      <c r="I207" s="35">
        <v>4.6280645011325134</v>
      </c>
      <c r="J207" s="35">
        <v>4.3650604436414735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4.7047709733346856</v>
      </c>
      <c r="I208" s="35">
        <v>4.9874258388274013</v>
      </c>
      <c r="J208" s="35">
        <v>4.5851748670079289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4.7519168721484339</v>
      </c>
      <c r="I209" s="35">
        <v>4.9376641319794494</v>
      </c>
      <c r="J209" s="35">
        <v>4.5841711532670883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4.64474866774815</v>
      </c>
      <c r="I210" s="35">
        <v>4.6874057249074914</v>
      </c>
      <c r="J210" s="35">
        <v>4.5182271604938267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4.5835096938051301</v>
      </c>
      <c r="I211" s="35">
        <v>4.5778367637313551</v>
      </c>
      <c r="J211" s="35">
        <v>4.4776771253638463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4.384381639460611</v>
      </c>
      <c r="I212" s="35">
        <v>4.3509834466648849</v>
      </c>
      <c r="J212" s="35">
        <v>4.3006220214794739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4.384381639460611</v>
      </c>
      <c r="I213" s="35">
        <v>4.3666213607835971</v>
      </c>
      <c r="J213" s="35">
        <v>4.2403991970290074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4.4150011264321201</v>
      </c>
      <c r="I214" s="35">
        <v>4.4135868843123074</v>
      </c>
      <c r="J214" s="35">
        <v>4.2882763424671282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4.64474866774815</v>
      </c>
      <c r="I215" s="35">
        <v>4.6091125919687777</v>
      </c>
      <c r="J215" s="35">
        <v>4.4529857673391549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4.705987641691169</v>
      </c>
      <c r="I216" s="35">
        <v>4.6560781154974897</v>
      </c>
      <c r="J216" s="35">
        <v>4.5111007929338554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4.6600584112339041</v>
      </c>
      <c r="I217" s="35">
        <v>4.5230522831432864</v>
      </c>
      <c r="J217" s="35">
        <v>4.4957439726989854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4.6600584112339041</v>
      </c>
      <c r="I218" s="35">
        <v>4.6247505060874889</v>
      </c>
      <c r="J218" s="35">
        <v>4.5559667971494529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4.8591864655784249</v>
      </c>
      <c r="I219" s="35">
        <v>4.9689917413894502</v>
      </c>
      <c r="J219" s="35">
        <v>4.7254940479775165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5.1501729808374739</v>
      </c>
      <c r="I220" s="35">
        <v>5.4070086802311002</v>
      </c>
      <c r="J220" s="35">
        <v>5.0261063133594295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5.1905258146608535</v>
      </c>
      <c r="I221" s="35">
        <v>5.4030733111151346</v>
      </c>
      <c r="J221" s="35">
        <v>5.0183777175549533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5.1905258146608535</v>
      </c>
      <c r="I222" s="35">
        <v>5.235043406097855</v>
      </c>
      <c r="J222" s="35">
        <v>5.058526267188598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4.9868352539795193</v>
      </c>
      <c r="I223" s="35">
        <v>4.9869598082741948</v>
      </c>
      <c r="J223" s="35">
        <v>4.8769544514704402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4.7988599929027673</v>
      </c>
      <c r="I224" s="35">
        <v>4.7549283739498733</v>
      </c>
      <c r="J224" s="35">
        <v>4.7109401987353205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4.8144739034776443</v>
      </c>
      <c r="I225" s="35">
        <v>4.7549283739498733</v>
      </c>
      <c r="J225" s="35">
        <v>4.6661745658938072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4.8458031136571025</v>
      </c>
      <c r="I226" s="35">
        <v>4.7869291386033952</v>
      </c>
      <c r="J226" s="35">
        <v>4.714754310950517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5.0181644641589784</v>
      </c>
      <c r="I227" s="35">
        <v>4.8989318148907213</v>
      </c>
      <c r="J227" s="35">
        <v>4.8226535380909361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5.0338797637635615</v>
      </c>
      <c r="I228" s="35">
        <v>4.9309325795442422</v>
      </c>
      <c r="J228" s="35">
        <v>4.8357018167218708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5.0338797637635615</v>
      </c>
      <c r="I229" s="35">
        <v>4.8349302855836775</v>
      </c>
      <c r="J229" s="35">
        <v>4.8658132289471041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5.0025505535841024</v>
      </c>
      <c r="I230" s="35">
        <v>4.8669828314097776</v>
      </c>
      <c r="J230" s="35">
        <v>4.8950212988055801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5.1278673943019371</v>
      </c>
      <c r="I231" s="35">
        <v>5.2190430237710954</v>
      </c>
      <c r="J231" s="35">
        <v>4.9914781893004108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5.3785010757376055</v>
      </c>
      <c r="I232" s="35">
        <v>5.6431826083617036</v>
      </c>
      <c r="J232" s="35">
        <v>5.2521426477968483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5.4063830589070268</v>
      </c>
      <c r="I233" s="35">
        <v>5.6090070344598848</v>
      </c>
      <c r="J233" s="35">
        <v>5.2320683729800255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5.3742427364899124</v>
      </c>
      <c r="I234" s="35">
        <v>5.3961864151621919</v>
      </c>
      <c r="J234" s="35">
        <v>5.2403991970290074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5.1338493470546487</v>
      </c>
      <c r="I235" s="35">
        <v>5.1342254630874891</v>
      </c>
      <c r="J235" s="35">
        <v>5.0224929438924013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4.9415143577004974</v>
      </c>
      <c r="I236" s="35">
        <v>4.8558498793053975</v>
      </c>
      <c r="J236" s="35">
        <v>4.8521627220716645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4.90947542431309</v>
      </c>
      <c r="I237" s="35">
        <v>4.8394870287705869</v>
      </c>
      <c r="J237" s="35">
        <v>4.7602225434106193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4.9415143577004974</v>
      </c>
      <c r="I238" s="35">
        <v>4.8558498793053975</v>
      </c>
      <c r="J238" s="35">
        <v>4.8095048880859181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5.1178298803609454</v>
      </c>
      <c r="I239" s="35">
        <v>4.9868562459290366</v>
      </c>
      <c r="J239" s="35">
        <v>4.9213185988156178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5.1819077471357602</v>
      </c>
      <c r="I240" s="35">
        <v>5.0687222797756686</v>
      </c>
      <c r="J240" s="35">
        <v>4.9822440228846725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5.1658882804420561</v>
      </c>
      <c r="I241" s="35">
        <v>4.970493395394227</v>
      </c>
      <c r="J241" s="35">
        <v>4.9964967580046178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5.1819077471357602</v>
      </c>
      <c r="I242" s="35">
        <v>5.0687222797756686</v>
      </c>
      <c r="J242" s="35">
        <v>5.0725782595603732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5.342203803102505</v>
      </c>
      <c r="I243" s="35">
        <v>5.4289121162318121</v>
      </c>
      <c r="J243" s="35">
        <v>5.2036632741142226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5.5825971925377678</v>
      </c>
      <c r="I244" s="35">
        <v>5.7891019526879575</v>
      </c>
      <c r="J244" s="35">
        <v>5.4541902238281637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5.6237611385988036</v>
      </c>
      <c r="I245" s="35">
        <v>5.7907589502104688</v>
      </c>
      <c r="J245" s="35">
        <v>5.4472645990163606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5.6237611385988036</v>
      </c>
      <c r="I246" s="35">
        <v>5.6234539816092894</v>
      </c>
      <c r="J246" s="35">
        <v>5.4874131486500053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5.3616704968062461</v>
      </c>
      <c r="I247" s="35">
        <v>5.3389682194629335</v>
      </c>
      <c r="J247" s="35">
        <v>5.2480274214593994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5.0832562212308625</v>
      </c>
      <c r="I248" s="35">
        <v>4.970855863602277</v>
      </c>
      <c r="J248" s="35">
        <v>4.9924819030412522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5.116004877826219</v>
      </c>
      <c r="I249" s="35">
        <v>4.970855863602277</v>
      </c>
      <c r="J249" s="35">
        <v>4.9646790324199532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5.1651785572341069</v>
      </c>
      <c r="I250" s="35">
        <v>5.012695051045716</v>
      </c>
      <c r="J250" s="35">
        <v>5.0309241393154673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5.3125982064280644</v>
      </c>
      <c r="I251" s="35">
        <v>5.146549382161175</v>
      </c>
      <c r="J251" s="35">
        <v>5.114132008431195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5.4108441762141339</v>
      </c>
      <c r="I252" s="35">
        <v>5.2218909882629134</v>
      </c>
      <c r="J252" s="35">
        <v>5.2088825855665961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5.2142508476122877</v>
      </c>
      <c r="I253" s="35">
        <v>4.9624673136445576</v>
      </c>
      <c r="J253" s="35">
        <v>5.0443739034427386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5.2469995042076452</v>
      </c>
      <c r="I254" s="35">
        <v>5.0378089197462952</v>
      </c>
      <c r="J254" s="35">
        <v>5.1370166817223728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5.3945205424313087</v>
      </c>
      <c r="I255" s="35">
        <v>5.3557453193783724</v>
      </c>
      <c r="J255" s="35">
        <v>5.255454903141624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5.6237611385988036</v>
      </c>
      <c r="I256" s="35">
        <v>5.815872818911048</v>
      </c>
      <c r="J256" s="35">
        <v>5.4949410017063132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5.6975723522254889</v>
      </c>
      <c r="I257" s="35">
        <v>5.8153032260126851</v>
      </c>
      <c r="J257" s="35">
        <v>5.5203349593495936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5.6472833934908246</v>
      </c>
      <c r="I258" s="35">
        <v>5.6443217941584312</v>
      </c>
      <c r="J258" s="35">
        <v>5.5106993074375188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5.3795149660346748</v>
      </c>
      <c r="I259" s="35">
        <v>5.2766754688509812</v>
      </c>
      <c r="J259" s="35">
        <v>5.2656927832982028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5.1116451495488189</v>
      </c>
      <c r="I260" s="35">
        <v>4.951800392093384</v>
      </c>
      <c r="J260" s="35">
        <v>5.0205858877848035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5.1451035293521246</v>
      </c>
      <c r="I261" s="35">
        <v>4.9603442855688389</v>
      </c>
      <c r="J261" s="35">
        <v>4.9934856167820936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5.1952910990570818</v>
      </c>
      <c r="I262" s="35">
        <v>5.0201515398970216</v>
      </c>
      <c r="J262" s="35">
        <v>5.0607344374184473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5.3962441559363272</v>
      </c>
      <c r="I263" s="35">
        <v>5.1911847529238546</v>
      </c>
      <c r="J263" s="35">
        <v>5.1969383920505878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5.479890105444591</v>
      </c>
      <c r="I264" s="35">
        <v>5.268079794202948</v>
      </c>
      <c r="J264" s="35">
        <v>5.2772354913178754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5.4631609155429386</v>
      </c>
      <c r="I265" s="35">
        <v>5.1740451848003657</v>
      </c>
      <c r="J265" s="35">
        <v>5.2907856268192308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5.4966192953462434</v>
      </c>
      <c r="I266" s="35">
        <v>5.2424481137765833</v>
      </c>
      <c r="J266" s="35">
        <v>5.3841310047174549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5.6641139724221841</v>
      </c>
      <c r="I267" s="35">
        <v>5.5759188651822136</v>
      </c>
      <c r="J267" s="35">
        <v>5.5223423868312755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5.9821713586129981</v>
      </c>
      <c r="I268" s="35">
        <v>6.0803710484420979</v>
      </c>
      <c r="J268" s="35">
        <v>5.8497538090936461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6.0285061451890911</v>
      </c>
      <c r="I269" s="35">
        <v>6.1702631640383983</v>
      </c>
      <c r="J269" s="35">
        <v>5.8479471243601315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6.0113713991686097</v>
      </c>
      <c r="I270" s="35">
        <v>5.9867506884201447</v>
      </c>
      <c r="J270" s="35">
        <v>5.8711329117735618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5.7889238679914836</v>
      </c>
      <c r="I271" s="35">
        <v>5.6634290468399024</v>
      </c>
      <c r="J271" s="35">
        <v>5.6709923918498442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5.5836110828348371</v>
      </c>
      <c r="I272" s="35">
        <v>5.418711225233845</v>
      </c>
      <c r="J272" s="35">
        <v>5.487814634146341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5.5836110828348371</v>
      </c>
      <c r="I273" s="35">
        <v>5.4274622433996136</v>
      </c>
      <c r="J273" s="35">
        <v>5.4275918096958753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5.6178805748757989</v>
      </c>
      <c r="I274" s="35">
        <v>5.4799165712216489</v>
      </c>
      <c r="J274" s="35">
        <v>5.4790823246010234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5.8231933600324446</v>
      </c>
      <c r="I275" s="35">
        <v>5.6284767553494071</v>
      </c>
      <c r="J275" s="35">
        <v>5.6196022483187793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5.874496209064179</v>
      </c>
      <c r="I276" s="35">
        <v>5.6808793019988615</v>
      </c>
      <c r="J276" s="35">
        <v>5.6678808792532367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5.874496209064179</v>
      </c>
      <c r="I277" s="35">
        <v>5.5585721723684118</v>
      </c>
      <c r="J277" s="35">
        <v>5.69799229147847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5.8573614630436994</v>
      </c>
      <c r="I278" s="35">
        <v>5.5760224275273709</v>
      </c>
      <c r="J278" s="35">
        <v>5.7412523537087221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6.0455395021798646</v>
      </c>
      <c r="I279" s="35">
        <v>5.9954499254133351</v>
      </c>
      <c r="J279" s="35">
        <v>5.8999394961357012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6.4048622234614223</v>
      </c>
      <c r="I280" s="35">
        <v>6.5546865892612871</v>
      </c>
      <c r="J280" s="35">
        <v>6.2682020676503054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6.4474456159383555</v>
      </c>
      <c r="I281" s="35">
        <v>6.5175594885224921</v>
      </c>
      <c r="J281" s="35">
        <v>6.2626816420756803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6.3949260985501368</v>
      </c>
      <c r="I282" s="35">
        <v>6.3119364522132138</v>
      </c>
      <c r="J282" s="35">
        <v>6.2508378199337553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6.1148895984994427</v>
      </c>
      <c r="I283" s="35">
        <v>5.9186066653068208</v>
      </c>
      <c r="J283" s="35">
        <v>5.993686359530261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5.8348530984487486</v>
      </c>
      <c r="I284" s="35">
        <v>5.6593383342062005</v>
      </c>
      <c r="J284" s="35">
        <v>5.7365348991267684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5.8348530984487486</v>
      </c>
      <c r="I285" s="35">
        <v>5.6772546199183651</v>
      </c>
      <c r="J285" s="35">
        <v>5.6763120746763027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5.8698323136976578</v>
      </c>
      <c r="I286" s="35">
        <v>5.7040772673140365</v>
      </c>
      <c r="J286" s="35">
        <v>5.7285051892000398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6.0799103832505326</v>
      </c>
      <c r="I287" s="35">
        <v>5.8739195133715629</v>
      </c>
      <c r="J287" s="35">
        <v>5.8737425674997494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6.1498688137483528</v>
      </c>
      <c r="I288" s="35">
        <v>5.9364711698464072</v>
      </c>
      <c r="J288" s="35">
        <v>5.9404895312656825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6.1148895984994427</v>
      </c>
      <c r="I289" s="35">
        <v>5.7934515711845513</v>
      </c>
      <c r="J289" s="35">
        <v>5.9359728194318979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6.062370081111224</v>
      </c>
      <c r="I290" s="35">
        <v>5.8202742185802219</v>
      </c>
      <c r="J290" s="35">
        <v>5.9442032721067948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6.2549078485247902</v>
      </c>
      <c r="I291" s="35">
        <v>6.1956877197744493</v>
      </c>
      <c r="J291" s="35">
        <v>6.1072063836193911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6.6399833833519217</v>
      </c>
      <c r="I292" s="35">
        <v>6.7409952481987814</v>
      </c>
      <c r="J292" s="35">
        <v>6.5009632841513598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6.6855070576903577</v>
      </c>
      <c r="I293" s="35">
        <v>6.7037645851148291</v>
      </c>
      <c r="J293" s="35">
        <v>6.4983536284251731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6.6317708719456556</v>
      </c>
      <c r="I294" s="35">
        <v>6.4934812432734823</v>
      </c>
      <c r="J294" s="35">
        <v>6.4853053497942383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6.3274010047652842</v>
      </c>
      <c r="I295" s="35">
        <v>6.1093685050860653</v>
      </c>
      <c r="J295" s="35">
        <v>6.2040647596105583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6.0588214650714791</v>
      </c>
      <c r="I296" s="35">
        <v>5.8716411417781078</v>
      </c>
      <c r="J296" s="35">
        <v>5.9582552644785709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6.0588214650714791</v>
      </c>
      <c r="I297" s="35">
        <v>5.8441453391389162</v>
      </c>
      <c r="J297" s="35">
        <v>5.8980324400281035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6.0766659342999088</v>
      </c>
      <c r="I298" s="35">
        <v>5.8899198956983243</v>
      </c>
      <c r="J298" s="35">
        <v>5.9332627923316261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6.3631913322518505</v>
      </c>
      <c r="I299" s="35">
        <v>6.1185337726324631</v>
      </c>
      <c r="J299" s="35">
        <v>6.1541801866907555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6.4348733762546901</v>
      </c>
      <c r="I300" s="35">
        <v>6.2099793234061194</v>
      </c>
      <c r="J300" s="35">
        <v>6.2226334638161198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6.3631913322518505</v>
      </c>
      <c r="I301" s="35">
        <v>6.118481991459884</v>
      </c>
      <c r="J301" s="35">
        <v>6.1817823145638862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6.3453468630234209</v>
      </c>
      <c r="I302" s="35">
        <v>6.1550912804728934</v>
      </c>
      <c r="J302" s="35">
        <v>6.2243397771755493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6.613926402717226</v>
      </c>
      <c r="I303" s="35">
        <v>6.5392040186603104</v>
      </c>
      <c r="J303" s="35">
        <v>6.4626214192512288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6.9003504116394607</v>
      </c>
      <c r="I304" s="35">
        <v>6.9872665049821929</v>
      </c>
      <c r="J304" s="35">
        <v>6.7587169727993572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6.9494227020176416</v>
      </c>
      <c r="I305" s="35">
        <v>6.9700233745135485</v>
      </c>
      <c r="J305" s="35">
        <v>6.7596203151661145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6.8395169938152698</v>
      </c>
      <c r="I306" s="35">
        <v>6.7080106412662666</v>
      </c>
      <c r="J306" s="35">
        <v>6.6909662952925819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6.5647527233093381</v>
      </c>
      <c r="I307" s="35">
        <v>6.3806500682249014</v>
      </c>
      <c r="J307" s="35">
        <v>6.4390341463414638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6.2533870130791849</v>
      </c>
      <c r="I308" s="35">
        <v>6.0999443316767774</v>
      </c>
      <c r="J308" s="35">
        <v>6.1508679313459798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6.2716370384264426</v>
      </c>
      <c r="I309" s="35">
        <v>6.1093167239134871</v>
      </c>
      <c r="J309" s="35">
        <v>6.1087119542306532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6.3083398671803712</v>
      </c>
      <c r="I310" s="35">
        <v>6.1467027305151749</v>
      </c>
      <c r="J310" s="35">
        <v>6.1626113821138206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6.5647527233093381</v>
      </c>
      <c r="I311" s="35">
        <v>6.3805982870523223</v>
      </c>
      <c r="J311" s="35">
        <v>6.3537184783699692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6.6930098458886755</v>
      </c>
      <c r="I312" s="35">
        <v>6.4928598692025412</v>
      </c>
      <c r="J312" s="35">
        <v>6.4781789822342661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6.6197055774105245</v>
      </c>
      <c r="I313" s="35">
        <v>6.333839888213924</v>
      </c>
      <c r="J313" s="35">
        <v>6.4357218909966871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6.5647527233093381</v>
      </c>
      <c r="I314" s="35">
        <v>6.3245192771497916</v>
      </c>
      <c r="J314" s="35">
        <v>6.4415434306935655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6.7479626999898619</v>
      </c>
      <c r="I315" s="35">
        <v>6.698690030202135</v>
      </c>
      <c r="J315" s="35">
        <v>6.5953123757904244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7.150882704045423</v>
      </c>
      <c r="I316" s="35">
        <v>7.2693703331899382</v>
      </c>
      <c r="J316" s="35">
        <v>7.0067346381611966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7.2407133843658116</v>
      </c>
      <c r="I317" s="35">
        <v>7.2640886535869296</v>
      </c>
      <c r="J317" s="35">
        <v>7.0479872729097659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>
        <v>7.1470299209165571</v>
      </c>
      <c r="I318" s="35">
        <v>7.1109199450996847</v>
      </c>
      <c r="J318" s="35">
        <v>6.9953926728896914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>
        <v>6.809708619081416</v>
      </c>
      <c r="I319" s="35">
        <v>6.6228306123746119</v>
      </c>
      <c r="J319" s="35">
        <v>6.6815313861286763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>
        <v>6.5099012582378588</v>
      </c>
      <c r="I320" s="35">
        <v>6.3644425612078255</v>
      </c>
      <c r="J320" s="35">
        <v>6.4048075077787807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>
        <v>6.5286582287336508</v>
      </c>
      <c r="I321" s="35">
        <v>6.3740220781348507</v>
      </c>
      <c r="J321" s="35">
        <v>6.3631533875338748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>
        <v>6.5660707806955294</v>
      </c>
      <c r="I322" s="35">
        <v>6.3836015950618767</v>
      </c>
      <c r="J322" s="35">
        <v>6.4177554150356313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>
        <v>6.7535390966237454</v>
      </c>
      <c r="I323" s="35">
        <v>6.5749848089120642</v>
      </c>
      <c r="J323" s="35">
        <v>6.5406099769145838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>
        <v>6.8472225600730008</v>
      </c>
      <c r="I324" s="35">
        <v>6.6611486800827127</v>
      </c>
      <c r="J324" s="35">
        <v>6.6308438422161995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>
        <v>6.809708619081416</v>
      </c>
      <c r="I325" s="35">
        <v>6.5558257750580147</v>
      </c>
      <c r="J325" s="35">
        <v>6.6238178460303123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>
        <v>6.7909516485856232</v>
      </c>
      <c r="I326" s="35">
        <v>6.5558775562305929</v>
      </c>
      <c r="J326" s="35">
        <v>6.6654719662752182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>
        <v>6.978318575484133</v>
      </c>
      <c r="I327" s="35">
        <v>6.9674343158846233</v>
      </c>
      <c r="J327" s="35">
        <v>6.8233561377095242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>
        <v>7.3719107888066517</v>
      </c>
      <c r="I328" s="35">
        <v>7.522424923581136</v>
      </c>
      <c r="J328" s="35">
        <v>7.225544233664559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>
        <v>7.4266608648484231</v>
      </c>
      <c r="I329" s="35">
        <v>7.4700741581042589</v>
      </c>
      <c r="J329" s="35">
        <v>7.2320683729800264</v>
      </c>
      <c r="K329" s="104">
        <f t="shared" ref="K329:K340" si="12">YEAR(G329)</f>
        <v>2042</v>
      </c>
    </row>
    <row r="330" spans="7:13">
      <c r="G330" s="31">
        <v>51898</v>
      </c>
      <c r="H330" s="35">
        <v>7.2925231785460811</v>
      </c>
      <c r="I330" s="35">
        <v>7.2057312720909446</v>
      </c>
      <c r="J330" s="35">
        <v>7.1394255947003913</v>
      </c>
      <c r="K330" s="104">
        <f t="shared" si="12"/>
        <v>2042</v>
      </c>
    </row>
    <row r="331" spans="7:13">
      <c r="G331" s="31">
        <v>51926</v>
      </c>
      <c r="H331" s="35">
        <v>7.004882501267363</v>
      </c>
      <c r="I331" s="35">
        <v>6.8238969054969818</v>
      </c>
      <c r="J331" s="35">
        <v>6.87474628124059</v>
      </c>
      <c r="K331" s="104">
        <f t="shared" si="12"/>
        <v>2042</v>
      </c>
    </row>
    <row r="332" spans="7:13">
      <c r="G332" s="31">
        <v>51957</v>
      </c>
      <c r="H332" s="35">
        <v>7.2732592629017541</v>
      </c>
      <c r="I332" s="35">
        <v>7.0980264331276341</v>
      </c>
      <c r="J332" s="35">
        <v>7.1605035832580546</v>
      </c>
      <c r="K332" s="104">
        <f t="shared" si="12"/>
        <v>2042</v>
      </c>
    </row>
    <row r="333" spans="7:13">
      <c r="G333" s="31">
        <v>51987</v>
      </c>
      <c r="H333" s="35">
        <v>7.2732592629017541</v>
      </c>
      <c r="I333" s="35">
        <v>7.0980264331276341</v>
      </c>
      <c r="J333" s="35">
        <v>7.1002807588075871</v>
      </c>
      <c r="K333" s="104">
        <f t="shared" si="12"/>
        <v>2042</v>
      </c>
    </row>
    <row r="334" spans="7:13">
      <c r="G334" s="31">
        <v>52018</v>
      </c>
      <c r="H334" s="35">
        <v>7.3308482317753221</v>
      </c>
      <c r="I334" s="35">
        <v>7.1372247807695697</v>
      </c>
      <c r="J334" s="35">
        <v>7.1748566897520822</v>
      </c>
      <c r="K334" s="104">
        <f t="shared" si="12"/>
        <v>2042</v>
      </c>
    </row>
    <row r="335" spans="7:13">
      <c r="G335" s="31">
        <v>52048</v>
      </c>
      <c r="H335" s="35">
        <v>7.5224734979215251</v>
      </c>
      <c r="I335" s="35">
        <v>7.3232227526715929</v>
      </c>
      <c r="J335" s="35">
        <v>7.3018264779684827</v>
      </c>
      <c r="K335" s="104">
        <f t="shared" si="12"/>
        <v>2042</v>
      </c>
    </row>
    <row r="336" spans="7:13">
      <c r="G336" s="31">
        <v>52079</v>
      </c>
      <c r="H336" s="35">
        <v>7.5992249934097131</v>
      </c>
      <c r="I336" s="35">
        <v>7.4113543084002229</v>
      </c>
      <c r="J336" s="35">
        <v>7.3752983237980523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80" zoomScaleNormal="80" zoomScaleSheetLayoutView="80" workbookViewId="0">
      <selection activeCell="B8" sqref="B8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57</v>
      </c>
      <c r="O3" s="118"/>
    </row>
    <row r="4" spans="1:18" ht="38.25">
      <c r="B4" s="83" t="str">
        <f ca="1">'Table 1'!B5</f>
        <v>Kennecott Refinery Non Firm - 6.2 MW and 85.0% CF</v>
      </c>
      <c r="C4" s="83"/>
      <c r="D4" s="83"/>
      <c r="E4" s="83"/>
      <c r="F4" s="83"/>
      <c r="G4" s="83"/>
      <c r="K4" s="56">
        <f>MIN(K13:K24)</f>
        <v>43831</v>
      </c>
      <c r="M4" s="57" t="s">
        <v>178</v>
      </c>
      <c r="P4" s="251" t="s">
        <v>177</v>
      </c>
      <c r="Q4" s="251" t="s">
        <v>176</v>
      </c>
      <c r="R4" s="251" t="s">
        <v>164</v>
      </c>
    </row>
    <row r="5" spans="1:18">
      <c r="B5" s="83" t="str">
        <f>TEXT($K$5,"MMMM YYYY")&amp;"  through  "&amp;TEXT($K$6,"MMMM YYYY")</f>
        <v>January 2020  through  December 2020</v>
      </c>
      <c r="C5" s="83"/>
      <c r="D5" s="83"/>
      <c r="E5" s="83"/>
      <c r="F5" s="83"/>
      <c r="G5" s="83"/>
      <c r="J5" s="56" t="s">
        <v>40</v>
      </c>
      <c r="K5" s="210">
        <f>MIN(K13:K24)</f>
        <v>43831</v>
      </c>
      <c r="M5" s="56" t="s">
        <v>41</v>
      </c>
      <c r="O5" s="3" t="s">
        <v>99</v>
      </c>
      <c r="P5" s="5">
        <f>MATCH('Table 5'!K5,'Table 5'!$B$12:$B$264,FALSE)+ROW('Table 5'!$B$11)</f>
        <v>13</v>
      </c>
      <c r="Q5" s="5">
        <v>13</v>
      </c>
      <c r="R5" s="5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210">
        <f>EDATE(K5,1*12-1)</f>
        <v>44166</v>
      </c>
      <c r="M6" s="57">
        <v>6.2</v>
      </c>
      <c r="N6" s="56" t="s">
        <v>34</v>
      </c>
      <c r="O6" s="5" t="s">
        <v>100</v>
      </c>
      <c r="P6">
        <f>P5+12-1</f>
        <v>24</v>
      </c>
      <c r="Q6">
        <f>Q5+239</f>
        <v>252</v>
      </c>
      <c r="R6">
        <f>R5+179</f>
        <v>204</v>
      </c>
    </row>
    <row r="7" spans="1:18">
      <c r="A7" s="107"/>
      <c r="B7" s="190"/>
      <c r="C7" s="58"/>
      <c r="D7" s="58"/>
      <c r="E7" s="58"/>
      <c r="F7" s="58"/>
      <c r="G7" s="91"/>
      <c r="M7" s="111">
        <f ca="1">SUM(OFFSET(F12,MATCH(K5,B13:B24,0),0,12))/(EDATE(K5,12)-K5)/24/Study_MW</f>
        <v>0.85000000000000009</v>
      </c>
      <c r="N7" s="88" t="s">
        <v>36</v>
      </c>
    </row>
    <row r="8" spans="1:18">
      <c r="A8" s="107"/>
      <c r="B8" s="107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7" t="str">
        <f>P4</f>
        <v>1 Year Starting 2020</v>
      </c>
      <c r="C9" s="58">
        <f ca="1">NPV($K$9,INDIRECT("C"&amp;$P$5&amp;":C"&amp;$P$6))</f>
        <v>905392.58713599842</v>
      </c>
      <c r="D9" s="58">
        <f ca="1">NPV($K$9,INDIRECT("d"&amp;$P$5&amp;":d"&amp;$P$6))</f>
        <v>0</v>
      </c>
      <c r="E9" s="58">
        <f ca="1">NPV($K$9,INDIRECT("e"&amp;$P$5&amp;":e"&amp;$P$6))</f>
        <v>905392.58713599842</v>
      </c>
      <c r="F9" s="58">
        <f ca="1">NPV($K$9,INDIRECT("f"&amp;$P$5&amp;":f"&amp;$P$6))</f>
        <v>44651.066278640079</v>
      </c>
      <c r="G9" s="91">
        <f ca="1">($C9+D9)/$F9</f>
        <v>20.277065310960221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/>
      <c r="C10" s="58"/>
      <c r="D10" s="58"/>
      <c r="E10" s="58"/>
      <c r="F10" s="58"/>
      <c r="G10" s="91"/>
      <c r="N10" s="59"/>
    </row>
    <row r="11" spans="1:18">
      <c r="B11" s="92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0.0% CF</v>
      </c>
      <c r="E12" s="66" t="s">
        <v>52</v>
      </c>
      <c r="F12" s="67" t="s">
        <v>48</v>
      </c>
      <c r="G12" s="65" t="str">
        <f>D12</f>
        <v>0.0%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84</v>
      </c>
      <c r="R12" s="56" t="s">
        <v>85</v>
      </c>
    </row>
    <row r="13" spans="1:18">
      <c r="B13" s="74">
        <f>[10]NPC!$F$3</f>
        <v>43831</v>
      </c>
      <c r="C13" s="69">
        <f>IF(F13="","",-INDEX([10]Delta!$F$1:$EE$997,$L$13,$I13))</f>
        <v>75793.645719319582</v>
      </c>
      <c r="D13" s="70">
        <f>IF(ISNUMBER($F13),VLOOKUP($J13,'Table 1'!$B$13:$C$33,2,FALSE)/12*1000*Study_MW,"")</f>
        <v>0</v>
      </c>
      <c r="E13" s="71">
        <f>IF(ISNUMBER(C13+D13),C13+D13,"")</f>
        <v>75793.645719319582</v>
      </c>
      <c r="F13" s="69">
        <f>IF(INDEX([10]Delta!$F$1:$EE$997,$L$14,$I13)=0,"",INDEX([10]Delta!$F$1:$EE$997,$L$14,$I13))</f>
        <v>3920.88</v>
      </c>
      <c r="G13" s="72">
        <f>IF(ISNUMBER($F13),E13/$F13,"")</f>
        <v>19.330774142365893</v>
      </c>
      <c r="I13" s="60">
        <v>1</v>
      </c>
      <c r="J13" s="73">
        <f>YEAR(B13)</f>
        <v>2020</v>
      </c>
      <c r="K13" s="74">
        <f t="shared" ref="K13:K24" si="0">IF(ISNUMBER(F13),B13,"")</f>
        <v>43831</v>
      </c>
      <c r="L13" s="56">
        <f>MATCH(M13,[10]Delta!$A$1:$A$997,FALSE)</f>
        <v>283</v>
      </c>
      <c r="M13" s="56" t="s">
        <v>51</v>
      </c>
    </row>
    <row r="14" spans="1:18">
      <c r="B14" s="78">
        <f t="shared" ref="B14:B77" si="1">EDATE(B13,1)</f>
        <v>43862</v>
      </c>
      <c r="C14" s="75">
        <f>IF(F14="","",-INDEX([10]Delta!$F$1:$EE$997,$L$13,$I14))</f>
        <v>75676.644351571798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75676.644351571798</v>
      </c>
      <c r="F14" s="75">
        <f>IF(INDEX([10]Delta!$F$1:$EE$997,$L$14,$I14)=0,"",INDEX([10]Delta!$F$1:$EE$997,$L$14,$I14))</f>
        <v>3667.92</v>
      </c>
      <c r="G14" s="76">
        <f t="shared" ref="G14:G77" si="3">IF(ISNUMBER($F14),E14/$F14,"")</f>
        <v>20.632032419347148</v>
      </c>
      <c r="I14" s="77">
        <f>I13+1</f>
        <v>2</v>
      </c>
      <c r="J14" s="73">
        <f t="shared" ref="J14:J77" si="4">YEAR(B14)</f>
        <v>2020</v>
      </c>
      <c r="K14" s="78">
        <f t="shared" si="0"/>
        <v>43862</v>
      </c>
      <c r="L14" s="56">
        <f>MATCH(M14,[10]Delta!$C$304:$C$507,FALSE)+ROW([10]Delta!$C$303)+2</f>
        <v>379</v>
      </c>
      <c r="M14" s="90" t="str">
        <f>CHOOSE([10]NPC!$EQ$84,[10]NPC!$EI$84,[10]NPC!$EK$84,[10]NPC!$EM$84,[10]NPC!$EO$84)</f>
        <v>QF - 434 - UT - Gas</v>
      </c>
    </row>
    <row r="15" spans="1:18">
      <c r="B15" s="78">
        <f t="shared" si="1"/>
        <v>43891</v>
      </c>
      <c r="C15" s="75">
        <f>IF(F15="","",-INDEX([10]Delta!$F$1:$EE$997,$L$13,$I15))</f>
        <v>68001.017447680235</v>
      </c>
      <c r="D15" s="71">
        <f>IF(ISNUMBER($F15),VLOOKUP($J15,'Table 1'!$B$13:$C$33,2,FALSE)/12*1000*Study_MW,"")</f>
        <v>0</v>
      </c>
      <c r="E15" s="71">
        <f t="shared" si="2"/>
        <v>68001.017447680235</v>
      </c>
      <c r="F15" s="75">
        <f>IF(INDEX([10]Delta!$F$1:$EE$997,$L$14,$I15)=0,"",INDEX([10]Delta!$F$1:$EE$997,$L$14,$I15))</f>
        <v>3920.88</v>
      </c>
      <c r="G15" s="76">
        <f t="shared" si="3"/>
        <v>17.343304933504783</v>
      </c>
      <c r="I15" s="77">
        <f t="shared" ref="I15:I24" si="5">I14+1</f>
        <v>3</v>
      </c>
      <c r="J15" s="73">
        <f t="shared" si="4"/>
        <v>2020</v>
      </c>
      <c r="K15" s="78">
        <f t="shared" si="0"/>
        <v>43891</v>
      </c>
    </row>
    <row r="16" spans="1:18">
      <c r="B16" s="78">
        <f t="shared" si="1"/>
        <v>43922</v>
      </c>
      <c r="C16" s="75">
        <f>IF(F16="","",-INDEX([10]Delta!$F$1:$EE$997,$L$13,$I16))</f>
        <v>63612.879795446992</v>
      </c>
      <c r="D16" s="71">
        <f>IF(ISNUMBER($F16),VLOOKUP($J16,'Table 1'!$B$13:$C$33,2,FALSE)/12*1000*Study_MW,"")</f>
        <v>0</v>
      </c>
      <c r="E16" s="71">
        <f t="shared" si="2"/>
        <v>63612.879795446992</v>
      </c>
      <c r="F16" s="75">
        <f>IF(INDEX([10]Delta!$F$1:$EE$997,$L$14,$I16)=0,"",INDEX([10]Delta!$F$1:$EE$997,$L$14,$I16))</f>
        <v>3794.4</v>
      </c>
      <c r="G16" s="76">
        <f t="shared" si="3"/>
        <v>16.764937749169036</v>
      </c>
      <c r="I16" s="77">
        <f t="shared" si="5"/>
        <v>4</v>
      </c>
      <c r="J16" s="73">
        <f t="shared" si="4"/>
        <v>2020</v>
      </c>
      <c r="K16" s="78">
        <f t="shared" si="0"/>
        <v>43922</v>
      </c>
      <c r="L16" s="73">
        <f>YEAR(B13)</f>
        <v>2020</v>
      </c>
      <c r="M16" s="56">
        <f>SUMIF($J$13:$J$264,L16,$C$13:$C$264)</f>
        <v>939053.29199866951</v>
      </c>
      <c r="N16" s="56">
        <f>SUMIF($J$13:$J$264,L16,$D$13:$D$264)</f>
        <v>0</v>
      </c>
      <c r="O16" s="56">
        <f t="shared" ref="O16:O25" si="6">SUMIF($J$13:$J$264,L16,$F$13:$F$264)</f>
        <v>46291.68</v>
      </c>
      <c r="P16" s="117">
        <f t="shared" ref="P16:P25" si="7">(M16+N16)/O16</f>
        <v>20.28557382230823</v>
      </c>
      <c r="Q16" s="180">
        <f>M16/O16</f>
        <v>20.28557382230823</v>
      </c>
      <c r="R16" s="180">
        <f>IFERROR(N16/O16,0)</f>
        <v>0</v>
      </c>
    </row>
    <row r="17" spans="2:18">
      <c r="B17" s="78">
        <f t="shared" si="1"/>
        <v>43952</v>
      </c>
      <c r="C17" s="75">
        <f>IF(F17="","",-INDEX([10]Delta!$F$1:$EE$997,$L$13,$I17))</f>
        <v>61748.44690681994</v>
      </c>
      <c r="D17" s="71">
        <f>IF(ISNUMBER($F17),VLOOKUP($J17,'Table 1'!$B$13:$C$33,2,FALSE)/12*1000*Study_MW,"")</f>
        <v>0</v>
      </c>
      <c r="E17" s="71">
        <f t="shared" si="2"/>
        <v>61748.44690681994</v>
      </c>
      <c r="F17" s="75">
        <f>IF(INDEX([10]Delta!$F$1:$EE$997,$L$14,$I17)=0,"",INDEX([10]Delta!$F$1:$EE$997,$L$14,$I17))</f>
        <v>3920.88</v>
      </c>
      <c r="G17" s="76">
        <f t="shared" si="3"/>
        <v>15.748619418809026</v>
      </c>
      <c r="I17" s="77">
        <f t="shared" si="5"/>
        <v>5</v>
      </c>
      <c r="J17" s="73">
        <f t="shared" si="4"/>
        <v>2020</v>
      </c>
      <c r="K17" s="78">
        <f t="shared" si="0"/>
        <v>43952</v>
      </c>
      <c r="L17" s="73">
        <f>L16+1</f>
        <v>2021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7" t="e">
        <f t="shared" si="7"/>
        <v>#DIV/0!</v>
      </c>
      <c r="Q17" s="180" t="e">
        <f t="shared" ref="Q17:Q33" si="9">M17/O17</f>
        <v>#DIV/0!</v>
      </c>
      <c r="R17" s="180">
        <f t="shared" ref="R17:R33" si="10">IFERROR(N17/O17,0)</f>
        <v>0</v>
      </c>
    </row>
    <row r="18" spans="2:18">
      <c r="B18" s="78">
        <f t="shared" si="1"/>
        <v>43983</v>
      </c>
      <c r="C18" s="75">
        <f>IF(F18="","",-INDEX([10]Delta!$F$1:$EE$997,$L$13,$I18))</f>
        <v>63317.073433145881</v>
      </c>
      <c r="D18" s="71">
        <f>IF(ISNUMBER($F18),VLOOKUP($J18,'Table 1'!$B$13:$C$33,2,FALSE)/12*1000*Study_MW,"")</f>
        <v>0</v>
      </c>
      <c r="E18" s="71">
        <f t="shared" si="2"/>
        <v>63317.073433145881</v>
      </c>
      <c r="F18" s="75">
        <f>IF(INDEX([10]Delta!$F$1:$EE$997,$L$14,$I18)=0,"",INDEX([10]Delta!$F$1:$EE$997,$L$14,$I18))</f>
        <v>3794.4</v>
      </c>
      <c r="G18" s="76">
        <f t="shared" si="3"/>
        <v>16.686979083160942</v>
      </c>
      <c r="I18" s="77">
        <f t="shared" si="5"/>
        <v>6</v>
      </c>
      <c r="J18" s="73">
        <f t="shared" si="4"/>
        <v>2020</v>
      </c>
      <c r="K18" s="78">
        <f t="shared" si="0"/>
        <v>43983</v>
      </c>
      <c r="L18" s="73">
        <f t="shared" ref="L18:L37" si="11">L17+1</f>
        <v>2022</v>
      </c>
      <c r="M18" s="56">
        <f t="shared" ref="M18:M36" si="12">SUMIF($J$13:$J$264,L18,$C$13:$C$264)</f>
        <v>0</v>
      </c>
      <c r="N18" s="56">
        <f t="shared" si="8"/>
        <v>0</v>
      </c>
      <c r="O18" s="56">
        <f t="shared" si="6"/>
        <v>0</v>
      </c>
      <c r="P18" s="117" t="e">
        <f t="shared" si="7"/>
        <v>#DIV/0!</v>
      </c>
      <c r="Q18" s="180" t="e">
        <f t="shared" si="9"/>
        <v>#DIV/0!</v>
      </c>
      <c r="R18" s="180">
        <f t="shared" si="10"/>
        <v>0</v>
      </c>
    </row>
    <row r="19" spans="2:18">
      <c r="B19" s="78">
        <f t="shared" si="1"/>
        <v>44013</v>
      </c>
      <c r="C19" s="75">
        <f>IF(F19="","",-INDEX([10]Delta!$F$1:$EE$997,$L$13,$I19))</f>
        <v>123819.40338626504</v>
      </c>
      <c r="D19" s="71">
        <f>IF(ISNUMBER($F19),VLOOKUP($J19,'Table 1'!$B$13:$C$33,2,FALSE)/12*1000*Study_MW,"")</f>
        <v>0</v>
      </c>
      <c r="E19" s="71">
        <f t="shared" si="2"/>
        <v>123819.40338626504</v>
      </c>
      <c r="F19" s="75">
        <f>IF(INDEX([10]Delta!$F$1:$EE$997,$L$14,$I19)=0,"",INDEX([10]Delta!$F$1:$EE$997,$L$14,$I19))</f>
        <v>3920.88</v>
      </c>
      <c r="G19" s="76">
        <f t="shared" si="3"/>
        <v>31.579493222507455</v>
      </c>
      <c r="I19" s="77">
        <f t="shared" si="5"/>
        <v>7</v>
      </c>
      <c r="J19" s="73">
        <f t="shared" si="4"/>
        <v>2020</v>
      </c>
      <c r="K19" s="78">
        <f t="shared" si="0"/>
        <v>44013</v>
      </c>
      <c r="L19" s="73">
        <f t="shared" si="11"/>
        <v>2023</v>
      </c>
      <c r="M19" s="56">
        <f t="shared" si="12"/>
        <v>0</v>
      </c>
      <c r="N19" s="56">
        <f t="shared" si="8"/>
        <v>0</v>
      </c>
      <c r="O19" s="56">
        <f t="shared" si="6"/>
        <v>0</v>
      </c>
      <c r="P19" s="117" t="e">
        <f t="shared" si="7"/>
        <v>#DIV/0!</v>
      </c>
      <c r="Q19" s="180" t="e">
        <f t="shared" si="9"/>
        <v>#DIV/0!</v>
      </c>
      <c r="R19" s="180">
        <f t="shared" si="10"/>
        <v>0</v>
      </c>
    </row>
    <row r="20" spans="2:18">
      <c r="B20" s="78">
        <f t="shared" si="1"/>
        <v>44044</v>
      </c>
      <c r="C20" s="75">
        <f>IF(F20="","",-INDEX([10]Delta!$F$1:$EE$997,$L$13,$I20))</f>
        <v>122991.51546859741</v>
      </c>
      <c r="D20" s="71">
        <f>IF(ISNUMBER($F20),VLOOKUP($J20,'Table 1'!$B$13:$C$33,2,FALSE)/12*1000*Study_MW,"")</f>
        <v>0</v>
      </c>
      <c r="E20" s="71">
        <f t="shared" si="2"/>
        <v>122991.51546859741</v>
      </c>
      <c r="F20" s="75">
        <f>IF(INDEX([10]Delta!$F$1:$EE$997,$L$14,$I20)=0,"",INDEX([10]Delta!$F$1:$EE$997,$L$14,$I20))</f>
        <v>3920.88</v>
      </c>
      <c r="G20" s="76">
        <f t="shared" si="3"/>
        <v>31.368344725826194</v>
      </c>
      <c r="I20" s="77">
        <f t="shared" si="5"/>
        <v>8</v>
      </c>
      <c r="J20" s="73">
        <f t="shared" si="4"/>
        <v>2020</v>
      </c>
      <c r="K20" s="78">
        <f t="shared" si="0"/>
        <v>44044</v>
      </c>
      <c r="L20" s="73">
        <f t="shared" si="11"/>
        <v>2024</v>
      </c>
      <c r="M20" s="56">
        <f t="shared" si="12"/>
        <v>0</v>
      </c>
      <c r="N20" s="56">
        <f t="shared" si="8"/>
        <v>0</v>
      </c>
      <c r="O20" s="56">
        <f t="shared" si="6"/>
        <v>0</v>
      </c>
      <c r="P20" s="117" t="e">
        <f t="shared" si="7"/>
        <v>#DIV/0!</v>
      </c>
      <c r="Q20" s="180" t="e">
        <f t="shared" si="9"/>
        <v>#DIV/0!</v>
      </c>
      <c r="R20" s="180">
        <f t="shared" si="10"/>
        <v>0</v>
      </c>
    </row>
    <row r="21" spans="2:18">
      <c r="B21" s="78">
        <f t="shared" si="1"/>
        <v>44075</v>
      </c>
      <c r="C21" s="75">
        <f>IF(F21="","",-INDEX([10]Delta!$F$1:$EE$997,$L$13,$I21))</f>
        <v>84635.196303963661</v>
      </c>
      <c r="D21" s="71">
        <f>IF(ISNUMBER($F21),VLOOKUP($J21,'Table 1'!$B$13:$C$33,2,FALSE)/12*1000*Study_MW,"")</f>
        <v>0</v>
      </c>
      <c r="E21" s="71">
        <f t="shared" si="2"/>
        <v>84635.196303963661</v>
      </c>
      <c r="F21" s="75">
        <f>IF(INDEX([10]Delta!$F$1:$EE$997,$L$14,$I21)=0,"",INDEX([10]Delta!$F$1:$EE$997,$L$14,$I21))</f>
        <v>3794.4</v>
      </c>
      <c r="G21" s="76">
        <f t="shared" si="3"/>
        <v>22.305291035200206</v>
      </c>
      <c r="I21" s="77">
        <f t="shared" si="5"/>
        <v>9</v>
      </c>
      <c r="J21" s="73">
        <f t="shared" si="4"/>
        <v>2020</v>
      </c>
      <c r="K21" s="78">
        <f t="shared" si="0"/>
        <v>44075</v>
      </c>
      <c r="L21" s="73">
        <f t="shared" si="11"/>
        <v>2025</v>
      </c>
      <c r="M21" s="56">
        <f t="shared" si="12"/>
        <v>0</v>
      </c>
      <c r="N21" s="56">
        <f t="shared" si="8"/>
        <v>0</v>
      </c>
      <c r="O21" s="56">
        <f t="shared" si="6"/>
        <v>0</v>
      </c>
      <c r="P21" s="117" t="e">
        <f t="shared" si="7"/>
        <v>#DIV/0!</v>
      </c>
      <c r="Q21" s="180" t="e">
        <f t="shared" si="9"/>
        <v>#DIV/0!</v>
      </c>
      <c r="R21" s="180">
        <f t="shared" si="10"/>
        <v>0</v>
      </c>
    </row>
    <row r="22" spans="2:18">
      <c r="B22" s="78">
        <f t="shared" si="1"/>
        <v>44105</v>
      </c>
      <c r="C22" s="75">
        <f>IF(F22="","",-INDEX([10]Delta!$F$1:$EE$997,$L$13,$I22))</f>
        <v>64263.824452698231</v>
      </c>
      <c r="D22" s="71">
        <f>IF(ISNUMBER($F22),VLOOKUP($J22,'Table 1'!$B$13:$C$33,2,FALSE)/12*1000*Study_MW,"")</f>
        <v>0</v>
      </c>
      <c r="E22" s="71">
        <f t="shared" si="2"/>
        <v>64263.824452698231</v>
      </c>
      <c r="F22" s="75">
        <f>IF(INDEX([10]Delta!$F$1:$EE$997,$L$14,$I22)=0,"",INDEX([10]Delta!$F$1:$EE$997,$L$14,$I22))</f>
        <v>3920.88</v>
      </c>
      <c r="G22" s="76">
        <f t="shared" si="3"/>
        <v>16.390153346365672</v>
      </c>
      <c r="I22" s="77">
        <f t="shared" si="5"/>
        <v>10</v>
      </c>
      <c r="J22" s="73">
        <f t="shared" si="4"/>
        <v>2020</v>
      </c>
      <c r="K22" s="78">
        <f t="shared" si="0"/>
        <v>44105</v>
      </c>
      <c r="L22" s="73">
        <f t="shared" si="11"/>
        <v>2026</v>
      </c>
      <c r="M22" s="56">
        <f t="shared" si="12"/>
        <v>0</v>
      </c>
      <c r="N22" s="56">
        <f t="shared" si="8"/>
        <v>0</v>
      </c>
      <c r="O22" s="56">
        <f t="shared" si="6"/>
        <v>0</v>
      </c>
      <c r="P22" s="117" t="e">
        <f t="shared" si="7"/>
        <v>#DIV/0!</v>
      </c>
      <c r="Q22" s="180" t="e">
        <f t="shared" si="9"/>
        <v>#DIV/0!</v>
      </c>
      <c r="R22" s="180">
        <f t="shared" si="10"/>
        <v>0</v>
      </c>
    </row>
    <row r="23" spans="2:18">
      <c r="B23" s="78">
        <f t="shared" si="1"/>
        <v>44136</v>
      </c>
      <c r="C23" s="75">
        <f>IF(F23="","",-INDEX([10]Delta!$F$1:$EE$997,$L$13,$I23))</f>
        <v>66748.589920654893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66748.589920654893</v>
      </c>
      <c r="F23" s="75">
        <f>IF(INDEX([10]Delta!$F$1:$EE$997,$L$14,$I23)=0,"",INDEX([10]Delta!$F$1:$EE$997,$L$14,$I23))</f>
        <v>3794.4</v>
      </c>
      <c r="G23" s="76">
        <f t="shared" ref="G23" si="14">IF(ISNUMBER($F23),E23/$F23,"")</f>
        <v>17.591342483832726</v>
      </c>
      <c r="I23" s="77">
        <f t="shared" si="5"/>
        <v>11</v>
      </c>
      <c r="J23" s="73">
        <f t="shared" si="4"/>
        <v>2020</v>
      </c>
      <c r="K23" s="78">
        <f t="shared" si="0"/>
        <v>44136</v>
      </c>
      <c r="L23" s="73">
        <f t="shared" si="11"/>
        <v>2027</v>
      </c>
      <c r="M23" s="56">
        <f t="shared" si="12"/>
        <v>0</v>
      </c>
      <c r="N23" s="56">
        <f t="shared" si="8"/>
        <v>0</v>
      </c>
      <c r="O23" s="56">
        <f t="shared" si="6"/>
        <v>0</v>
      </c>
      <c r="P23" s="117" t="e">
        <f t="shared" si="7"/>
        <v>#DIV/0!</v>
      </c>
      <c r="Q23" s="180" t="e">
        <f t="shared" si="9"/>
        <v>#DIV/0!</v>
      </c>
      <c r="R23" s="180">
        <f t="shared" si="10"/>
        <v>0</v>
      </c>
    </row>
    <row r="24" spans="2:18">
      <c r="B24" s="82">
        <f t="shared" si="1"/>
        <v>44166</v>
      </c>
      <c r="C24" s="79">
        <f>IF(F24="","",-INDEX([10]Delta!$F$1:$EE$997,$L$13,$I24))</f>
        <v>68445.054812505841</v>
      </c>
      <c r="D24" s="80">
        <f>IF(F24&lt;&gt;0,VLOOKUP($J24,'Table 1'!$B$13:$C$33,2,FALSE)/12*1000*Study_MW,0)</f>
        <v>0</v>
      </c>
      <c r="E24" s="80">
        <f t="shared" ref="E24" si="15">IF(ISNUMBER(C24+D24),C24+D24,"")</f>
        <v>68445.054812505841</v>
      </c>
      <c r="F24" s="79">
        <f>IF(INDEX([10]Delta!$F$1:$EE$997,$L$14,$I24)=0,"",INDEX([10]Delta!$F$1:$EE$997,$L$14,$I24))</f>
        <v>3920.88</v>
      </c>
      <c r="G24" s="81">
        <f t="shared" ref="G24" si="16">IF(ISNUMBER($F24),E24/$F24,"")</f>
        <v>17.456554348132521</v>
      </c>
      <c r="I24" s="64">
        <f t="shared" si="5"/>
        <v>12</v>
      </c>
      <c r="J24" s="73">
        <f t="shared" si="4"/>
        <v>2020</v>
      </c>
      <c r="K24" s="82">
        <f t="shared" si="0"/>
        <v>44166</v>
      </c>
      <c r="L24" s="73">
        <f t="shared" si="11"/>
        <v>2028</v>
      </c>
      <c r="M24" s="56">
        <f t="shared" si="12"/>
        <v>0</v>
      </c>
      <c r="N24" s="56">
        <f t="shared" si="8"/>
        <v>0</v>
      </c>
      <c r="O24" s="56">
        <f t="shared" si="6"/>
        <v>0</v>
      </c>
      <c r="P24" s="117" t="e">
        <f t="shared" si="7"/>
        <v>#DIV/0!</v>
      </c>
      <c r="Q24" s="180" t="e">
        <f t="shared" si="9"/>
        <v>#DIV/0!</v>
      </c>
      <c r="R24" s="180">
        <f t="shared" si="10"/>
        <v>0</v>
      </c>
    </row>
    <row r="25" spans="2:18" hidden="1">
      <c r="B25" s="74">
        <f t="shared" si="1"/>
        <v>44197</v>
      </c>
      <c r="C25" s="69">
        <f>IF(F25&lt;&gt;0,-INDEX([10]Delta!$F$1:$EE$997,$L$13,$I25),0)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17">C25+D25</f>
        <v>0</v>
      </c>
      <c r="F25" s="69">
        <f>INDEX([10]Delta!$F$1:$EE$997,$L$14,$I25)</f>
        <v>0</v>
      </c>
      <c r="G25" s="72" t="e">
        <f t="shared" si="3"/>
        <v>#DIV/0!</v>
      </c>
      <c r="I25" s="60">
        <f>I13+13</f>
        <v>14</v>
      </c>
      <c r="J25" s="73">
        <f t="shared" si="4"/>
        <v>2021</v>
      </c>
      <c r="K25" s="74" t="str">
        <f>IF(ISNUMBER(F25),IF(F25&lt;&gt;0,B25,""),"")</f>
        <v/>
      </c>
      <c r="L25" s="73">
        <f t="shared" si="11"/>
        <v>2029</v>
      </c>
      <c r="M25" s="56">
        <f t="shared" si="12"/>
        <v>0</v>
      </c>
      <c r="N25" s="56">
        <f t="shared" si="8"/>
        <v>0</v>
      </c>
      <c r="O25" s="56">
        <f t="shared" si="6"/>
        <v>0</v>
      </c>
      <c r="P25" s="117" t="e">
        <f t="shared" si="7"/>
        <v>#DIV/0!</v>
      </c>
      <c r="Q25" s="180" t="e">
        <f t="shared" si="9"/>
        <v>#DIV/0!</v>
      </c>
      <c r="R25" s="180">
        <f t="shared" si="10"/>
        <v>0</v>
      </c>
    </row>
    <row r="26" spans="2:18" hidden="1">
      <c r="B26" s="78">
        <f t="shared" si="1"/>
        <v>44228</v>
      </c>
      <c r="C26" s="75">
        <f>IF(F26&lt;&gt;0,-INDEX([10]Delta!$F$1:$EE$997,$L$13,$I26),0)</f>
        <v>0</v>
      </c>
      <c r="D26" s="71">
        <f>IF(F26&lt;&gt;0,VLOOKUP($J26,'Table 1'!$B$13:$C$33,2,FALSE)/12*1000*Study_MW,0)</f>
        <v>0</v>
      </c>
      <c r="E26" s="71">
        <f t="shared" si="17"/>
        <v>0</v>
      </c>
      <c r="F26" s="75">
        <f>INDEX([10]Delta!$F$1:$EE$997,$L$14,$I26)</f>
        <v>0</v>
      </c>
      <c r="G26" s="76" t="e">
        <f t="shared" si="3"/>
        <v>#DIV/0!</v>
      </c>
      <c r="I26" s="77">
        <f t="shared" ref="I26:I89" si="18">I14+13</f>
        <v>15</v>
      </c>
      <c r="J26" s="73">
        <f t="shared" si="4"/>
        <v>2021</v>
      </c>
      <c r="K26" s="78" t="str">
        <f t="shared" ref="K26:K89" si="19">IF(ISNUMBER(F26),IF(F26&lt;&gt;0,B26,""),"")</f>
        <v/>
      </c>
      <c r="L26" s="73">
        <f t="shared" si="11"/>
        <v>2030</v>
      </c>
      <c r="M26" s="56">
        <f t="shared" si="12"/>
        <v>0</v>
      </c>
      <c r="N26" s="56">
        <f t="shared" si="8"/>
        <v>0</v>
      </c>
      <c r="O26" s="56">
        <f>SUMIF($J$13:$J$264,L26,$F$13:$F$264)</f>
        <v>0</v>
      </c>
      <c r="P26" s="117" t="e">
        <f>(M26+N26)/O26</f>
        <v>#DIV/0!</v>
      </c>
      <c r="Q26" s="180" t="e">
        <f t="shared" si="9"/>
        <v>#DIV/0!</v>
      </c>
      <c r="R26" s="180">
        <f t="shared" si="10"/>
        <v>0</v>
      </c>
    </row>
    <row r="27" spans="2:18" hidden="1">
      <c r="B27" s="78">
        <f t="shared" si="1"/>
        <v>44256</v>
      </c>
      <c r="C27" s="75">
        <f>IF(F27&lt;&gt;0,-INDEX([10]Delta!$F$1:$EE$997,$L$13,$I27),0)</f>
        <v>0</v>
      </c>
      <c r="D27" s="71">
        <f>IF(F27&lt;&gt;0,VLOOKUP($J27,'Table 1'!$B$13:$C$33,2,FALSE)/12*1000*Study_MW,0)</f>
        <v>0</v>
      </c>
      <c r="E27" s="71">
        <f t="shared" si="17"/>
        <v>0</v>
      </c>
      <c r="F27" s="75">
        <f>INDEX([10]Delta!$F$1:$EE$997,$L$14,$I27)</f>
        <v>0</v>
      </c>
      <c r="G27" s="76" t="e">
        <f t="shared" si="3"/>
        <v>#DIV/0!</v>
      </c>
      <c r="I27" s="77">
        <f t="shared" si="18"/>
        <v>16</v>
      </c>
      <c r="J27" s="73">
        <f t="shared" si="4"/>
        <v>2021</v>
      </c>
      <c r="K27" s="78" t="str">
        <f t="shared" si="19"/>
        <v/>
      </c>
      <c r="L27" s="73">
        <f t="shared" si="11"/>
        <v>2031</v>
      </c>
      <c r="M27" s="56">
        <f t="shared" si="12"/>
        <v>0</v>
      </c>
      <c r="N27" s="56">
        <f t="shared" si="8"/>
        <v>0</v>
      </c>
      <c r="O27" s="56">
        <f t="shared" ref="O27:O31" si="20">SUMIF($J$13:$J$264,L27,$F$13:$F$264)</f>
        <v>0</v>
      </c>
      <c r="P27" s="117" t="e">
        <f t="shared" ref="P27:P31" si="21">(M27+N27)/O27</f>
        <v>#DIV/0!</v>
      </c>
      <c r="Q27" s="180" t="e">
        <f t="shared" si="9"/>
        <v>#DIV/0!</v>
      </c>
      <c r="R27" s="180">
        <f t="shared" si="10"/>
        <v>0</v>
      </c>
    </row>
    <row r="28" spans="2:18" hidden="1">
      <c r="B28" s="78">
        <f t="shared" si="1"/>
        <v>44287</v>
      </c>
      <c r="C28" s="75">
        <f>IF(F28&lt;&gt;0,-INDEX([10]Delta!$F$1:$EE$997,$L$13,$I28),0)</f>
        <v>0</v>
      </c>
      <c r="D28" s="71">
        <f>IF(F28&lt;&gt;0,VLOOKUP($J28,'Table 1'!$B$13:$C$33,2,FALSE)/12*1000*Study_MW,0)</f>
        <v>0</v>
      </c>
      <c r="E28" s="71">
        <f t="shared" si="17"/>
        <v>0</v>
      </c>
      <c r="F28" s="75">
        <f>INDEX([10]Delta!$F$1:$EE$997,$L$14,$I28)</f>
        <v>0</v>
      </c>
      <c r="G28" s="76" t="e">
        <f t="shared" si="3"/>
        <v>#DIV/0!</v>
      </c>
      <c r="I28" s="77">
        <f t="shared" si="18"/>
        <v>17</v>
      </c>
      <c r="J28" s="73">
        <f t="shared" si="4"/>
        <v>2021</v>
      </c>
      <c r="K28" s="78" t="str">
        <f t="shared" si="19"/>
        <v/>
      </c>
      <c r="L28" s="73">
        <f t="shared" si="11"/>
        <v>2032</v>
      </c>
      <c r="M28" s="56">
        <f t="shared" si="12"/>
        <v>0</v>
      </c>
      <c r="N28" s="56">
        <f t="shared" si="8"/>
        <v>0</v>
      </c>
      <c r="O28" s="56">
        <f t="shared" si="20"/>
        <v>0</v>
      </c>
      <c r="P28" s="117" t="e">
        <f t="shared" si="21"/>
        <v>#DIV/0!</v>
      </c>
      <c r="Q28" s="180" t="e">
        <f t="shared" si="9"/>
        <v>#DIV/0!</v>
      </c>
      <c r="R28" s="180">
        <f t="shared" si="10"/>
        <v>0</v>
      </c>
    </row>
    <row r="29" spans="2:18" hidden="1">
      <c r="B29" s="78">
        <f t="shared" si="1"/>
        <v>44317</v>
      </c>
      <c r="C29" s="75">
        <f>IF(F29&lt;&gt;0,-INDEX([10]Delta!$F$1:$EE$997,$L$13,$I29),0)</f>
        <v>0</v>
      </c>
      <c r="D29" s="71">
        <f>IF(F29&lt;&gt;0,VLOOKUP($J29,'Table 1'!$B$13:$C$33,2,FALSE)/12*1000*Study_MW,0)</f>
        <v>0</v>
      </c>
      <c r="E29" s="71">
        <f t="shared" si="17"/>
        <v>0</v>
      </c>
      <c r="F29" s="75">
        <f>INDEX([10]Delta!$F$1:$EE$997,$L$14,$I29)</f>
        <v>0</v>
      </c>
      <c r="G29" s="76" t="e">
        <f t="shared" si="3"/>
        <v>#DIV/0!</v>
      </c>
      <c r="I29" s="77">
        <f t="shared" si="18"/>
        <v>18</v>
      </c>
      <c r="J29" s="73">
        <f t="shared" si="4"/>
        <v>2021</v>
      </c>
      <c r="K29" s="78" t="str">
        <f t="shared" si="19"/>
        <v/>
      </c>
      <c r="L29" s="73">
        <f t="shared" si="11"/>
        <v>2033</v>
      </c>
      <c r="M29" s="56">
        <f t="shared" si="12"/>
        <v>0</v>
      </c>
      <c r="N29" s="56">
        <f t="shared" si="8"/>
        <v>0</v>
      </c>
      <c r="O29" s="56">
        <f t="shared" si="20"/>
        <v>0</v>
      </c>
      <c r="P29" s="117" t="e">
        <f t="shared" si="21"/>
        <v>#DIV/0!</v>
      </c>
      <c r="Q29" s="180" t="e">
        <f t="shared" si="9"/>
        <v>#DIV/0!</v>
      </c>
      <c r="R29" s="180">
        <f t="shared" si="10"/>
        <v>0</v>
      </c>
    </row>
    <row r="30" spans="2:18" hidden="1">
      <c r="B30" s="78">
        <f t="shared" si="1"/>
        <v>44348</v>
      </c>
      <c r="C30" s="75">
        <f>IF(F30&lt;&gt;0,-INDEX([10]Delta!$F$1:$EE$997,$L$13,$I30),0)</f>
        <v>0</v>
      </c>
      <c r="D30" s="71">
        <f>IF(F30&lt;&gt;0,VLOOKUP($J30,'Table 1'!$B$13:$C$33,2,FALSE)/12*1000*Study_MW,0)</f>
        <v>0</v>
      </c>
      <c r="E30" s="71">
        <f t="shared" si="17"/>
        <v>0</v>
      </c>
      <c r="F30" s="75">
        <f>INDEX([10]Delta!$F$1:$EE$997,$L$14,$I30)</f>
        <v>0</v>
      </c>
      <c r="G30" s="76" t="e">
        <f t="shared" si="3"/>
        <v>#DIV/0!</v>
      </c>
      <c r="I30" s="77">
        <f t="shared" si="18"/>
        <v>19</v>
      </c>
      <c r="J30" s="73">
        <f t="shared" si="4"/>
        <v>2021</v>
      </c>
      <c r="K30" s="78" t="str">
        <f t="shared" si="19"/>
        <v/>
      </c>
      <c r="L30" s="73">
        <f t="shared" si="11"/>
        <v>2034</v>
      </c>
      <c r="M30" s="56">
        <f t="shared" si="12"/>
        <v>0</v>
      </c>
      <c r="N30" s="56">
        <f t="shared" si="8"/>
        <v>0</v>
      </c>
      <c r="O30" s="56">
        <f t="shared" si="20"/>
        <v>0</v>
      </c>
      <c r="P30" s="117" t="e">
        <f t="shared" si="21"/>
        <v>#DIV/0!</v>
      </c>
      <c r="Q30" s="180" t="e">
        <f t="shared" si="9"/>
        <v>#DIV/0!</v>
      </c>
      <c r="R30" s="180">
        <f t="shared" si="10"/>
        <v>0</v>
      </c>
    </row>
    <row r="31" spans="2:18" hidden="1">
      <c r="B31" s="78">
        <f t="shared" si="1"/>
        <v>44378</v>
      </c>
      <c r="C31" s="75">
        <f>IF(F31&lt;&gt;0,-INDEX([10]Delta!$F$1:$EE$997,$L$13,$I31),0)</f>
        <v>0</v>
      </c>
      <c r="D31" s="71">
        <f>IF(F31&lt;&gt;0,VLOOKUP($J31,'Table 1'!$B$13:$C$33,2,FALSE)/12*1000*Study_MW,0)</f>
        <v>0</v>
      </c>
      <c r="E31" s="71">
        <f t="shared" si="17"/>
        <v>0</v>
      </c>
      <c r="F31" s="75">
        <f>INDEX([10]Delta!$F$1:$EE$997,$L$14,$I31)</f>
        <v>0</v>
      </c>
      <c r="G31" s="76" t="e">
        <f t="shared" si="3"/>
        <v>#DIV/0!</v>
      </c>
      <c r="I31" s="77">
        <f t="shared" si="18"/>
        <v>20</v>
      </c>
      <c r="J31" s="73">
        <f t="shared" si="4"/>
        <v>2021</v>
      </c>
      <c r="K31" s="78" t="str">
        <f t="shared" si="19"/>
        <v/>
      </c>
      <c r="L31" s="73">
        <f t="shared" si="11"/>
        <v>2035</v>
      </c>
      <c r="M31" s="56">
        <f t="shared" si="12"/>
        <v>0</v>
      </c>
      <c r="N31" s="56">
        <f t="shared" si="8"/>
        <v>0</v>
      </c>
      <c r="O31" s="56">
        <f t="shared" si="20"/>
        <v>0</v>
      </c>
      <c r="P31" s="117" t="e">
        <f t="shared" si="21"/>
        <v>#DIV/0!</v>
      </c>
      <c r="Q31" s="180" t="e">
        <f t="shared" si="9"/>
        <v>#DIV/0!</v>
      </c>
      <c r="R31" s="180">
        <f t="shared" si="10"/>
        <v>0</v>
      </c>
    </row>
    <row r="32" spans="2:18" hidden="1">
      <c r="B32" s="78">
        <f t="shared" si="1"/>
        <v>44409</v>
      </c>
      <c r="C32" s="75">
        <f>IF(F32&lt;&gt;0,-INDEX([10]Delta!$F$1:$EE$997,$L$13,$I32),0)</f>
        <v>0</v>
      </c>
      <c r="D32" s="71">
        <f>IF(F32&lt;&gt;0,VLOOKUP($J32,'Table 1'!$B$13:$C$33,2,FALSE)/12*1000*Study_MW,0)</f>
        <v>0</v>
      </c>
      <c r="E32" s="71">
        <f t="shared" si="17"/>
        <v>0</v>
      </c>
      <c r="F32" s="75">
        <f>INDEX([10]Delta!$F$1:$EE$997,$L$14,$I32)</f>
        <v>0</v>
      </c>
      <c r="G32" s="76" t="e">
        <f t="shared" si="3"/>
        <v>#DIV/0!</v>
      </c>
      <c r="I32" s="77">
        <f t="shared" si="18"/>
        <v>21</v>
      </c>
      <c r="J32" s="73">
        <f t="shared" si="4"/>
        <v>2021</v>
      </c>
      <c r="K32" s="78" t="str">
        <f t="shared" si="19"/>
        <v/>
      </c>
      <c r="L32" s="73">
        <f t="shared" si="11"/>
        <v>2036</v>
      </c>
      <c r="M32" s="56">
        <f t="shared" si="12"/>
        <v>0</v>
      </c>
      <c r="N32" s="56">
        <f t="shared" si="8"/>
        <v>0</v>
      </c>
      <c r="O32" s="56">
        <f t="shared" ref="O32:O35" si="22">SUMIF($J$13:$J$264,L32,$F$13:$F$264)</f>
        <v>0</v>
      </c>
      <c r="P32" s="117" t="e">
        <f t="shared" ref="P32:P34" si="23">(M32+N32)/O32</f>
        <v>#DIV/0!</v>
      </c>
      <c r="Q32" s="180" t="e">
        <f t="shared" si="9"/>
        <v>#DIV/0!</v>
      </c>
      <c r="R32" s="180">
        <f t="shared" si="10"/>
        <v>0</v>
      </c>
    </row>
    <row r="33" spans="2:20" hidden="1">
      <c r="B33" s="78">
        <f t="shared" si="1"/>
        <v>44440</v>
      </c>
      <c r="C33" s="75">
        <f>IF(F33&lt;&gt;0,-INDEX([10]Delta!$F$1:$EE$997,$L$13,$I33),0)</f>
        <v>0</v>
      </c>
      <c r="D33" s="71">
        <f>IF(F33&lt;&gt;0,VLOOKUP($J33,'Table 1'!$B$13:$C$33,2,FALSE)/12*1000*Study_MW,0)</f>
        <v>0</v>
      </c>
      <c r="E33" s="71">
        <f t="shared" si="17"/>
        <v>0</v>
      </c>
      <c r="F33" s="75">
        <f>INDEX([10]Delta!$F$1:$EE$997,$L$14,$I33)</f>
        <v>0</v>
      </c>
      <c r="G33" s="76" t="e">
        <f t="shared" si="3"/>
        <v>#DIV/0!</v>
      </c>
      <c r="I33" s="77">
        <f t="shared" si="18"/>
        <v>22</v>
      </c>
      <c r="J33" s="73">
        <f t="shared" si="4"/>
        <v>2021</v>
      </c>
      <c r="K33" s="78" t="str">
        <f t="shared" si="19"/>
        <v/>
      </c>
      <c r="L33" s="73">
        <f t="shared" si="11"/>
        <v>2037</v>
      </c>
      <c r="M33" s="56">
        <f t="shared" si="12"/>
        <v>0</v>
      </c>
      <c r="N33" s="56">
        <f t="shared" si="8"/>
        <v>0</v>
      </c>
      <c r="O33" s="56">
        <f t="shared" si="22"/>
        <v>0</v>
      </c>
      <c r="P33" s="117" t="e">
        <f t="shared" si="23"/>
        <v>#DIV/0!</v>
      </c>
      <c r="Q33" s="180" t="e">
        <f t="shared" si="9"/>
        <v>#DIV/0!</v>
      </c>
      <c r="R33" s="180">
        <f t="shared" si="10"/>
        <v>0</v>
      </c>
    </row>
    <row r="34" spans="2:20" hidden="1">
      <c r="B34" s="78">
        <f t="shared" si="1"/>
        <v>44470</v>
      </c>
      <c r="C34" s="75">
        <f>IF(F34&lt;&gt;0,-INDEX([10]Delta!$F$1:$EE$997,$L$13,$I34),0)</f>
        <v>0</v>
      </c>
      <c r="D34" s="71">
        <f>IF(F34&lt;&gt;0,VLOOKUP($J34,'Table 1'!$B$13:$C$33,2,FALSE)/12*1000*Study_MW,0)</f>
        <v>0</v>
      </c>
      <c r="E34" s="71">
        <f t="shared" si="17"/>
        <v>0</v>
      </c>
      <c r="F34" s="75">
        <f>INDEX([10]Delta!$F$1:$EE$997,$L$14,$I34)</f>
        <v>0</v>
      </c>
      <c r="G34" s="76" t="e">
        <f t="shared" si="3"/>
        <v>#DIV/0!</v>
      </c>
      <c r="I34" s="77">
        <f t="shared" si="18"/>
        <v>23</v>
      </c>
      <c r="J34" s="73">
        <f t="shared" si="4"/>
        <v>2021</v>
      </c>
      <c r="K34" s="78" t="str">
        <f t="shared" si="19"/>
        <v/>
      </c>
      <c r="L34" s="73">
        <f t="shared" si="11"/>
        <v>2038</v>
      </c>
      <c r="M34" s="56">
        <f t="shared" si="12"/>
        <v>0</v>
      </c>
      <c r="N34" s="56">
        <f t="shared" si="8"/>
        <v>0</v>
      </c>
      <c r="O34" s="56">
        <f t="shared" si="22"/>
        <v>0</v>
      </c>
      <c r="P34" s="117" t="e">
        <f t="shared" si="23"/>
        <v>#DIV/0!</v>
      </c>
      <c r="Q34" s="180" t="e">
        <f t="shared" ref="Q34" si="24">M34/O34</f>
        <v>#DIV/0!</v>
      </c>
      <c r="R34" s="180">
        <f t="shared" ref="R34" si="25">IFERROR(N34/O34,0)</f>
        <v>0</v>
      </c>
    </row>
    <row r="35" spans="2:20" hidden="1">
      <c r="B35" s="78">
        <f t="shared" si="1"/>
        <v>44501</v>
      </c>
      <c r="C35" s="75">
        <f>IF(F35&lt;&gt;0,-INDEX([10]Delta!$F$1:$EE$997,$L$13,$I35),0)</f>
        <v>0</v>
      </c>
      <c r="D35" s="71">
        <f>IF(F35&lt;&gt;0,VLOOKUP($J35,'Table 1'!$B$13:$C$33,2,FALSE)/12*1000*Study_MW,0)</f>
        <v>0</v>
      </c>
      <c r="E35" s="71">
        <f t="shared" si="17"/>
        <v>0</v>
      </c>
      <c r="F35" s="75">
        <f>INDEX([10]Delta!$F$1:$EE$997,$L$14,$I35)</f>
        <v>0</v>
      </c>
      <c r="G35" s="76" t="e">
        <f t="shared" si="3"/>
        <v>#DIV/0!</v>
      </c>
      <c r="I35" s="77">
        <f t="shared" si="18"/>
        <v>24</v>
      </c>
      <c r="J35" s="73">
        <f t="shared" si="4"/>
        <v>2021</v>
      </c>
      <c r="K35" s="78" t="str">
        <f t="shared" si="19"/>
        <v/>
      </c>
      <c r="L35" s="73">
        <f t="shared" si="11"/>
        <v>2039</v>
      </c>
      <c r="M35" s="56">
        <f t="shared" si="12"/>
        <v>0</v>
      </c>
      <c r="N35" s="56">
        <f t="shared" si="8"/>
        <v>0</v>
      </c>
      <c r="O35" s="56">
        <f t="shared" si="22"/>
        <v>0</v>
      </c>
      <c r="P35" s="117" t="e">
        <f t="shared" ref="P35" si="26">(M35+N35)/O35</f>
        <v>#DIV/0!</v>
      </c>
      <c r="Q35" s="180" t="e">
        <f t="shared" ref="Q35" si="27">M35/O35</f>
        <v>#DIV/0!</v>
      </c>
      <c r="R35" s="180">
        <f t="shared" ref="R35" si="28">IFERROR(N35/O35,0)</f>
        <v>0</v>
      </c>
    </row>
    <row r="36" spans="2:20" hidden="1">
      <c r="B36" s="82">
        <f t="shared" si="1"/>
        <v>44531</v>
      </c>
      <c r="C36" s="79">
        <f>IF(F36&lt;&gt;0,-INDEX([10]Delta!$F$1:$EE$997,$L$13,$I36),0)</f>
        <v>0</v>
      </c>
      <c r="D36" s="80">
        <f>IF(F36&lt;&gt;0,VLOOKUP($J36,'Table 1'!$B$13:$C$33,2,FALSE)/12*1000*Study_MW,0)</f>
        <v>0</v>
      </c>
      <c r="E36" s="80">
        <f t="shared" si="17"/>
        <v>0</v>
      </c>
      <c r="F36" s="79">
        <f>INDEX([10]Delta!$F$1:$EE$997,$L$14,$I36)</f>
        <v>0</v>
      </c>
      <c r="G36" s="81" t="e">
        <f t="shared" si="3"/>
        <v>#DIV/0!</v>
      </c>
      <c r="I36" s="64">
        <f t="shared" si="18"/>
        <v>25</v>
      </c>
      <c r="J36" s="73">
        <f t="shared" si="4"/>
        <v>2021</v>
      </c>
      <c r="K36" s="82" t="str">
        <f t="shared" si="19"/>
        <v/>
      </c>
      <c r="L36" s="73">
        <f t="shared" si="11"/>
        <v>2040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7" t="e">
        <f t="shared" ref="P36" si="30">(M36+N36)/O36</f>
        <v>#DIV/0!</v>
      </c>
      <c r="Q36" s="180" t="e">
        <f t="shared" ref="Q36" si="31">M36/O36</f>
        <v>#DIV/0!</v>
      </c>
      <c r="R36" s="180">
        <f t="shared" ref="R36" si="32">IFERROR(N36/O36,0)</f>
        <v>0</v>
      </c>
    </row>
    <row r="37" spans="2:20" hidden="1" outlineLevel="1">
      <c r="B37" s="74">
        <f t="shared" si="1"/>
        <v>44562</v>
      </c>
      <c r="C37" s="69">
        <f>IF(F37&lt;&gt;0,-INDEX([10]Delta!$F$1:$EE$997,$L$13,$I37),0)</f>
        <v>0</v>
      </c>
      <c r="D37" s="70">
        <f>IF(F37&lt;&gt;0,VLOOKUP($J37,'Table 1'!$B$13:$C$33,2,FALSE)/12*1000*Study_MW,0)</f>
        <v>0</v>
      </c>
      <c r="E37" s="70">
        <f t="shared" si="17"/>
        <v>0</v>
      </c>
      <c r="F37" s="69">
        <f>INDEX([10]Delta!$F$1:$EE$997,$L$14,$I37)</f>
        <v>0</v>
      </c>
      <c r="G37" s="72" t="e">
        <f t="shared" si="3"/>
        <v>#DIV/0!</v>
      </c>
      <c r="I37" s="60">
        <f>I25+13</f>
        <v>27</v>
      </c>
      <c r="J37" s="73">
        <f t="shared" si="4"/>
        <v>2022</v>
      </c>
      <c r="K37" s="74" t="str">
        <f t="shared" si="19"/>
        <v/>
      </c>
      <c r="L37" s="73">
        <f t="shared" si="11"/>
        <v>2041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7" t="e">
        <f t="shared" ref="P37" si="33">(M37+N37)/O37</f>
        <v>#DIV/0!</v>
      </c>
      <c r="Q37" s="180" t="e">
        <f t="shared" ref="Q37" si="34">M37/O37</f>
        <v>#DIV/0!</v>
      </c>
      <c r="R37" s="180">
        <f t="shared" ref="R37" si="35">IFERROR(N37/O37,0)</f>
        <v>0</v>
      </c>
    </row>
    <row r="38" spans="2:20" hidden="1" outlineLevel="1">
      <c r="B38" s="78">
        <f t="shared" si="1"/>
        <v>44593</v>
      </c>
      <c r="C38" s="75">
        <f>IF(F38&lt;&gt;0,-INDEX([10]Delta!$F$1:$EE$997,$L$13,$I38),0)</f>
        <v>0</v>
      </c>
      <c r="D38" s="71">
        <f>IF(F38&lt;&gt;0,VLOOKUP($J38,'Table 1'!$B$13:$C$33,2,FALSE)/12*1000*Study_MW,0)</f>
        <v>0</v>
      </c>
      <c r="E38" s="71">
        <f t="shared" si="17"/>
        <v>0</v>
      </c>
      <c r="F38" s="75">
        <f>INDEX([10]Delta!$F$1:$EE$997,$L$14,$I38)</f>
        <v>0</v>
      </c>
      <c r="G38" s="76" t="e">
        <f t="shared" si="3"/>
        <v>#DIV/0!</v>
      </c>
      <c r="I38" s="77">
        <f t="shared" si="18"/>
        <v>28</v>
      </c>
      <c r="J38" s="73">
        <f t="shared" si="4"/>
        <v>2022</v>
      </c>
      <c r="K38" s="78" t="str">
        <f t="shared" si="19"/>
        <v/>
      </c>
      <c r="M38" s="191"/>
    </row>
    <row r="39" spans="2:20" hidden="1" outlineLevel="1">
      <c r="B39" s="78">
        <f t="shared" si="1"/>
        <v>44621</v>
      </c>
      <c r="C39" s="75">
        <f>IF(F39&lt;&gt;0,-INDEX([10]Delta!$F$1:$EE$997,$L$13,$I39),0)</f>
        <v>0</v>
      </c>
      <c r="D39" s="71">
        <f>IF(F39&lt;&gt;0,VLOOKUP($J39,'Table 1'!$B$13:$C$33,2,FALSE)/12*1000*Study_MW,0)</f>
        <v>0</v>
      </c>
      <c r="E39" s="71">
        <f t="shared" si="17"/>
        <v>0</v>
      </c>
      <c r="F39" s="75">
        <f>INDEX([10]Delta!$F$1:$EE$997,$L$14,$I39)</f>
        <v>0</v>
      </c>
      <c r="G39" s="76" t="e">
        <f t="shared" si="3"/>
        <v>#DIV/0!</v>
      </c>
      <c r="I39" s="77">
        <f t="shared" si="18"/>
        <v>29</v>
      </c>
      <c r="J39" s="73">
        <f t="shared" si="4"/>
        <v>2022</v>
      </c>
      <c r="K39" s="78" t="str">
        <f t="shared" si="19"/>
        <v/>
      </c>
    </row>
    <row r="40" spans="2:20" hidden="1" outlineLevel="1">
      <c r="B40" s="78">
        <f t="shared" si="1"/>
        <v>44652</v>
      </c>
      <c r="C40" s="75">
        <f>IF(F40&lt;&gt;0,-INDEX([10]Delta!$F$1:$EE$997,$L$13,$I40),0)</f>
        <v>0</v>
      </c>
      <c r="D40" s="71">
        <f>IF(F40&lt;&gt;0,VLOOKUP($J40,'Table 1'!$B$13:$C$33,2,FALSE)/12*1000*Study_MW,0)</f>
        <v>0</v>
      </c>
      <c r="E40" s="71">
        <f t="shared" si="17"/>
        <v>0</v>
      </c>
      <c r="F40" s="75">
        <f>INDEX([10]Delta!$F$1:$EE$997,$L$14,$I40)</f>
        <v>0</v>
      </c>
      <c r="G40" s="76" t="e">
        <f t="shared" si="3"/>
        <v>#DIV/0!</v>
      </c>
      <c r="I40" s="77">
        <f t="shared" si="18"/>
        <v>30</v>
      </c>
      <c r="J40" s="73">
        <f t="shared" si="4"/>
        <v>2022</v>
      </c>
      <c r="K40" s="78" t="str">
        <f t="shared" si="19"/>
        <v/>
      </c>
      <c r="O40" s="218"/>
      <c r="P40" s="58"/>
      <c r="Q40" s="58"/>
      <c r="R40" s="58"/>
      <c r="S40" s="58"/>
      <c r="T40" s="91"/>
    </row>
    <row r="41" spans="2:20" hidden="1" outlineLevel="1">
      <c r="B41" s="78">
        <f t="shared" si="1"/>
        <v>44682</v>
      </c>
      <c r="C41" s="75">
        <f>IF(F41&lt;&gt;0,-INDEX([10]Delta!$F$1:$EE$997,$L$13,$I41),0)</f>
        <v>0</v>
      </c>
      <c r="D41" s="71">
        <f>IF(F41&lt;&gt;0,VLOOKUP($J41,'Table 1'!$B$13:$C$33,2,FALSE)/12*1000*Study_MW,0)</f>
        <v>0</v>
      </c>
      <c r="E41" s="71">
        <f t="shared" si="17"/>
        <v>0</v>
      </c>
      <c r="F41" s="75">
        <f>INDEX([10]Delta!$F$1:$EE$997,$L$14,$I41)</f>
        <v>0</v>
      </c>
      <c r="G41" s="76" t="e">
        <f t="shared" si="3"/>
        <v>#DIV/0!</v>
      </c>
      <c r="I41" s="77">
        <f t="shared" si="18"/>
        <v>31</v>
      </c>
      <c r="J41" s="73">
        <f t="shared" si="4"/>
        <v>2022</v>
      </c>
      <c r="K41" s="78" t="str">
        <f t="shared" si="19"/>
        <v/>
      </c>
      <c r="O41" s="218"/>
      <c r="P41" s="58"/>
      <c r="Q41" s="58"/>
      <c r="R41" s="58"/>
      <c r="S41" s="58"/>
      <c r="T41" s="91"/>
    </row>
    <row r="42" spans="2:20" hidden="1" outlineLevel="1">
      <c r="B42" s="78">
        <f t="shared" si="1"/>
        <v>44713</v>
      </c>
      <c r="C42" s="75">
        <f>IF(F42&lt;&gt;0,-INDEX([10]Delta!$F$1:$EE$997,$L$13,$I42),0)</f>
        <v>0</v>
      </c>
      <c r="D42" s="71">
        <f>IF(F42&lt;&gt;0,VLOOKUP($J42,'Table 1'!$B$13:$C$33,2,FALSE)/12*1000*Study_MW,0)</f>
        <v>0</v>
      </c>
      <c r="E42" s="71">
        <f t="shared" si="17"/>
        <v>0</v>
      </c>
      <c r="F42" s="75">
        <f>INDEX([10]Delta!$F$1:$EE$997,$L$14,$I42)</f>
        <v>0</v>
      </c>
      <c r="G42" s="76" t="e">
        <f t="shared" si="3"/>
        <v>#DIV/0!</v>
      </c>
      <c r="I42" s="77">
        <f t="shared" si="18"/>
        <v>32</v>
      </c>
      <c r="J42" s="73">
        <f t="shared" si="4"/>
        <v>2022</v>
      </c>
      <c r="K42" s="78" t="str">
        <f t="shared" si="19"/>
        <v/>
      </c>
    </row>
    <row r="43" spans="2:20" hidden="1" outlineLevel="1">
      <c r="B43" s="78">
        <f t="shared" si="1"/>
        <v>44743</v>
      </c>
      <c r="C43" s="75">
        <f>IF(F43&lt;&gt;0,-INDEX([10]Delta!$F$1:$EE$997,$L$13,$I43),0)</f>
        <v>0</v>
      </c>
      <c r="D43" s="71">
        <f>IF(F43&lt;&gt;0,VLOOKUP($J43,'Table 1'!$B$13:$C$33,2,FALSE)/12*1000*Study_MW,0)</f>
        <v>0</v>
      </c>
      <c r="E43" s="71">
        <f t="shared" si="17"/>
        <v>0</v>
      </c>
      <c r="F43" s="75">
        <f>INDEX([10]Delta!$F$1:$EE$997,$L$14,$I43)</f>
        <v>0</v>
      </c>
      <c r="G43" s="76" t="e">
        <f t="shared" si="3"/>
        <v>#DIV/0!</v>
      </c>
      <c r="I43" s="77">
        <f t="shared" si="18"/>
        <v>33</v>
      </c>
      <c r="J43" s="73">
        <f t="shared" si="4"/>
        <v>2022</v>
      </c>
      <c r="K43" s="78" t="str">
        <f t="shared" si="19"/>
        <v/>
      </c>
    </row>
    <row r="44" spans="2:20" hidden="1" outlineLevel="1">
      <c r="B44" s="78">
        <f t="shared" si="1"/>
        <v>44774</v>
      </c>
      <c r="C44" s="75">
        <f>IF(F44&lt;&gt;0,-INDEX([10]Delta!$F$1:$EE$997,$L$13,$I44),0)</f>
        <v>0</v>
      </c>
      <c r="D44" s="71">
        <f>IF(F44&lt;&gt;0,VLOOKUP($J44,'Table 1'!$B$13:$C$33,2,FALSE)/12*1000*Study_MW,0)</f>
        <v>0</v>
      </c>
      <c r="E44" s="71">
        <f t="shared" si="17"/>
        <v>0</v>
      </c>
      <c r="F44" s="75">
        <f>INDEX([10]Delta!$F$1:$EE$997,$L$14,$I44)</f>
        <v>0</v>
      </c>
      <c r="G44" s="76" t="e">
        <f t="shared" si="3"/>
        <v>#DIV/0!</v>
      </c>
      <c r="I44" s="77">
        <f t="shared" si="18"/>
        <v>34</v>
      </c>
      <c r="J44" s="73">
        <f t="shared" si="4"/>
        <v>2022</v>
      </c>
      <c r="K44" s="78" t="str">
        <f t="shared" si="19"/>
        <v/>
      </c>
    </row>
    <row r="45" spans="2:20" hidden="1" outlineLevel="1">
      <c r="B45" s="78">
        <f t="shared" si="1"/>
        <v>44805</v>
      </c>
      <c r="C45" s="75">
        <f>IF(F45&lt;&gt;0,-INDEX([10]Delta!$F$1:$EE$997,$L$13,$I45),0)</f>
        <v>0</v>
      </c>
      <c r="D45" s="71">
        <f>IF(F45&lt;&gt;0,VLOOKUP($J45,'Table 1'!$B$13:$C$33,2,FALSE)/12*1000*Study_MW,0)</f>
        <v>0</v>
      </c>
      <c r="E45" s="71">
        <f t="shared" si="17"/>
        <v>0</v>
      </c>
      <c r="F45" s="75">
        <f>INDEX([10]Delta!$F$1:$EE$997,$L$14,$I45)</f>
        <v>0</v>
      </c>
      <c r="G45" s="76" t="e">
        <f t="shared" si="3"/>
        <v>#DIV/0!</v>
      </c>
      <c r="I45" s="77">
        <f t="shared" si="18"/>
        <v>35</v>
      </c>
      <c r="J45" s="73">
        <f t="shared" si="4"/>
        <v>2022</v>
      </c>
      <c r="K45" s="78" t="str">
        <f t="shared" si="19"/>
        <v/>
      </c>
    </row>
    <row r="46" spans="2:20" hidden="1" outlineLevel="1">
      <c r="B46" s="78">
        <f t="shared" si="1"/>
        <v>44835</v>
      </c>
      <c r="C46" s="75">
        <f>IF(F46&lt;&gt;0,-INDEX([10]Delta!$F$1:$EE$997,$L$13,$I46),0)</f>
        <v>0</v>
      </c>
      <c r="D46" s="71">
        <f>IF(F46&lt;&gt;0,VLOOKUP($J46,'Table 1'!$B$13:$C$33,2,FALSE)/12*1000*Study_MW,0)</f>
        <v>0</v>
      </c>
      <c r="E46" s="71">
        <f t="shared" si="17"/>
        <v>0</v>
      </c>
      <c r="F46" s="75">
        <f>INDEX([10]Delta!$F$1:$EE$997,$L$14,$I46)</f>
        <v>0</v>
      </c>
      <c r="G46" s="76" t="e">
        <f t="shared" si="3"/>
        <v>#DIV/0!</v>
      </c>
      <c r="I46" s="77">
        <f t="shared" si="18"/>
        <v>36</v>
      </c>
      <c r="J46" s="73">
        <f t="shared" si="4"/>
        <v>2022</v>
      </c>
      <c r="K46" s="78" t="str">
        <f t="shared" si="19"/>
        <v/>
      </c>
    </row>
    <row r="47" spans="2:20" hidden="1" outlineLevel="1">
      <c r="B47" s="78">
        <f t="shared" si="1"/>
        <v>44866</v>
      </c>
      <c r="C47" s="75">
        <f>IF(F47&lt;&gt;0,-INDEX([10]Delta!$F$1:$EE$997,$L$13,$I47),0)</f>
        <v>0</v>
      </c>
      <c r="D47" s="71">
        <f>IF(F47&lt;&gt;0,VLOOKUP($J47,'Table 1'!$B$13:$C$33,2,FALSE)/12*1000*Study_MW,0)</f>
        <v>0</v>
      </c>
      <c r="E47" s="71">
        <f t="shared" si="17"/>
        <v>0</v>
      </c>
      <c r="F47" s="75">
        <f>INDEX([10]Delta!$F$1:$EE$997,$L$14,$I47)</f>
        <v>0</v>
      </c>
      <c r="G47" s="76" t="e">
        <f t="shared" si="3"/>
        <v>#DIV/0!</v>
      </c>
      <c r="I47" s="77">
        <f t="shared" si="18"/>
        <v>37</v>
      </c>
      <c r="J47" s="73">
        <f t="shared" si="4"/>
        <v>2022</v>
      </c>
      <c r="K47" s="78" t="str">
        <f t="shared" si="19"/>
        <v/>
      </c>
    </row>
    <row r="48" spans="2:20" hidden="1" outlineLevel="1">
      <c r="B48" s="82">
        <f t="shared" si="1"/>
        <v>44896</v>
      </c>
      <c r="C48" s="79">
        <f>IF(F48&lt;&gt;0,-INDEX([10]Delta!$F$1:$EE$997,$L$13,$I48),0)</f>
        <v>0</v>
      </c>
      <c r="D48" s="80">
        <f>IF(F48&lt;&gt;0,VLOOKUP($J48,'Table 1'!$B$13:$C$33,2,FALSE)/12*1000*Study_MW,0)</f>
        <v>0</v>
      </c>
      <c r="E48" s="80">
        <f t="shared" si="17"/>
        <v>0</v>
      </c>
      <c r="F48" s="79">
        <f>INDEX([10]Delta!$F$1:$EE$997,$L$14,$I48)</f>
        <v>0</v>
      </c>
      <c r="G48" s="81" t="e">
        <f t="shared" si="3"/>
        <v>#DIV/0!</v>
      </c>
      <c r="I48" s="64">
        <f t="shared" si="18"/>
        <v>38</v>
      </c>
      <c r="J48" s="73">
        <f t="shared" si="4"/>
        <v>2022</v>
      </c>
      <c r="K48" s="82" t="str">
        <f t="shared" si="19"/>
        <v/>
      </c>
    </row>
    <row r="49" spans="2:11" hidden="1" outlineLevel="1">
      <c r="B49" s="74">
        <f t="shared" si="1"/>
        <v>44927</v>
      </c>
      <c r="C49" s="69">
        <f>IF(F49&lt;&gt;0,-INDEX([10]Delta!$F$1:$EE$997,$L$13,$I49),0)</f>
        <v>0</v>
      </c>
      <c r="D49" s="70">
        <f>IF(F49&lt;&gt;0,VLOOKUP($J49,'Table 1'!$B$13:$C$33,2,FALSE)/12*1000*Study_MW,0)</f>
        <v>0</v>
      </c>
      <c r="E49" s="70">
        <f t="shared" si="17"/>
        <v>0</v>
      </c>
      <c r="F49" s="69">
        <f>INDEX([10]Delta!$F$1:$EE$997,$L$14,$I49)</f>
        <v>0</v>
      </c>
      <c r="G49" s="72" t="e">
        <f t="shared" si="3"/>
        <v>#DIV/0!</v>
      </c>
      <c r="I49" s="60">
        <f>I37+13</f>
        <v>40</v>
      </c>
      <c r="J49" s="73">
        <f t="shared" si="4"/>
        <v>2023</v>
      </c>
      <c r="K49" s="74" t="str">
        <f t="shared" si="19"/>
        <v/>
      </c>
    </row>
    <row r="50" spans="2:11" hidden="1" outlineLevel="1">
      <c r="B50" s="78">
        <f t="shared" si="1"/>
        <v>44958</v>
      </c>
      <c r="C50" s="75">
        <f>IF(F50&lt;&gt;0,-INDEX([10]Delta!$F$1:$EE$997,$L$13,$I50),0)</f>
        <v>0</v>
      </c>
      <c r="D50" s="71">
        <f>IF(F50&lt;&gt;0,VLOOKUP($J50,'Table 1'!$B$13:$C$33,2,FALSE)/12*1000*Study_MW,0)</f>
        <v>0</v>
      </c>
      <c r="E50" s="71">
        <f t="shared" si="17"/>
        <v>0</v>
      </c>
      <c r="F50" s="75">
        <f>INDEX([10]Delta!$F$1:$EE$997,$L$14,$I50)</f>
        <v>0</v>
      </c>
      <c r="G50" s="76" t="e">
        <f t="shared" si="3"/>
        <v>#DIV/0!</v>
      </c>
      <c r="I50" s="77">
        <f t="shared" si="18"/>
        <v>41</v>
      </c>
      <c r="J50" s="73">
        <f t="shared" si="4"/>
        <v>2023</v>
      </c>
      <c r="K50" s="78" t="str">
        <f t="shared" si="19"/>
        <v/>
      </c>
    </row>
    <row r="51" spans="2:11" hidden="1" outlineLevel="1">
      <c r="B51" s="78">
        <f t="shared" si="1"/>
        <v>44986</v>
      </c>
      <c r="C51" s="75">
        <f>IF(F51&lt;&gt;0,-INDEX([10]Delta!$F$1:$EE$997,$L$13,$I51),0)</f>
        <v>0</v>
      </c>
      <c r="D51" s="71">
        <f>IF(F51&lt;&gt;0,VLOOKUP($J51,'Table 1'!$B$13:$C$33,2,FALSE)/12*1000*Study_MW,0)</f>
        <v>0</v>
      </c>
      <c r="E51" s="71">
        <f t="shared" si="17"/>
        <v>0</v>
      </c>
      <c r="F51" s="75">
        <f>INDEX([10]Delta!$F$1:$EE$997,$L$14,$I51)</f>
        <v>0</v>
      </c>
      <c r="G51" s="76" t="e">
        <f t="shared" si="3"/>
        <v>#DIV/0!</v>
      </c>
      <c r="I51" s="77">
        <f t="shared" si="18"/>
        <v>42</v>
      </c>
      <c r="J51" s="73">
        <f t="shared" si="4"/>
        <v>2023</v>
      </c>
      <c r="K51" s="78" t="str">
        <f t="shared" si="19"/>
        <v/>
      </c>
    </row>
    <row r="52" spans="2:11" hidden="1" outlineLevel="1">
      <c r="B52" s="78">
        <f t="shared" si="1"/>
        <v>45017</v>
      </c>
      <c r="C52" s="75">
        <f>IF(F52&lt;&gt;0,-INDEX([10]Delta!$F$1:$EE$997,$L$13,$I52),0)</f>
        <v>0</v>
      </c>
      <c r="D52" s="71">
        <f>IF(F52&lt;&gt;0,VLOOKUP($J52,'Table 1'!$B$13:$C$33,2,FALSE)/12*1000*Study_MW,0)</f>
        <v>0</v>
      </c>
      <c r="E52" s="71">
        <f t="shared" si="17"/>
        <v>0</v>
      </c>
      <c r="F52" s="75">
        <f>INDEX([10]Delta!$F$1:$EE$997,$L$14,$I52)</f>
        <v>0</v>
      </c>
      <c r="G52" s="76" t="e">
        <f t="shared" si="3"/>
        <v>#DIV/0!</v>
      </c>
      <c r="I52" s="77">
        <f t="shared" si="18"/>
        <v>43</v>
      </c>
      <c r="J52" s="73">
        <f t="shared" si="4"/>
        <v>2023</v>
      </c>
      <c r="K52" s="78" t="str">
        <f t="shared" si="19"/>
        <v/>
      </c>
    </row>
    <row r="53" spans="2:11" hidden="1" outlineLevel="1">
      <c r="B53" s="78">
        <f t="shared" si="1"/>
        <v>45047</v>
      </c>
      <c r="C53" s="75">
        <f>IF(F53&lt;&gt;0,-INDEX([10]Delta!$F$1:$EE$997,$L$13,$I53),0)</f>
        <v>0</v>
      </c>
      <c r="D53" s="71">
        <f>IF(F53&lt;&gt;0,VLOOKUP($J53,'Table 1'!$B$13:$C$33,2,FALSE)/12*1000*Study_MW,0)</f>
        <v>0</v>
      </c>
      <c r="E53" s="71">
        <f t="shared" si="17"/>
        <v>0</v>
      </c>
      <c r="F53" s="75">
        <f>INDEX([10]Delta!$F$1:$EE$997,$L$14,$I53)</f>
        <v>0</v>
      </c>
      <c r="G53" s="76" t="e">
        <f t="shared" si="3"/>
        <v>#DIV/0!</v>
      </c>
      <c r="I53" s="77">
        <f t="shared" si="18"/>
        <v>44</v>
      </c>
      <c r="J53" s="73">
        <f t="shared" si="4"/>
        <v>2023</v>
      </c>
      <c r="K53" s="78" t="str">
        <f t="shared" si="19"/>
        <v/>
      </c>
    </row>
    <row r="54" spans="2:11" hidden="1" outlineLevel="1">
      <c r="B54" s="78">
        <f t="shared" si="1"/>
        <v>45078</v>
      </c>
      <c r="C54" s="75">
        <f>IF(F54&lt;&gt;0,-INDEX([10]Delta!$F$1:$EE$997,$L$13,$I54),0)</f>
        <v>0</v>
      </c>
      <c r="D54" s="71">
        <f>IF(F54&lt;&gt;0,VLOOKUP($J54,'Table 1'!$B$13:$C$33,2,FALSE)/12*1000*Study_MW,0)</f>
        <v>0</v>
      </c>
      <c r="E54" s="71">
        <f t="shared" si="17"/>
        <v>0</v>
      </c>
      <c r="F54" s="75">
        <f>INDEX([10]Delta!$F$1:$EE$997,$L$14,$I54)</f>
        <v>0</v>
      </c>
      <c r="G54" s="76" t="e">
        <f t="shared" si="3"/>
        <v>#DIV/0!</v>
      </c>
      <c r="I54" s="77">
        <f t="shared" si="18"/>
        <v>45</v>
      </c>
      <c r="J54" s="73">
        <f t="shared" si="4"/>
        <v>2023</v>
      </c>
      <c r="K54" s="78" t="str">
        <f t="shared" si="19"/>
        <v/>
      </c>
    </row>
    <row r="55" spans="2:11" hidden="1" outlineLevel="1">
      <c r="B55" s="78">
        <f t="shared" si="1"/>
        <v>45108</v>
      </c>
      <c r="C55" s="75">
        <f>IF(F55&lt;&gt;0,-INDEX([10]Delta!$F$1:$EE$997,$L$13,$I55),0)</f>
        <v>0</v>
      </c>
      <c r="D55" s="71">
        <f>IF(F55&lt;&gt;0,VLOOKUP($J55,'Table 1'!$B$13:$C$33,2,FALSE)/12*1000*Study_MW,0)</f>
        <v>0</v>
      </c>
      <c r="E55" s="71">
        <f t="shared" si="17"/>
        <v>0</v>
      </c>
      <c r="F55" s="75">
        <f>INDEX([10]Delta!$F$1:$EE$997,$L$14,$I55)</f>
        <v>0</v>
      </c>
      <c r="G55" s="76" t="e">
        <f t="shared" si="3"/>
        <v>#DIV/0!</v>
      </c>
      <c r="I55" s="77">
        <f t="shared" si="18"/>
        <v>46</v>
      </c>
      <c r="J55" s="73">
        <f t="shared" si="4"/>
        <v>2023</v>
      </c>
      <c r="K55" s="78" t="str">
        <f t="shared" si="19"/>
        <v/>
      </c>
    </row>
    <row r="56" spans="2:11" hidden="1" outlineLevel="1">
      <c r="B56" s="78">
        <f t="shared" si="1"/>
        <v>45139</v>
      </c>
      <c r="C56" s="75">
        <f>IF(F56&lt;&gt;0,-INDEX([10]Delta!$F$1:$EE$997,$L$13,$I56),0)</f>
        <v>0</v>
      </c>
      <c r="D56" s="71">
        <f>IF(F56&lt;&gt;0,VLOOKUP($J56,'Table 1'!$B$13:$C$33,2,FALSE)/12*1000*Study_MW,0)</f>
        <v>0</v>
      </c>
      <c r="E56" s="71">
        <f t="shared" si="17"/>
        <v>0</v>
      </c>
      <c r="F56" s="75">
        <f>INDEX([10]Delta!$F$1:$EE$997,$L$14,$I56)</f>
        <v>0</v>
      </c>
      <c r="G56" s="76" t="e">
        <f t="shared" si="3"/>
        <v>#DIV/0!</v>
      </c>
      <c r="I56" s="77">
        <f t="shared" si="18"/>
        <v>47</v>
      </c>
      <c r="J56" s="73">
        <f t="shared" si="4"/>
        <v>2023</v>
      </c>
      <c r="K56" s="78" t="str">
        <f t="shared" si="19"/>
        <v/>
      </c>
    </row>
    <row r="57" spans="2:11" hidden="1" outlineLevel="1">
      <c r="B57" s="78">
        <f t="shared" si="1"/>
        <v>45170</v>
      </c>
      <c r="C57" s="75">
        <f>IF(F57&lt;&gt;0,-INDEX([10]Delta!$F$1:$EE$997,$L$13,$I57),0)</f>
        <v>0</v>
      </c>
      <c r="D57" s="71">
        <f>IF(F57&lt;&gt;0,VLOOKUP($J57,'Table 1'!$B$13:$C$33,2,FALSE)/12*1000*Study_MW,0)</f>
        <v>0</v>
      </c>
      <c r="E57" s="71">
        <f t="shared" si="17"/>
        <v>0</v>
      </c>
      <c r="F57" s="75">
        <f>INDEX([10]Delta!$F$1:$EE$997,$L$14,$I57)</f>
        <v>0</v>
      </c>
      <c r="G57" s="76" t="e">
        <f t="shared" si="3"/>
        <v>#DIV/0!</v>
      </c>
      <c r="I57" s="77">
        <f t="shared" si="18"/>
        <v>48</v>
      </c>
      <c r="J57" s="73">
        <f t="shared" si="4"/>
        <v>2023</v>
      </c>
      <c r="K57" s="78" t="str">
        <f t="shared" si="19"/>
        <v/>
      </c>
    </row>
    <row r="58" spans="2:11" hidden="1" outlineLevel="1">
      <c r="B58" s="78">
        <f t="shared" si="1"/>
        <v>45200</v>
      </c>
      <c r="C58" s="75">
        <f>IF(F58&lt;&gt;0,-INDEX([10]Delta!$F$1:$EE$997,$L$13,$I58),0)</f>
        <v>0</v>
      </c>
      <c r="D58" s="71">
        <f>IF(F58&lt;&gt;0,VLOOKUP($J58,'Table 1'!$B$13:$C$33,2,FALSE)/12*1000*Study_MW,0)</f>
        <v>0</v>
      </c>
      <c r="E58" s="71">
        <f t="shared" si="17"/>
        <v>0</v>
      </c>
      <c r="F58" s="75">
        <f>INDEX([10]Delta!$F$1:$EE$997,$L$14,$I58)</f>
        <v>0</v>
      </c>
      <c r="G58" s="76" t="e">
        <f t="shared" si="3"/>
        <v>#DIV/0!</v>
      </c>
      <c r="I58" s="77">
        <f t="shared" si="18"/>
        <v>49</v>
      </c>
      <c r="J58" s="73">
        <f t="shared" si="4"/>
        <v>2023</v>
      </c>
      <c r="K58" s="78" t="str">
        <f t="shared" si="19"/>
        <v/>
      </c>
    </row>
    <row r="59" spans="2:11" hidden="1" outlineLevel="1">
      <c r="B59" s="78">
        <f t="shared" si="1"/>
        <v>45231</v>
      </c>
      <c r="C59" s="75">
        <f>IF(F59&lt;&gt;0,-INDEX([10]Delta!$F$1:$EE$997,$L$13,$I59),0)</f>
        <v>0</v>
      </c>
      <c r="D59" s="71">
        <f>IF(F59&lt;&gt;0,VLOOKUP($J59,'Table 1'!$B$13:$C$33,2,FALSE)/12*1000*Study_MW,0)</f>
        <v>0</v>
      </c>
      <c r="E59" s="71">
        <f t="shared" si="17"/>
        <v>0</v>
      </c>
      <c r="F59" s="75">
        <f>INDEX([10]Delta!$F$1:$EE$997,$L$14,$I59)</f>
        <v>0</v>
      </c>
      <c r="G59" s="76" t="e">
        <f t="shared" si="3"/>
        <v>#DIV/0!</v>
      </c>
      <c r="I59" s="77">
        <f t="shared" si="18"/>
        <v>50</v>
      </c>
      <c r="J59" s="73">
        <f t="shared" si="4"/>
        <v>2023</v>
      </c>
      <c r="K59" s="78" t="str">
        <f t="shared" si="19"/>
        <v/>
      </c>
    </row>
    <row r="60" spans="2:11" hidden="1" outlineLevel="1">
      <c r="B60" s="82">
        <f t="shared" si="1"/>
        <v>45261</v>
      </c>
      <c r="C60" s="79">
        <f>IF(F60&lt;&gt;0,-INDEX([10]Delta!$F$1:$EE$997,$L$13,$I60),0)</f>
        <v>0</v>
      </c>
      <c r="D60" s="80">
        <f>IF(F60&lt;&gt;0,VLOOKUP($J60,'Table 1'!$B$13:$C$33,2,FALSE)/12*1000*Study_MW,0)</f>
        <v>0</v>
      </c>
      <c r="E60" s="80">
        <f t="shared" si="17"/>
        <v>0</v>
      </c>
      <c r="F60" s="79">
        <f>INDEX([10]Delta!$F$1:$EE$997,$L$14,$I60)</f>
        <v>0</v>
      </c>
      <c r="G60" s="81" t="e">
        <f t="shared" si="3"/>
        <v>#DIV/0!</v>
      </c>
      <c r="I60" s="64">
        <f t="shared" si="18"/>
        <v>51</v>
      </c>
      <c r="J60" s="73">
        <f t="shared" si="4"/>
        <v>2023</v>
      </c>
      <c r="K60" s="82" t="str">
        <f t="shared" si="19"/>
        <v/>
      </c>
    </row>
    <row r="61" spans="2:11" hidden="1" outlineLevel="1">
      <c r="B61" s="74">
        <f t="shared" si="1"/>
        <v>45292</v>
      </c>
      <c r="C61" s="69">
        <f>IF(F61&lt;&gt;0,-INDEX([10]Delta!$F$1:$EE$997,$L$13,$I61),0)</f>
        <v>0</v>
      </c>
      <c r="D61" s="70">
        <f>IF(F61&lt;&gt;0,VLOOKUP($J61,'Table 1'!$B$13:$C$33,2,FALSE)/12*1000*Study_MW,0)</f>
        <v>0</v>
      </c>
      <c r="E61" s="70">
        <f t="shared" si="17"/>
        <v>0</v>
      </c>
      <c r="F61" s="69">
        <f>INDEX([10]Delta!$F$1:$EE$997,$L$14,$I61)</f>
        <v>0</v>
      </c>
      <c r="G61" s="72" t="e">
        <f t="shared" si="3"/>
        <v>#DIV/0!</v>
      </c>
      <c r="I61" s="60">
        <f>I49+13</f>
        <v>53</v>
      </c>
      <c r="J61" s="73">
        <f t="shared" si="4"/>
        <v>2024</v>
      </c>
      <c r="K61" s="74" t="str">
        <f t="shared" si="19"/>
        <v/>
      </c>
    </row>
    <row r="62" spans="2:11" hidden="1" outlineLevel="1">
      <c r="B62" s="78">
        <f t="shared" si="1"/>
        <v>45323</v>
      </c>
      <c r="C62" s="75">
        <f>IF(F62&lt;&gt;0,-INDEX([10]Delta!$F$1:$EE$997,$L$13,$I62),0)</f>
        <v>0</v>
      </c>
      <c r="D62" s="71">
        <f>IF(F62&lt;&gt;0,VLOOKUP($J62,'Table 1'!$B$13:$C$33,2,FALSE)/12*1000*Study_MW,0)</f>
        <v>0</v>
      </c>
      <c r="E62" s="71">
        <f t="shared" si="17"/>
        <v>0</v>
      </c>
      <c r="F62" s="75">
        <f>INDEX([10]Delta!$F$1:$EE$997,$L$14,$I62)</f>
        <v>0</v>
      </c>
      <c r="G62" s="76" t="e">
        <f t="shared" si="3"/>
        <v>#DIV/0!</v>
      </c>
      <c r="I62" s="77">
        <f t="shared" si="18"/>
        <v>54</v>
      </c>
      <c r="J62" s="73">
        <f t="shared" si="4"/>
        <v>2024</v>
      </c>
      <c r="K62" s="78" t="str">
        <f t="shared" si="19"/>
        <v/>
      </c>
    </row>
    <row r="63" spans="2:11" hidden="1" outlineLevel="1">
      <c r="B63" s="78">
        <f t="shared" si="1"/>
        <v>45352</v>
      </c>
      <c r="C63" s="75">
        <f>IF(F63&lt;&gt;0,-INDEX([10]Delta!$F$1:$EE$997,$L$13,$I63),0)</f>
        <v>0</v>
      </c>
      <c r="D63" s="71">
        <f>IF(F63&lt;&gt;0,VLOOKUP($J63,'Table 1'!$B$13:$C$33,2,FALSE)/12*1000*Study_MW,0)</f>
        <v>0</v>
      </c>
      <c r="E63" s="71">
        <f t="shared" si="17"/>
        <v>0</v>
      </c>
      <c r="F63" s="75">
        <f>INDEX([10]Delta!$F$1:$EE$997,$L$14,$I63)</f>
        <v>0</v>
      </c>
      <c r="G63" s="76" t="e">
        <f t="shared" si="3"/>
        <v>#DIV/0!</v>
      </c>
      <c r="I63" s="77">
        <f t="shared" si="18"/>
        <v>55</v>
      </c>
      <c r="J63" s="73">
        <f t="shared" si="4"/>
        <v>2024</v>
      </c>
      <c r="K63" s="78" t="str">
        <f t="shared" si="19"/>
        <v/>
      </c>
    </row>
    <row r="64" spans="2:11" hidden="1" outlineLevel="1">
      <c r="B64" s="78">
        <f t="shared" si="1"/>
        <v>45383</v>
      </c>
      <c r="C64" s="75">
        <f>IF(F64&lt;&gt;0,-INDEX([10]Delta!$F$1:$EE$997,$L$13,$I64),0)</f>
        <v>0</v>
      </c>
      <c r="D64" s="71">
        <f>IF(F64&lt;&gt;0,VLOOKUP($J64,'Table 1'!$B$13:$C$33,2,FALSE)/12*1000*Study_MW,0)</f>
        <v>0</v>
      </c>
      <c r="E64" s="71">
        <f t="shared" si="17"/>
        <v>0</v>
      </c>
      <c r="F64" s="75">
        <f>INDEX([10]Delta!$F$1:$EE$997,$L$14,$I64)</f>
        <v>0</v>
      </c>
      <c r="G64" s="76" t="e">
        <f t="shared" si="3"/>
        <v>#DIV/0!</v>
      </c>
      <c r="I64" s="77">
        <f t="shared" si="18"/>
        <v>56</v>
      </c>
      <c r="J64" s="73">
        <f t="shared" si="4"/>
        <v>2024</v>
      </c>
      <c r="K64" s="78" t="str">
        <f t="shared" si="19"/>
        <v/>
      </c>
    </row>
    <row r="65" spans="2:11" hidden="1" outlineLevel="1">
      <c r="B65" s="78">
        <f t="shared" si="1"/>
        <v>45413</v>
      </c>
      <c r="C65" s="75">
        <f>IF(F65&lt;&gt;0,-INDEX([10]Delta!$F$1:$EE$997,$L$13,$I65),0)</f>
        <v>0</v>
      </c>
      <c r="D65" s="71">
        <f>IF(F65&lt;&gt;0,VLOOKUP($J65,'Table 1'!$B$13:$C$33,2,FALSE)/12*1000*Study_MW,0)</f>
        <v>0</v>
      </c>
      <c r="E65" s="71">
        <f t="shared" si="17"/>
        <v>0</v>
      </c>
      <c r="F65" s="75">
        <f>INDEX([10]Delta!$F$1:$EE$997,$L$14,$I65)</f>
        <v>0</v>
      </c>
      <c r="G65" s="76" t="e">
        <f t="shared" si="3"/>
        <v>#DIV/0!</v>
      </c>
      <c r="I65" s="77">
        <f t="shared" si="18"/>
        <v>57</v>
      </c>
      <c r="J65" s="73">
        <f t="shared" si="4"/>
        <v>2024</v>
      </c>
      <c r="K65" s="78" t="str">
        <f t="shared" si="19"/>
        <v/>
      </c>
    </row>
    <row r="66" spans="2:11" hidden="1" outlineLevel="1">
      <c r="B66" s="78">
        <f t="shared" si="1"/>
        <v>45444</v>
      </c>
      <c r="C66" s="75">
        <f>IF(F66&lt;&gt;0,-INDEX([10]Delta!$F$1:$EE$997,$L$13,$I66),0)</f>
        <v>0</v>
      </c>
      <c r="D66" s="71">
        <f>IF(F66&lt;&gt;0,VLOOKUP($J66,'Table 1'!$B$13:$C$33,2,FALSE)/12*1000*Study_MW,0)</f>
        <v>0</v>
      </c>
      <c r="E66" s="71">
        <f t="shared" si="17"/>
        <v>0</v>
      </c>
      <c r="F66" s="75">
        <f>INDEX([10]Delta!$F$1:$EE$997,$L$14,$I66)</f>
        <v>0</v>
      </c>
      <c r="G66" s="76" t="e">
        <f t="shared" si="3"/>
        <v>#DIV/0!</v>
      </c>
      <c r="I66" s="77">
        <f t="shared" si="18"/>
        <v>58</v>
      </c>
      <c r="J66" s="73">
        <f t="shared" si="4"/>
        <v>2024</v>
      </c>
      <c r="K66" s="78" t="str">
        <f t="shared" si="19"/>
        <v/>
      </c>
    </row>
    <row r="67" spans="2:11" hidden="1" outlineLevel="1">
      <c r="B67" s="78">
        <f t="shared" si="1"/>
        <v>45474</v>
      </c>
      <c r="C67" s="75">
        <f>IF(F67&lt;&gt;0,-INDEX([10]Delta!$F$1:$EE$997,$L$13,$I67),0)</f>
        <v>0</v>
      </c>
      <c r="D67" s="71">
        <f>IF(F67&lt;&gt;0,VLOOKUP($J67,'Table 1'!$B$13:$C$33,2,FALSE)/12*1000*Study_MW,0)</f>
        <v>0</v>
      </c>
      <c r="E67" s="71">
        <f t="shared" si="17"/>
        <v>0</v>
      </c>
      <c r="F67" s="75">
        <f>INDEX([10]Delta!$F$1:$EE$997,$L$14,$I67)</f>
        <v>0</v>
      </c>
      <c r="G67" s="76" t="e">
        <f t="shared" si="3"/>
        <v>#DIV/0!</v>
      </c>
      <c r="I67" s="77">
        <f t="shared" si="18"/>
        <v>59</v>
      </c>
      <c r="J67" s="73">
        <f t="shared" si="4"/>
        <v>2024</v>
      </c>
      <c r="K67" s="78" t="str">
        <f t="shared" si="19"/>
        <v/>
      </c>
    </row>
    <row r="68" spans="2:11" hidden="1" outlineLevel="1">
      <c r="B68" s="78">
        <f t="shared" si="1"/>
        <v>45505</v>
      </c>
      <c r="C68" s="75">
        <f>IF(F68&lt;&gt;0,-INDEX([10]Delta!$F$1:$EE$997,$L$13,$I68),0)</f>
        <v>0</v>
      </c>
      <c r="D68" s="71">
        <f>IF(F68&lt;&gt;0,VLOOKUP($J68,'Table 1'!$B$13:$C$33,2,FALSE)/12*1000*Study_MW,0)</f>
        <v>0</v>
      </c>
      <c r="E68" s="71">
        <f t="shared" si="17"/>
        <v>0</v>
      </c>
      <c r="F68" s="75">
        <f>INDEX([10]Delta!$F$1:$EE$997,$L$14,$I68)</f>
        <v>0</v>
      </c>
      <c r="G68" s="76" t="e">
        <f t="shared" si="3"/>
        <v>#DIV/0!</v>
      </c>
      <c r="I68" s="77">
        <f t="shared" si="18"/>
        <v>60</v>
      </c>
      <c r="J68" s="73">
        <f t="shared" si="4"/>
        <v>2024</v>
      </c>
      <c r="K68" s="78" t="str">
        <f t="shared" si="19"/>
        <v/>
      </c>
    </row>
    <row r="69" spans="2:11" hidden="1" outlineLevel="1">
      <c r="B69" s="78">
        <f t="shared" si="1"/>
        <v>45536</v>
      </c>
      <c r="C69" s="75">
        <f>IF(F69&lt;&gt;0,-INDEX([10]Delta!$F$1:$EE$997,$L$13,$I69),0)</f>
        <v>0</v>
      </c>
      <c r="D69" s="71">
        <f>IF(F69&lt;&gt;0,VLOOKUP($J69,'Table 1'!$B$13:$C$33,2,FALSE)/12*1000*Study_MW,0)</f>
        <v>0</v>
      </c>
      <c r="E69" s="71">
        <f t="shared" si="17"/>
        <v>0</v>
      </c>
      <c r="F69" s="75">
        <f>INDEX([10]Delta!$F$1:$EE$997,$L$14,$I69)</f>
        <v>0</v>
      </c>
      <c r="G69" s="76" t="e">
        <f t="shared" si="3"/>
        <v>#DIV/0!</v>
      </c>
      <c r="I69" s="77">
        <f t="shared" si="18"/>
        <v>61</v>
      </c>
      <c r="J69" s="73">
        <f t="shared" si="4"/>
        <v>2024</v>
      </c>
      <c r="K69" s="78" t="str">
        <f t="shared" si="19"/>
        <v/>
      </c>
    </row>
    <row r="70" spans="2:11" hidden="1" outlineLevel="1">
      <c r="B70" s="78">
        <f t="shared" si="1"/>
        <v>45566</v>
      </c>
      <c r="C70" s="75">
        <f>IF(F70&lt;&gt;0,-INDEX([10]Delta!$F$1:$EE$997,$L$13,$I70),0)</f>
        <v>0</v>
      </c>
      <c r="D70" s="71">
        <f>IF(F70&lt;&gt;0,VLOOKUP($J70,'Table 1'!$B$13:$C$33,2,FALSE)/12*1000*Study_MW,0)</f>
        <v>0</v>
      </c>
      <c r="E70" s="71">
        <f t="shared" si="17"/>
        <v>0</v>
      </c>
      <c r="F70" s="75">
        <f>INDEX([10]Delta!$F$1:$EE$997,$L$14,$I70)</f>
        <v>0</v>
      </c>
      <c r="G70" s="76" t="e">
        <f t="shared" si="3"/>
        <v>#DIV/0!</v>
      </c>
      <c r="I70" s="77">
        <f t="shared" si="18"/>
        <v>62</v>
      </c>
      <c r="J70" s="73">
        <f t="shared" si="4"/>
        <v>2024</v>
      </c>
      <c r="K70" s="78" t="str">
        <f t="shared" si="19"/>
        <v/>
      </c>
    </row>
    <row r="71" spans="2:11" hidden="1" outlineLevel="1">
      <c r="B71" s="78">
        <f t="shared" si="1"/>
        <v>45597</v>
      </c>
      <c r="C71" s="75">
        <f>IF(F71&lt;&gt;0,-INDEX([10]Delta!$F$1:$EE$997,$L$13,$I71),0)</f>
        <v>0</v>
      </c>
      <c r="D71" s="71">
        <f>IF(F71&lt;&gt;0,VLOOKUP($J71,'Table 1'!$B$13:$C$33,2,FALSE)/12*1000*Study_MW,0)</f>
        <v>0</v>
      </c>
      <c r="E71" s="71">
        <f t="shared" si="17"/>
        <v>0</v>
      </c>
      <c r="F71" s="75">
        <f>INDEX([10]Delta!$F$1:$EE$997,$L$14,$I71)</f>
        <v>0</v>
      </c>
      <c r="G71" s="76" t="e">
        <f t="shared" si="3"/>
        <v>#DIV/0!</v>
      </c>
      <c r="I71" s="77">
        <f t="shared" si="18"/>
        <v>63</v>
      </c>
      <c r="J71" s="73">
        <f t="shared" si="4"/>
        <v>2024</v>
      </c>
      <c r="K71" s="78" t="str">
        <f t="shared" si="19"/>
        <v/>
      </c>
    </row>
    <row r="72" spans="2:11" hidden="1" outlineLevel="1">
      <c r="B72" s="82">
        <f t="shared" si="1"/>
        <v>45627</v>
      </c>
      <c r="C72" s="79">
        <f>IF(F72&lt;&gt;0,-INDEX([10]Delta!$F$1:$EE$997,$L$13,$I72),0)</f>
        <v>0</v>
      </c>
      <c r="D72" s="80">
        <f>IF(F72&lt;&gt;0,VLOOKUP($J72,'Table 1'!$B$13:$C$33,2,FALSE)/12*1000*Study_MW,0)</f>
        <v>0</v>
      </c>
      <c r="E72" s="80">
        <f t="shared" si="17"/>
        <v>0</v>
      </c>
      <c r="F72" s="79">
        <f>INDEX([10]Delta!$F$1:$EE$997,$L$14,$I72)</f>
        <v>0</v>
      </c>
      <c r="G72" s="81" t="e">
        <f t="shared" si="3"/>
        <v>#DIV/0!</v>
      </c>
      <c r="I72" s="64">
        <f t="shared" si="18"/>
        <v>64</v>
      </c>
      <c r="J72" s="73">
        <f t="shared" si="4"/>
        <v>2024</v>
      </c>
      <c r="K72" s="82" t="str">
        <f t="shared" si="19"/>
        <v/>
      </c>
    </row>
    <row r="73" spans="2:11" hidden="1" outlineLevel="1">
      <c r="B73" s="74">
        <f t="shared" si="1"/>
        <v>45658</v>
      </c>
      <c r="C73" s="69">
        <f>IF(F73&lt;&gt;0,-INDEX([10]Delta!$F$1:$EE$997,$L$13,$I73),0)</f>
        <v>0</v>
      </c>
      <c r="D73" s="70">
        <f>IF(F73&lt;&gt;0,VLOOKUP($J73,'Table 1'!$B$13:$C$33,2,FALSE)/12*1000*Study_MW,0)</f>
        <v>0</v>
      </c>
      <c r="E73" s="70">
        <f t="shared" si="17"/>
        <v>0</v>
      </c>
      <c r="F73" s="69">
        <f>INDEX([10]Delta!$F$1:$EE$997,$L$14,$I73)</f>
        <v>0</v>
      </c>
      <c r="G73" s="72" t="e">
        <f t="shared" si="3"/>
        <v>#DIV/0!</v>
      </c>
      <c r="I73" s="60">
        <f>I61+13</f>
        <v>66</v>
      </c>
      <c r="J73" s="73">
        <f t="shared" si="4"/>
        <v>2025</v>
      </c>
      <c r="K73" s="74" t="str">
        <f t="shared" si="19"/>
        <v/>
      </c>
    </row>
    <row r="74" spans="2:11" hidden="1" outlineLevel="1">
      <c r="B74" s="78">
        <f t="shared" si="1"/>
        <v>45689</v>
      </c>
      <c r="C74" s="75">
        <f>IF(F74&lt;&gt;0,-INDEX([10]Delta!$F$1:$EE$997,$L$13,$I74),0)</f>
        <v>0</v>
      </c>
      <c r="D74" s="71">
        <f>IF(F74&lt;&gt;0,VLOOKUP($J74,'Table 1'!$B$13:$C$33,2,FALSE)/12*1000*Study_MW,0)</f>
        <v>0</v>
      </c>
      <c r="E74" s="71">
        <f t="shared" si="17"/>
        <v>0</v>
      </c>
      <c r="F74" s="75">
        <f>INDEX([10]Delta!$F$1:$EE$997,$L$14,$I74)</f>
        <v>0</v>
      </c>
      <c r="G74" s="76" t="e">
        <f t="shared" si="3"/>
        <v>#DIV/0!</v>
      </c>
      <c r="I74" s="77">
        <f t="shared" si="18"/>
        <v>67</v>
      </c>
      <c r="J74" s="73">
        <f t="shared" si="4"/>
        <v>2025</v>
      </c>
      <c r="K74" s="78" t="str">
        <f t="shared" si="19"/>
        <v/>
      </c>
    </row>
    <row r="75" spans="2:11" hidden="1" outlineLevel="1">
      <c r="B75" s="78">
        <f t="shared" si="1"/>
        <v>45717</v>
      </c>
      <c r="C75" s="75">
        <f>IF(F75&lt;&gt;0,-INDEX([10]Delta!$F$1:$EE$997,$L$13,$I75),0)</f>
        <v>0</v>
      </c>
      <c r="D75" s="71">
        <f>IF(F75&lt;&gt;0,VLOOKUP($J75,'Table 1'!$B$13:$C$33,2,FALSE)/12*1000*Study_MW,0)</f>
        <v>0</v>
      </c>
      <c r="E75" s="71">
        <f t="shared" si="17"/>
        <v>0</v>
      </c>
      <c r="F75" s="75">
        <f>INDEX([10]Delta!$F$1:$EE$997,$L$14,$I75)</f>
        <v>0</v>
      </c>
      <c r="G75" s="76" t="e">
        <f t="shared" si="3"/>
        <v>#DIV/0!</v>
      </c>
      <c r="I75" s="77">
        <f t="shared" si="18"/>
        <v>68</v>
      </c>
      <c r="J75" s="73">
        <f t="shared" si="4"/>
        <v>2025</v>
      </c>
      <c r="K75" s="78" t="str">
        <f t="shared" si="19"/>
        <v/>
      </c>
    </row>
    <row r="76" spans="2:11" hidden="1" outlineLevel="1">
      <c r="B76" s="78">
        <f t="shared" si="1"/>
        <v>45748</v>
      </c>
      <c r="C76" s="75">
        <f>IF(F76&lt;&gt;0,-INDEX([10]Delta!$F$1:$EE$997,$L$13,$I76),0)</f>
        <v>0</v>
      </c>
      <c r="D76" s="71">
        <f>IF(F76&lt;&gt;0,VLOOKUP($J76,'Table 1'!$B$13:$C$33,2,FALSE)/12*1000*Study_MW,0)</f>
        <v>0</v>
      </c>
      <c r="E76" s="71">
        <f t="shared" si="17"/>
        <v>0</v>
      </c>
      <c r="F76" s="75">
        <f>INDEX([10]Delta!$F$1:$EE$997,$L$14,$I76)</f>
        <v>0</v>
      </c>
      <c r="G76" s="76" t="e">
        <f t="shared" si="3"/>
        <v>#DIV/0!</v>
      </c>
      <c r="I76" s="77">
        <f t="shared" si="18"/>
        <v>69</v>
      </c>
      <c r="J76" s="73">
        <f t="shared" si="4"/>
        <v>2025</v>
      </c>
      <c r="K76" s="78" t="str">
        <f t="shared" si="19"/>
        <v/>
      </c>
    </row>
    <row r="77" spans="2:11" hidden="1" outlineLevel="1">
      <c r="B77" s="78">
        <f t="shared" si="1"/>
        <v>45778</v>
      </c>
      <c r="C77" s="75">
        <f>IF(F77&lt;&gt;0,-INDEX([10]Delta!$F$1:$EE$997,$L$13,$I77),0)</f>
        <v>0</v>
      </c>
      <c r="D77" s="71">
        <f>IF(F77&lt;&gt;0,VLOOKUP($J77,'Table 1'!$B$13:$C$33,2,FALSE)/12*1000*Study_MW,0)</f>
        <v>0</v>
      </c>
      <c r="E77" s="71">
        <f t="shared" si="17"/>
        <v>0</v>
      </c>
      <c r="F77" s="75">
        <f>INDEX([10]Delta!$F$1:$EE$997,$L$14,$I77)</f>
        <v>0</v>
      </c>
      <c r="G77" s="76" t="e">
        <f t="shared" si="3"/>
        <v>#DIV/0!</v>
      </c>
      <c r="I77" s="77">
        <f t="shared" si="18"/>
        <v>70</v>
      </c>
      <c r="J77" s="73">
        <f t="shared" si="4"/>
        <v>2025</v>
      </c>
      <c r="K77" s="78" t="str">
        <f t="shared" si="19"/>
        <v/>
      </c>
    </row>
    <row r="78" spans="2:11" hidden="1" outlineLevel="1">
      <c r="B78" s="78">
        <f t="shared" ref="B78:B132" si="36">EDATE(B77,1)</f>
        <v>45809</v>
      </c>
      <c r="C78" s="75">
        <f>IF(F78&lt;&gt;0,-INDEX([10]Delta!$F$1:$EE$997,$L$13,$I78),0)</f>
        <v>0</v>
      </c>
      <c r="D78" s="71">
        <f>IF(F78&lt;&gt;0,VLOOKUP($J78,'Table 1'!$B$13:$C$33,2,FALSE)/12*1000*Study_MW,0)</f>
        <v>0</v>
      </c>
      <c r="E78" s="71">
        <f t="shared" ref="E78:E132" si="37">C78+D78</f>
        <v>0</v>
      </c>
      <c r="F78" s="75">
        <f>INDEX([10]Delta!$F$1:$EE$997,$L$14,$I78)</f>
        <v>0</v>
      </c>
      <c r="G78" s="76" t="e">
        <f t="shared" ref="G78:G132" si="38">IF(ISNUMBER($F78),E78/$F78,"")</f>
        <v>#DIV/0!</v>
      </c>
      <c r="I78" s="77">
        <f t="shared" si="18"/>
        <v>71</v>
      </c>
      <c r="J78" s="73">
        <f t="shared" ref="J78:J141" si="39">YEAR(B78)</f>
        <v>2025</v>
      </c>
      <c r="K78" s="78" t="str">
        <f t="shared" si="19"/>
        <v/>
      </c>
    </row>
    <row r="79" spans="2:11" hidden="1" outlineLevel="1">
      <c r="B79" s="78">
        <f t="shared" si="36"/>
        <v>45839</v>
      </c>
      <c r="C79" s="75">
        <f>IF(F79&lt;&gt;0,-INDEX([10]Delta!$F$1:$EE$997,$L$13,$I79),0)</f>
        <v>0</v>
      </c>
      <c r="D79" s="71">
        <f>IF(F79&lt;&gt;0,VLOOKUP($J79,'Table 1'!$B$13:$C$33,2,FALSE)/12*1000*Study_MW,0)</f>
        <v>0</v>
      </c>
      <c r="E79" s="71">
        <f t="shared" si="37"/>
        <v>0</v>
      </c>
      <c r="F79" s="75">
        <f>INDEX([10]Delta!$F$1:$EE$997,$L$14,$I79)</f>
        <v>0</v>
      </c>
      <c r="G79" s="76" t="e">
        <f t="shared" si="38"/>
        <v>#DIV/0!</v>
      </c>
      <c r="I79" s="77">
        <f t="shared" si="18"/>
        <v>72</v>
      </c>
      <c r="J79" s="73">
        <f t="shared" si="39"/>
        <v>2025</v>
      </c>
      <c r="K79" s="78" t="str">
        <f t="shared" si="19"/>
        <v/>
      </c>
    </row>
    <row r="80" spans="2:11" hidden="1" outlineLevel="1">
      <c r="B80" s="78">
        <f t="shared" si="36"/>
        <v>45870</v>
      </c>
      <c r="C80" s="75">
        <f>IF(F80&lt;&gt;0,-INDEX([10]Delta!$F$1:$EE$997,$L$13,$I80),0)</f>
        <v>0</v>
      </c>
      <c r="D80" s="71">
        <f>IF(F80&lt;&gt;0,VLOOKUP($J80,'Table 1'!$B$13:$C$33,2,FALSE)/12*1000*Study_MW,0)</f>
        <v>0</v>
      </c>
      <c r="E80" s="71">
        <f t="shared" si="37"/>
        <v>0</v>
      </c>
      <c r="F80" s="75">
        <f>INDEX([10]Delta!$F$1:$EE$997,$L$14,$I80)</f>
        <v>0</v>
      </c>
      <c r="G80" s="76" t="e">
        <f t="shared" si="38"/>
        <v>#DIV/0!</v>
      </c>
      <c r="I80" s="77">
        <f t="shared" si="18"/>
        <v>73</v>
      </c>
      <c r="J80" s="73">
        <f t="shared" si="39"/>
        <v>2025</v>
      </c>
      <c r="K80" s="78" t="str">
        <f t="shared" si="19"/>
        <v/>
      </c>
    </row>
    <row r="81" spans="2:11" hidden="1" outlineLevel="1">
      <c r="B81" s="78">
        <f t="shared" si="36"/>
        <v>45901</v>
      </c>
      <c r="C81" s="75">
        <f>IF(F81&lt;&gt;0,-INDEX([10]Delta!$F$1:$EE$997,$L$13,$I81),0)</f>
        <v>0</v>
      </c>
      <c r="D81" s="71">
        <f>IF(F81&lt;&gt;0,VLOOKUP($J81,'Table 1'!$B$13:$C$33,2,FALSE)/12*1000*Study_MW,0)</f>
        <v>0</v>
      </c>
      <c r="E81" s="71">
        <f t="shared" si="37"/>
        <v>0</v>
      </c>
      <c r="F81" s="75">
        <f>INDEX([10]Delta!$F$1:$EE$997,$L$14,$I81)</f>
        <v>0</v>
      </c>
      <c r="G81" s="76" t="e">
        <f t="shared" si="38"/>
        <v>#DIV/0!</v>
      </c>
      <c r="I81" s="77">
        <f t="shared" si="18"/>
        <v>74</v>
      </c>
      <c r="J81" s="73">
        <f t="shared" si="39"/>
        <v>2025</v>
      </c>
      <c r="K81" s="78" t="str">
        <f t="shared" si="19"/>
        <v/>
      </c>
    </row>
    <row r="82" spans="2:11" hidden="1" outlineLevel="1">
      <c r="B82" s="78">
        <f t="shared" si="36"/>
        <v>45931</v>
      </c>
      <c r="C82" s="75">
        <f>IF(F82&lt;&gt;0,-INDEX([10]Delta!$F$1:$EE$997,$L$13,$I82),0)</f>
        <v>0</v>
      </c>
      <c r="D82" s="71">
        <f>IF(F82&lt;&gt;0,VLOOKUP($J82,'Table 1'!$B$13:$C$33,2,FALSE)/12*1000*Study_MW,0)</f>
        <v>0</v>
      </c>
      <c r="E82" s="71">
        <f t="shared" si="37"/>
        <v>0</v>
      </c>
      <c r="F82" s="75">
        <f>INDEX([10]Delta!$F$1:$EE$997,$L$14,$I82)</f>
        <v>0</v>
      </c>
      <c r="G82" s="76" t="e">
        <f t="shared" si="38"/>
        <v>#DIV/0!</v>
      </c>
      <c r="I82" s="77">
        <f t="shared" si="18"/>
        <v>75</v>
      </c>
      <c r="J82" s="73">
        <f t="shared" si="39"/>
        <v>2025</v>
      </c>
      <c r="K82" s="78" t="str">
        <f t="shared" si="19"/>
        <v/>
      </c>
    </row>
    <row r="83" spans="2:11" hidden="1" outlineLevel="1">
      <c r="B83" s="78">
        <f t="shared" si="36"/>
        <v>45962</v>
      </c>
      <c r="C83" s="75">
        <f>IF(F83&lt;&gt;0,-INDEX([10]Delta!$F$1:$EE$997,$L$13,$I83),0)</f>
        <v>0</v>
      </c>
      <c r="D83" s="71">
        <f>IF(F83&lt;&gt;0,VLOOKUP($J83,'Table 1'!$B$13:$C$33,2,FALSE)/12*1000*Study_MW,0)</f>
        <v>0</v>
      </c>
      <c r="E83" s="71">
        <f t="shared" si="37"/>
        <v>0</v>
      </c>
      <c r="F83" s="75">
        <f>INDEX([10]Delta!$F$1:$EE$997,$L$14,$I83)</f>
        <v>0</v>
      </c>
      <c r="G83" s="76" t="e">
        <f t="shared" si="38"/>
        <v>#DIV/0!</v>
      </c>
      <c r="I83" s="77">
        <f t="shared" si="18"/>
        <v>76</v>
      </c>
      <c r="J83" s="73">
        <f t="shared" si="39"/>
        <v>2025</v>
      </c>
      <c r="K83" s="78" t="str">
        <f t="shared" si="19"/>
        <v/>
      </c>
    </row>
    <row r="84" spans="2:11" hidden="1" outlineLevel="1">
      <c r="B84" s="82">
        <f t="shared" si="36"/>
        <v>45992</v>
      </c>
      <c r="C84" s="79">
        <f>IF(F84&lt;&gt;0,-INDEX([10]Delta!$F$1:$EE$997,$L$13,$I84),0)</f>
        <v>0</v>
      </c>
      <c r="D84" s="80">
        <f>IF(F84&lt;&gt;0,VLOOKUP($J84,'Table 1'!$B$13:$C$33,2,FALSE)/12*1000*Study_MW,0)</f>
        <v>0</v>
      </c>
      <c r="E84" s="80">
        <f t="shared" si="37"/>
        <v>0</v>
      </c>
      <c r="F84" s="79">
        <f>INDEX([10]Delta!$F$1:$EE$997,$L$14,$I84)</f>
        <v>0</v>
      </c>
      <c r="G84" s="81" t="e">
        <f t="shared" si="38"/>
        <v>#DIV/0!</v>
      </c>
      <c r="I84" s="64">
        <f t="shared" si="18"/>
        <v>77</v>
      </c>
      <c r="J84" s="73">
        <f t="shared" si="39"/>
        <v>2025</v>
      </c>
      <c r="K84" s="82" t="str">
        <f t="shared" si="19"/>
        <v/>
      </c>
    </row>
    <row r="85" spans="2:11" hidden="1" outlineLevel="1">
      <c r="B85" s="74">
        <f t="shared" si="36"/>
        <v>46023</v>
      </c>
      <c r="C85" s="69">
        <f>IF(F85&lt;&gt;0,-INDEX([10]Delta!$F$1:$EE$997,$L$13,$I85),0)</f>
        <v>0</v>
      </c>
      <c r="D85" s="70">
        <f>IF(F85&lt;&gt;0,VLOOKUP($J85,'Table 1'!$B$13:$C$33,2,FALSE)/12*1000*Study_MW,0)</f>
        <v>0</v>
      </c>
      <c r="E85" s="70">
        <f t="shared" si="37"/>
        <v>0</v>
      </c>
      <c r="F85" s="69">
        <f>INDEX([10]Delta!$F$1:$EE$997,$L$14,$I85)</f>
        <v>0</v>
      </c>
      <c r="G85" s="72" t="e">
        <f t="shared" si="38"/>
        <v>#DIV/0!</v>
      </c>
      <c r="I85" s="60">
        <f>I73+13</f>
        <v>79</v>
      </c>
      <c r="J85" s="73">
        <f t="shared" si="39"/>
        <v>2026</v>
      </c>
      <c r="K85" s="74" t="str">
        <f t="shared" si="19"/>
        <v/>
      </c>
    </row>
    <row r="86" spans="2:11" hidden="1" outlineLevel="1">
      <c r="B86" s="78">
        <f t="shared" si="36"/>
        <v>46054</v>
      </c>
      <c r="C86" s="75">
        <f>IF(F86&lt;&gt;0,-INDEX([10]Delta!$F$1:$EE$997,$L$13,$I86),0)</f>
        <v>0</v>
      </c>
      <c r="D86" s="71">
        <f>IF(F86&lt;&gt;0,VLOOKUP($J86,'Table 1'!$B$13:$C$33,2,FALSE)/12*1000*Study_MW,0)</f>
        <v>0</v>
      </c>
      <c r="E86" s="71">
        <f t="shared" si="37"/>
        <v>0</v>
      </c>
      <c r="F86" s="75">
        <f>INDEX([10]Delta!$F$1:$EE$997,$L$14,$I86)</f>
        <v>0</v>
      </c>
      <c r="G86" s="76" t="e">
        <f t="shared" si="38"/>
        <v>#DIV/0!</v>
      </c>
      <c r="I86" s="77">
        <f t="shared" si="18"/>
        <v>80</v>
      </c>
      <c r="J86" s="73">
        <f t="shared" si="39"/>
        <v>2026</v>
      </c>
      <c r="K86" s="78" t="str">
        <f t="shared" si="19"/>
        <v/>
      </c>
    </row>
    <row r="87" spans="2:11" hidden="1" outlineLevel="1">
      <c r="B87" s="78">
        <f t="shared" si="36"/>
        <v>46082</v>
      </c>
      <c r="C87" s="75">
        <f>IF(F87&lt;&gt;0,-INDEX([10]Delta!$F$1:$EE$997,$L$13,$I87),0)</f>
        <v>0</v>
      </c>
      <c r="D87" s="71">
        <f>IF(F87&lt;&gt;0,VLOOKUP($J87,'Table 1'!$B$13:$C$33,2,FALSE)/12*1000*Study_MW,0)</f>
        <v>0</v>
      </c>
      <c r="E87" s="71">
        <f t="shared" si="37"/>
        <v>0</v>
      </c>
      <c r="F87" s="75">
        <f>INDEX([10]Delta!$F$1:$EE$997,$L$14,$I87)</f>
        <v>0</v>
      </c>
      <c r="G87" s="76" t="e">
        <f t="shared" si="38"/>
        <v>#DIV/0!</v>
      </c>
      <c r="I87" s="77">
        <f t="shared" si="18"/>
        <v>81</v>
      </c>
      <c r="J87" s="73">
        <f t="shared" si="39"/>
        <v>2026</v>
      </c>
      <c r="K87" s="78" t="str">
        <f t="shared" si="19"/>
        <v/>
      </c>
    </row>
    <row r="88" spans="2:11" hidden="1" outlineLevel="1">
      <c r="B88" s="78">
        <f t="shared" si="36"/>
        <v>46113</v>
      </c>
      <c r="C88" s="75">
        <f>IF(F88&lt;&gt;0,-INDEX([10]Delta!$F$1:$EE$997,$L$13,$I88),0)</f>
        <v>0</v>
      </c>
      <c r="D88" s="71">
        <f>IF(F88&lt;&gt;0,VLOOKUP($J88,'Table 1'!$B$13:$C$33,2,FALSE)/12*1000*Study_MW,0)</f>
        <v>0</v>
      </c>
      <c r="E88" s="71">
        <f t="shared" si="37"/>
        <v>0</v>
      </c>
      <c r="F88" s="75">
        <f>INDEX([10]Delta!$F$1:$EE$997,$L$14,$I88)</f>
        <v>0</v>
      </c>
      <c r="G88" s="76" t="e">
        <f t="shared" si="38"/>
        <v>#DIV/0!</v>
      </c>
      <c r="I88" s="77">
        <f t="shared" si="18"/>
        <v>82</v>
      </c>
      <c r="J88" s="73">
        <f t="shared" si="39"/>
        <v>2026</v>
      </c>
      <c r="K88" s="78" t="str">
        <f t="shared" si="19"/>
        <v/>
      </c>
    </row>
    <row r="89" spans="2:11" hidden="1" outlineLevel="1">
      <c r="B89" s="78">
        <f t="shared" si="36"/>
        <v>46143</v>
      </c>
      <c r="C89" s="75">
        <f>IF(F89&lt;&gt;0,-INDEX([10]Delta!$F$1:$EE$997,$L$13,$I89),0)</f>
        <v>0</v>
      </c>
      <c r="D89" s="71">
        <f>IF(F89&lt;&gt;0,VLOOKUP($J89,'Table 1'!$B$13:$C$33,2,FALSE)/12*1000*Study_MW,0)</f>
        <v>0</v>
      </c>
      <c r="E89" s="71">
        <f t="shared" si="37"/>
        <v>0</v>
      </c>
      <c r="F89" s="75">
        <f>INDEX([10]Delta!$F$1:$EE$997,$L$14,$I89)</f>
        <v>0</v>
      </c>
      <c r="G89" s="76" t="e">
        <f t="shared" si="38"/>
        <v>#DIV/0!</v>
      </c>
      <c r="I89" s="77">
        <f t="shared" si="18"/>
        <v>83</v>
      </c>
      <c r="J89" s="73">
        <f t="shared" si="39"/>
        <v>2026</v>
      </c>
      <c r="K89" s="78" t="str">
        <f t="shared" si="19"/>
        <v/>
      </c>
    </row>
    <row r="90" spans="2:11" hidden="1" outlineLevel="1">
      <c r="B90" s="78">
        <f t="shared" si="36"/>
        <v>46174</v>
      </c>
      <c r="C90" s="75">
        <f>IF(F90&lt;&gt;0,-INDEX([10]Delta!$F$1:$EE$997,$L$13,$I90),0)</f>
        <v>0</v>
      </c>
      <c r="D90" s="71">
        <f>IF(F90&lt;&gt;0,VLOOKUP($J90,'Table 1'!$B$13:$C$33,2,FALSE)/12*1000*Study_MW,0)</f>
        <v>0</v>
      </c>
      <c r="E90" s="71">
        <f t="shared" si="37"/>
        <v>0</v>
      </c>
      <c r="F90" s="75">
        <f>INDEX([10]Delta!$F$1:$EE$997,$L$14,$I90)</f>
        <v>0</v>
      </c>
      <c r="G90" s="76" t="e">
        <f t="shared" si="38"/>
        <v>#DIV/0!</v>
      </c>
      <c r="I90" s="77">
        <f t="shared" ref="I90:I96" si="40">I78+13</f>
        <v>84</v>
      </c>
      <c r="J90" s="73">
        <f t="shared" si="39"/>
        <v>2026</v>
      </c>
      <c r="K90" s="78" t="str">
        <f t="shared" ref="K90:K153" si="41">IF(ISNUMBER(F90),IF(F90&lt;&gt;0,B90,""),"")</f>
        <v/>
      </c>
    </row>
    <row r="91" spans="2:11" hidden="1" outlineLevel="1">
      <c r="B91" s="78">
        <f t="shared" si="36"/>
        <v>46204</v>
      </c>
      <c r="C91" s="75">
        <f>IF(F91&lt;&gt;0,-INDEX([10]Delta!$F$1:$EE$997,$L$13,$I91),0)</f>
        <v>0</v>
      </c>
      <c r="D91" s="71">
        <f>IF(F91&lt;&gt;0,VLOOKUP($J91,'Table 1'!$B$13:$C$33,2,FALSE)/12*1000*Study_MW,0)</f>
        <v>0</v>
      </c>
      <c r="E91" s="71">
        <f t="shared" si="37"/>
        <v>0</v>
      </c>
      <c r="F91" s="75">
        <f>INDEX([10]Delta!$F$1:$EE$997,$L$14,$I91)</f>
        <v>0</v>
      </c>
      <c r="G91" s="76" t="e">
        <f t="shared" si="38"/>
        <v>#DIV/0!</v>
      </c>
      <c r="I91" s="77">
        <f t="shared" si="40"/>
        <v>85</v>
      </c>
      <c r="J91" s="73">
        <f t="shared" si="39"/>
        <v>2026</v>
      </c>
      <c r="K91" s="78" t="str">
        <f t="shared" si="41"/>
        <v/>
      </c>
    </row>
    <row r="92" spans="2:11" hidden="1" outlineLevel="1">
      <c r="B92" s="78">
        <f t="shared" si="36"/>
        <v>46235</v>
      </c>
      <c r="C92" s="75">
        <f>IF(F92&lt;&gt;0,-INDEX([10]Delta!$F$1:$EE$997,$L$13,$I92),0)</f>
        <v>0</v>
      </c>
      <c r="D92" s="71">
        <f>IF(F92&lt;&gt;0,VLOOKUP($J92,'Table 1'!$B$13:$C$33,2,FALSE)/12*1000*Study_MW,0)</f>
        <v>0</v>
      </c>
      <c r="E92" s="71">
        <f t="shared" si="37"/>
        <v>0</v>
      </c>
      <c r="F92" s="75">
        <f>INDEX([10]Delta!$F$1:$EE$997,$L$14,$I92)</f>
        <v>0</v>
      </c>
      <c r="G92" s="76" t="e">
        <f t="shared" si="38"/>
        <v>#DIV/0!</v>
      </c>
      <c r="I92" s="77">
        <f t="shared" si="40"/>
        <v>86</v>
      </c>
      <c r="J92" s="73">
        <f t="shared" si="39"/>
        <v>2026</v>
      </c>
      <c r="K92" s="78" t="str">
        <f t="shared" si="41"/>
        <v/>
      </c>
    </row>
    <row r="93" spans="2:11" hidden="1" outlineLevel="1">
      <c r="B93" s="78">
        <f t="shared" si="36"/>
        <v>46266</v>
      </c>
      <c r="C93" s="75">
        <f>IF(F93&lt;&gt;0,-INDEX([10]Delta!$F$1:$EE$997,$L$13,$I93),0)</f>
        <v>0</v>
      </c>
      <c r="D93" s="71">
        <f>IF(F93&lt;&gt;0,VLOOKUP($J93,'Table 1'!$B$13:$C$33,2,FALSE)/12*1000*Study_MW,0)</f>
        <v>0</v>
      </c>
      <c r="E93" s="71">
        <f t="shared" si="37"/>
        <v>0</v>
      </c>
      <c r="F93" s="75">
        <f>INDEX([10]Delta!$F$1:$EE$997,$L$14,$I93)</f>
        <v>0</v>
      </c>
      <c r="G93" s="76" t="e">
        <f t="shared" si="38"/>
        <v>#DIV/0!</v>
      </c>
      <c r="I93" s="77">
        <f t="shared" si="40"/>
        <v>87</v>
      </c>
      <c r="J93" s="73">
        <f t="shared" si="39"/>
        <v>2026</v>
      </c>
      <c r="K93" s="78" t="str">
        <f t="shared" si="41"/>
        <v/>
      </c>
    </row>
    <row r="94" spans="2:11" hidden="1" outlineLevel="1">
      <c r="B94" s="78">
        <f t="shared" si="36"/>
        <v>46296</v>
      </c>
      <c r="C94" s="75">
        <f>IF(F94&lt;&gt;0,-INDEX([10]Delta!$F$1:$EE$997,$L$13,$I94),0)</f>
        <v>0</v>
      </c>
      <c r="D94" s="71">
        <f>IF(F94&lt;&gt;0,VLOOKUP($J94,'Table 1'!$B$13:$C$33,2,FALSE)/12*1000*Study_MW,0)</f>
        <v>0</v>
      </c>
      <c r="E94" s="71">
        <f t="shared" si="37"/>
        <v>0</v>
      </c>
      <c r="F94" s="75">
        <f>INDEX([10]Delta!$F$1:$EE$997,$L$14,$I94)</f>
        <v>0</v>
      </c>
      <c r="G94" s="76" t="e">
        <f t="shared" si="38"/>
        <v>#DIV/0!</v>
      </c>
      <c r="I94" s="77">
        <f t="shared" si="40"/>
        <v>88</v>
      </c>
      <c r="J94" s="73">
        <f t="shared" si="39"/>
        <v>2026</v>
      </c>
      <c r="K94" s="78" t="str">
        <f t="shared" si="41"/>
        <v/>
      </c>
    </row>
    <row r="95" spans="2:11" hidden="1" outlineLevel="1">
      <c r="B95" s="78">
        <f t="shared" si="36"/>
        <v>46327</v>
      </c>
      <c r="C95" s="75">
        <f>IF(F95&lt;&gt;0,-INDEX([10]Delta!$F$1:$EE$997,$L$13,$I95),0)</f>
        <v>0</v>
      </c>
      <c r="D95" s="71">
        <f>IF(F95&lt;&gt;0,VLOOKUP($J95,'Table 1'!$B$13:$C$33,2,FALSE)/12*1000*Study_MW,0)</f>
        <v>0</v>
      </c>
      <c r="E95" s="71">
        <f t="shared" si="37"/>
        <v>0</v>
      </c>
      <c r="F95" s="75">
        <f>INDEX([10]Delta!$F$1:$EE$997,$L$14,$I95)</f>
        <v>0</v>
      </c>
      <c r="G95" s="76" t="e">
        <f t="shared" si="38"/>
        <v>#DIV/0!</v>
      </c>
      <c r="I95" s="77">
        <f t="shared" si="40"/>
        <v>89</v>
      </c>
      <c r="J95" s="73">
        <f t="shared" si="39"/>
        <v>2026</v>
      </c>
      <c r="K95" s="78" t="str">
        <f t="shared" si="41"/>
        <v/>
      </c>
    </row>
    <row r="96" spans="2:11" hidden="1" outlineLevel="1">
      <c r="B96" s="82">
        <f t="shared" si="36"/>
        <v>46357</v>
      </c>
      <c r="C96" s="79">
        <f>IF(F96&lt;&gt;0,-INDEX([10]Delta!$F$1:$EE$997,$L$13,$I96),0)</f>
        <v>0</v>
      </c>
      <c r="D96" s="80">
        <f>IF(F96&lt;&gt;0,VLOOKUP($J96,'Table 1'!$B$13:$C$33,2,FALSE)/12*1000*Study_MW,0)</f>
        <v>0</v>
      </c>
      <c r="E96" s="80">
        <f t="shared" si="37"/>
        <v>0</v>
      </c>
      <c r="F96" s="79">
        <f>INDEX([10]Delta!$F$1:$EE$997,$L$14,$I96)</f>
        <v>0</v>
      </c>
      <c r="G96" s="81" t="e">
        <f t="shared" si="38"/>
        <v>#DIV/0!</v>
      </c>
      <c r="I96" s="64">
        <f t="shared" si="40"/>
        <v>90</v>
      </c>
      <c r="J96" s="73">
        <f t="shared" si="39"/>
        <v>2026</v>
      </c>
      <c r="K96" s="82" t="str">
        <f t="shared" si="41"/>
        <v/>
      </c>
    </row>
    <row r="97" spans="2:11" hidden="1" outlineLevel="1">
      <c r="B97" s="74">
        <f t="shared" si="36"/>
        <v>46388</v>
      </c>
      <c r="C97" s="69">
        <f>IF(F97&lt;&gt;0,-INDEX([10]Delta!$F$1:$EE$997,$L$13,$I97),0)</f>
        <v>0</v>
      </c>
      <c r="D97" s="70">
        <f>IF(F97&lt;&gt;0,VLOOKUP($J97,'Table 1'!$B$13:$C$33,2,FALSE)/12*1000*Study_MW,0)</f>
        <v>0</v>
      </c>
      <c r="E97" s="70">
        <f t="shared" si="37"/>
        <v>0</v>
      </c>
      <c r="F97" s="69">
        <f>INDEX([10]Delta!$F$1:$EE$997,$L$14,$I97)</f>
        <v>0</v>
      </c>
      <c r="G97" s="72" t="e">
        <f t="shared" si="38"/>
        <v>#DIV/0!</v>
      </c>
      <c r="I97" s="60">
        <f>I85+13</f>
        <v>92</v>
      </c>
      <c r="J97" s="73">
        <f t="shared" si="39"/>
        <v>2027</v>
      </c>
      <c r="K97" s="74" t="str">
        <f t="shared" si="41"/>
        <v/>
      </c>
    </row>
    <row r="98" spans="2:11" hidden="1" outlineLevel="1">
      <c r="B98" s="78">
        <f t="shared" si="36"/>
        <v>46419</v>
      </c>
      <c r="C98" s="75">
        <f>IF(F98&lt;&gt;0,-INDEX([10]Delta!$F$1:$EE$997,$L$13,$I98),0)</f>
        <v>0</v>
      </c>
      <c r="D98" s="71">
        <f>IF(F98&lt;&gt;0,VLOOKUP($J98,'Table 1'!$B$13:$C$33,2,FALSE)/12*1000*Study_MW,0)</f>
        <v>0</v>
      </c>
      <c r="E98" s="71">
        <f t="shared" si="37"/>
        <v>0</v>
      </c>
      <c r="F98" s="75">
        <f>INDEX([10]Delta!$F$1:$EE$997,$L$14,$I98)</f>
        <v>0</v>
      </c>
      <c r="G98" s="76" t="e">
        <f t="shared" si="38"/>
        <v>#DIV/0!</v>
      </c>
      <c r="I98" s="77">
        <f t="shared" ref="I98:I120" si="42">I86+13</f>
        <v>93</v>
      </c>
      <c r="J98" s="73">
        <f t="shared" si="39"/>
        <v>2027</v>
      </c>
      <c r="K98" s="78" t="str">
        <f t="shared" si="41"/>
        <v/>
      </c>
    </row>
    <row r="99" spans="2:11" hidden="1" outlineLevel="1">
      <c r="B99" s="78">
        <f t="shared" si="36"/>
        <v>46447</v>
      </c>
      <c r="C99" s="75">
        <f>IF(F99&lt;&gt;0,-INDEX([10]Delta!$F$1:$EE$997,$L$13,$I99),0)</f>
        <v>0</v>
      </c>
      <c r="D99" s="71">
        <f>IF(F99&lt;&gt;0,VLOOKUP($J99,'Table 1'!$B$13:$C$33,2,FALSE)/12*1000*Study_MW,0)</f>
        <v>0</v>
      </c>
      <c r="E99" s="71">
        <f t="shared" si="37"/>
        <v>0</v>
      </c>
      <c r="F99" s="75">
        <f>INDEX([10]Delta!$F$1:$EE$997,$L$14,$I99)</f>
        <v>0</v>
      </c>
      <c r="G99" s="76" t="e">
        <f t="shared" si="38"/>
        <v>#DIV/0!</v>
      </c>
      <c r="I99" s="77">
        <f t="shared" si="42"/>
        <v>94</v>
      </c>
      <c r="J99" s="73">
        <f t="shared" si="39"/>
        <v>2027</v>
      </c>
      <c r="K99" s="78" t="str">
        <f t="shared" si="41"/>
        <v/>
      </c>
    </row>
    <row r="100" spans="2:11" hidden="1" outlineLevel="1">
      <c r="B100" s="78">
        <f t="shared" si="36"/>
        <v>46478</v>
      </c>
      <c r="C100" s="75">
        <f>IF(F100&lt;&gt;0,-INDEX([10]Delta!$F$1:$EE$997,$L$13,$I100),0)</f>
        <v>0</v>
      </c>
      <c r="D100" s="71">
        <f>IF(F100&lt;&gt;0,VLOOKUP($J100,'Table 1'!$B$13:$C$33,2,FALSE)/12*1000*Study_MW,0)</f>
        <v>0</v>
      </c>
      <c r="E100" s="71">
        <f t="shared" si="37"/>
        <v>0</v>
      </c>
      <c r="F100" s="75">
        <f>INDEX([10]Delta!$F$1:$EE$997,$L$14,$I100)</f>
        <v>0</v>
      </c>
      <c r="G100" s="76" t="e">
        <f t="shared" si="38"/>
        <v>#DIV/0!</v>
      </c>
      <c r="I100" s="77">
        <f t="shared" si="42"/>
        <v>95</v>
      </c>
      <c r="J100" s="73">
        <f t="shared" si="39"/>
        <v>2027</v>
      </c>
      <c r="K100" s="78" t="str">
        <f t="shared" si="41"/>
        <v/>
      </c>
    </row>
    <row r="101" spans="2:11" hidden="1" outlineLevel="1">
      <c r="B101" s="78">
        <f t="shared" si="36"/>
        <v>46508</v>
      </c>
      <c r="C101" s="75">
        <f>IF(F101&lt;&gt;0,-INDEX([10]Delta!$F$1:$EE$997,$L$13,$I101),0)</f>
        <v>0</v>
      </c>
      <c r="D101" s="71">
        <f>IF(F101&lt;&gt;0,VLOOKUP($J101,'Table 1'!$B$13:$C$33,2,FALSE)/12*1000*Study_MW,0)</f>
        <v>0</v>
      </c>
      <c r="E101" s="71">
        <f t="shared" si="37"/>
        <v>0</v>
      </c>
      <c r="F101" s="75">
        <f>INDEX([10]Delta!$F$1:$EE$997,$L$14,$I101)</f>
        <v>0</v>
      </c>
      <c r="G101" s="76" t="e">
        <f t="shared" si="38"/>
        <v>#DIV/0!</v>
      </c>
      <c r="I101" s="77">
        <f t="shared" si="42"/>
        <v>96</v>
      </c>
      <c r="J101" s="73">
        <f t="shared" si="39"/>
        <v>2027</v>
      </c>
      <c r="K101" s="78" t="str">
        <f t="shared" si="41"/>
        <v/>
      </c>
    </row>
    <row r="102" spans="2:11" hidden="1" outlineLevel="1">
      <c r="B102" s="78">
        <f t="shared" si="36"/>
        <v>46539</v>
      </c>
      <c r="C102" s="75">
        <f>IF(F102&lt;&gt;0,-INDEX([10]Delta!$F$1:$EE$997,$L$13,$I102),0)</f>
        <v>0</v>
      </c>
      <c r="D102" s="71">
        <f>IF(F102&lt;&gt;0,VLOOKUP($J102,'Table 1'!$B$13:$C$33,2,FALSE)/12*1000*Study_MW,0)</f>
        <v>0</v>
      </c>
      <c r="E102" s="71">
        <f t="shared" si="37"/>
        <v>0</v>
      </c>
      <c r="F102" s="75">
        <f>INDEX([10]Delta!$F$1:$EE$997,$L$14,$I102)</f>
        <v>0</v>
      </c>
      <c r="G102" s="76" t="e">
        <f t="shared" si="38"/>
        <v>#DIV/0!</v>
      </c>
      <c r="I102" s="77">
        <f t="shared" si="42"/>
        <v>97</v>
      </c>
      <c r="J102" s="73">
        <f t="shared" si="39"/>
        <v>2027</v>
      </c>
      <c r="K102" s="78" t="str">
        <f t="shared" si="41"/>
        <v/>
      </c>
    </row>
    <row r="103" spans="2:11" hidden="1" outlineLevel="1">
      <c r="B103" s="78">
        <f t="shared" si="36"/>
        <v>46569</v>
      </c>
      <c r="C103" s="75">
        <f>IF(F103&lt;&gt;0,-INDEX([10]Delta!$F$1:$EE$997,$L$13,$I103),0)</f>
        <v>0</v>
      </c>
      <c r="D103" s="71">
        <f>IF(F103&lt;&gt;0,VLOOKUP($J103,'Table 1'!$B$13:$C$33,2,FALSE)/12*1000*Study_MW,0)</f>
        <v>0</v>
      </c>
      <c r="E103" s="71">
        <f t="shared" si="37"/>
        <v>0</v>
      </c>
      <c r="F103" s="75">
        <f>INDEX([10]Delta!$F$1:$EE$997,$L$14,$I103)</f>
        <v>0</v>
      </c>
      <c r="G103" s="76" t="e">
        <f t="shared" si="38"/>
        <v>#DIV/0!</v>
      </c>
      <c r="I103" s="77">
        <f t="shared" si="42"/>
        <v>98</v>
      </c>
      <c r="J103" s="73">
        <f t="shared" si="39"/>
        <v>2027</v>
      </c>
      <c r="K103" s="78" t="str">
        <f t="shared" si="41"/>
        <v/>
      </c>
    </row>
    <row r="104" spans="2:11" hidden="1" outlineLevel="1">
      <c r="B104" s="78">
        <f t="shared" si="36"/>
        <v>46600</v>
      </c>
      <c r="C104" s="75">
        <f>IF(F104&lt;&gt;0,-INDEX([10]Delta!$F$1:$EE$997,$L$13,$I104),0)</f>
        <v>0</v>
      </c>
      <c r="D104" s="71">
        <f>IF(F104&lt;&gt;0,VLOOKUP($J104,'Table 1'!$B$13:$C$33,2,FALSE)/12*1000*Study_MW,0)</f>
        <v>0</v>
      </c>
      <c r="E104" s="71">
        <f t="shared" si="37"/>
        <v>0</v>
      </c>
      <c r="F104" s="75">
        <f>INDEX([10]Delta!$F$1:$EE$997,$L$14,$I104)</f>
        <v>0</v>
      </c>
      <c r="G104" s="76" t="e">
        <f t="shared" si="38"/>
        <v>#DIV/0!</v>
      </c>
      <c r="I104" s="77">
        <f t="shared" si="42"/>
        <v>99</v>
      </c>
      <c r="J104" s="73">
        <f t="shared" si="39"/>
        <v>2027</v>
      </c>
      <c r="K104" s="78" t="str">
        <f t="shared" si="41"/>
        <v/>
      </c>
    </row>
    <row r="105" spans="2:11" hidden="1" outlineLevel="1">
      <c r="B105" s="78">
        <f t="shared" si="36"/>
        <v>46631</v>
      </c>
      <c r="C105" s="75">
        <f>IF(F105&lt;&gt;0,-INDEX([10]Delta!$F$1:$EE$997,$L$13,$I105),0)</f>
        <v>0</v>
      </c>
      <c r="D105" s="71">
        <f>IF(F105&lt;&gt;0,VLOOKUP($J105,'Table 1'!$B$13:$C$33,2,FALSE)/12*1000*Study_MW,0)</f>
        <v>0</v>
      </c>
      <c r="E105" s="71">
        <f t="shared" si="37"/>
        <v>0</v>
      </c>
      <c r="F105" s="75">
        <f>INDEX([10]Delta!$F$1:$EE$997,$L$14,$I105)</f>
        <v>0</v>
      </c>
      <c r="G105" s="76" t="e">
        <f t="shared" si="38"/>
        <v>#DIV/0!</v>
      </c>
      <c r="I105" s="77">
        <f t="shared" si="42"/>
        <v>100</v>
      </c>
      <c r="J105" s="73">
        <f t="shared" si="39"/>
        <v>2027</v>
      </c>
      <c r="K105" s="78" t="str">
        <f t="shared" si="41"/>
        <v/>
      </c>
    </row>
    <row r="106" spans="2:11" hidden="1" outlineLevel="1">
      <c r="B106" s="78">
        <f t="shared" si="36"/>
        <v>46661</v>
      </c>
      <c r="C106" s="75">
        <f>IF(F106&lt;&gt;0,-INDEX([10]Delta!$F$1:$EE$997,$L$13,$I106),0)</f>
        <v>0</v>
      </c>
      <c r="D106" s="71">
        <f>IF(F106&lt;&gt;0,VLOOKUP($J106,'Table 1'!$B$13:$C$33,2,FALSE)/12*1000*Study_MW,0)</f>
        <v>0</v>
      </c>
      <c r="E106" s="71">
        <f t="shared" si="37"/>
        <v>0</v>
      </c>
      <c r="F106" s="75">
        <f>INDEX([10]Delta!$F$1:$EE$997,$L$14,$I106)</f>
        <v>0</v>
      </c>
      <c r="G106" s="76" t="e">
        <f t="shared" si="38"/>
        <v>#DIV/0!</v>
      </c>
      <c r="I106" s="77">
        <f t="shared" si="42"/>
        <v>101</v>
      </c>
      <c r="J106" s="73">
        <f t="shared" si="39"/>
        <v>2027</v>
      </c>
      <c r="K106" s="78" t="str">
        <f t="shared" si="41"/>
        <v/>
      </c>
    </row>
    <row r="107" spans="2:11" hidden="1" outlineLevel="1">
      <c r="B107" s="78">
        <f t="shared" si="36"/>
        <v>46692</v>
      </c>
      <c r="C107" s="75">
        <f>IF(F107&lt;&gt;0,-INDEX([10]Delta!$F$1:$EE$997,$L$13,$I107),0)</f>
        <v>0</v>
      </c>
      <c r="D107" s="71">
        <f>IF(F107&lt;&gt;0,VLOOKUP($J107,'Table 1'!$B$13:$C$33,2,FALSE)/12*1000*Study_MW,0)</f>
        <v>0</v>
      </c>
      <c r="E107" s="71">
        <f t="shared" si="37"/>
        <v>0</v>
      </c>
      <c r="F107" s="75">
        <f>INDEX([10]Delta!$F$1:$EE$997,$L$14,$I107)</f>
        <v>0</v>
      </c>
      <c r="G107" s="76" t="e">
        <f t="shared" si="38"/>
        <v>#DIV/0!</v>
      </c>
      <c r="I107" s="77">
        <f t="shared" si="42"/>
        <v>102</v>
      </c>
      <c r="J107" s="73">
        <f t="shared" si="39"/>
        <v>2027</v>
      </c>
      <c r="K107" s="78" t="str">
        <f t="shared" si="41"/>
        <v/>
      </c>
    </row>
    <row r="108" spans="2:11" hidden="1" outlineLevel="1">
      <c r="B108" s="82">
        <f t="shared" si="36"/>
        <v>46722</v>
      </c>
      <c r="C108" s="79">
        <f>IF(F108&lt;&gt;0,-INDEX([10]Delta!$F$1:$EE$997,$L$13,$I108),0)</f>
        <v>0</v>
      </c>
      <c r="D108" s="80">
        <f>IF(F108&lt;&gt;0,VLOOKUP($J108,'Table 1'!$B$13:$C$33,2,FALSE)/12*1000*Study_MW,0)</f>
        <v>0</v>
      </c>
      <c r="E108" s="80">
        <f t="shared" si="37"/>
        <v>0</v>
      </c>
      <c r="F108" s="79">
        <f>INDEX([10]Delta!$F$1:$EE$997,$L$14,$I108)</f>
        <v>0</v>
      </c>
      <c r="G108" s="81" t="e">
        <f t="shared" si="38"/>
        <v>#DIV/0!</v>
      </c>
      <c r="I108" s="64">
        <f t="shared" si="42"/>
        <v>103</v>
      </c>
      <c r="J108" s="73">
        <f t="shared" si="39"/>
        <v>2027</v>
      </c>
      <c r="K108" s="82" t="str">
        <f t="shared" si="41"/>
        <v/>
      </c>
    </row>
    <row r="109" spans="2:11" hidden="1" outlineLevel="1">
      <c r="B109" s="74">
        <f t="shared" si="36"/>
        <v>46753</v>
      </c>
      <c r="C109" s="69">
        <f>IF(F109&lt;&gt;0,-INDEX([10]Delta!$F$1:$EE$997,$L$13,$I109),0)</f>
        <v>0</v>
      </c>
      <c r="D109" s="70">
        <f>IF(F109&lt;&gt;0,VLOOKUP($J109,'Table 1'!$B$13:$C$33,2,FALSE)/12*1000*Study_MW,0)</f>
        <v>0</v>
      </c>
      <c r="E109" s="70">
        <f t="shared" si="37"/>
        <v>0</v>
      </c>
      <c r="F109" s="69">
        <f>INDEX([10]Delta!$F$1:$EE$997,$L$14,$I109)</f>
        <v>0</v>
      </c>
      <c r="G109" s="72" t="e">
        <f t="shared" si="38"/>
        <v>#DIV/0!</v>
      </c>
      <c r="I109" s="60">
        <f>I97+13</f>
        <v>105</v>
      </c>
      <c r="J109" s="73">
        <f t="shared" si="39"/>
        <v>2028</v>
      </c>
      <c r="K109" s="74" t="str">
        <f t="shared" si="41"/>
        <v/>
      </c>
    </row>
    <row r="110" spans="2:11" hidden="1" outlineLevel="1">
      <c r="B110" s="78">
        <f t="shared" si="36"/>
        <v>46784</v>
      </c>
      <c r="C110" s="75">
        <f>IF(F110&lt;&gt;0,-INDEX([10]Delta!$F$1:$EE$997,$L$13,$I110),0)</f>
        <v>0</v>
      </c>
      <c r="D110" s="71">
        <f>IF(F110&lt;&gt;0,VLOOKUP($J110,'Table 1'!$B$13:$C$33,2,FALSE)/12*1000*Study_MW,0)</f>
        <v>0</v>
      </c>
      <c r="E110" s="71">
        <f t="shared" si="37"/>
        <v>0</v>
      </c>
      <c r="F110" s="75">
        <f>INDEX([10]Delta!$F$1:$EE$997,$L$14,$I110)</f>
        <v>0</v>
      </c>
      <c r="G110" s="76" t="e">
        <f t="shared" si="38"/>
        <v>#DIV/0!</v>
      </c>
      <c r="I110" s="77">
        <f t="shared" si="42"/>
        <v>106</v>
      </c>
      <c r="J110" s="73">
        <f t="shared" si="39"/>
        <v>2028</v>
      </c>
      <c r="K110" s="78" t="str">
        <f t="shared" si="41"/>
        <v/>
      </c>
    </row>
    <row r="111" spans="2:11" hidden="1" outlineLevel="1">
      <c r="B111" s="78">
        <f t="shared" si="36"/>
        <v>46813</v>
      </c>
      <c r="C111" s="75">
        <f>IF(F111&lt;&gt;0,-INDEX([10]Delta!$F$1:$EE$997,$L$13,$I111),0)</f>
        <v>0</v>
      </c>
      <c r="D111" s="71">
        <f>IF(F111&lt;&gt;0,VLOOKUP($J111,'Table 1'!$B$13:$C$33,2,FALSE)/12*1000*Study_MW,0)</f>
        <v>0</v>
      </c>
      <c r="E111" s="71">
        <f t="shared" si="37"/>
        <v>0</v>
      </c>
      <c r="F111" s="75">
        <f>INDEX([10]Delta!$F$1:$EE$997,$L$14,$I111)</f>
        <v>0</v>
      </c>
      <c r="G111" s="76" t="e">
        <f t="shared" si="38"/>
        <v>#DIV/0!</v>
      </c>
      <c r="I111" s="77">
        <f t="shared" si="42"/>
        <v>107</v>
      </c>
      <c r="J111" s="73">
        <f t="shared" si="39"/>
        <v>2028</v>
      </c>
      <c r="K111" s="78" t="str">
        <f t="shared" si="41"/>
        <v/>
      </c>
    </row>
    <row r="112" spans="2:11" hidden="1" outlineLevel="1">
      <c r="B112" s="78">
        <f t="shared" si="36"/>
        <v>46844</v>
      </c>
      <c r="C112" s="75">
        <f>IF(F112&lt;&gt;0,-INDEX([10]Delta!$F$1:$EE$997,$L$13,$I112),0)</f>
        <v>0</v>
      </c>
      <c r="D112" s="71">
        <f>IF(F112&lt;&gt;0,VLOOKUP($J112,'Table 1'!$B$13:$C$33,2,FALSE)/12*1000*Study_MW,0)</f>
        <v>0</v>
      </c>
      <c r="E112" s="71">
        <f t="shared" si="37"/>
        <v>0</v>
      </c>
      <c r="F112" s="75">
        <f>INDEX([10]Delta!$F$1:$EE$997,$L$14,$I112)</f>
        <v>0</v>
      </c>
      <c r="G112" s="76" t="e">
        <f t="shared" si="38"/>
        <v>#DIV/0!</v>
      </c>
      <c r="I112" s="77">
        <f t="shared" si="42"/>
        <v>108</v>
      </c>
      <c r="J112" s="73">
        <f t="shared" si="39"/>
        <v>2028</v>
      </c>
      <c r="K112" s="78" t="str">
        <f t="shared" si="41"/>
        <v/>
      </c>
    </row>
    <row r="113" spans="2:11" hidden="1" outlineLevel="1">
      <c r="B113" s="78">
        <f t="shared" si="36"/>
        <v>46874</v>
      </c>
      <c r="C113" s="75">
        <f>IF(F113&lt;&gt;0,-INDEX([10]Delta!$F$1:$EE$997,$L$13,$I113),0)</f>
        <v>0</v>
      </c>
      <c r="D113" s="71">
        <f>IF(F113&lt;&gt;0,VLOOKUP($J113,'Table 1'!$B$13:$C$33,2,FALSE)/12*1000*Study_MW,0)</f>
        <v>0</v>
      </c>
      <c r="E113" s="71">
        <f t="shared" si="37"/>
        <v>0</v>
      </c>
      <c r="F113" s="75">
        <f>INDEX([10]Delta!$F$1:$EE$997,$L$14,$I113)</f>
        <v>0</v>
      </c>
      <c r="G113" s="76" t="e">
        <f t="shared" si="38"/>
        <v>#DIV/0!</v>
      </c>
      <c r="I113" s="77">
        <f t="shared" si="42"/>
        <v>109</v>
      </c>
      <c r="J113" s="73">
        <f t="shared" si="39"/>
        <v>2028</v>
      </c>
      <c r="K113" s="78" t="str">
        <f t="shared" si="41"/>
        <v/>
      </c>
    </row>
    <row r="114" spans="2:11" hidden="1" outlineLevel="1">
      <c r="B114" s="78">
        <f t="shared" si="36"/>
        <v>46905</v>
      </c>
      <c r="C114" s="75">
        <f>IF(F114&lt;&gt;0,-INDEX([10]Delta!$F$1:$EE$997,$L$13,$I114),0)</f>
        <v>0</v>
      </c>
      <c r="D114" s="71">
        <f>IF(F114&lt;&gt;0,VLOOKUP($J114,'Table 1'!$B$13:$C$33,2,FALSE)/12*1000*Study_MW,0)</f>
        <v>0</v>
      </c>
      <c r="E114" s="71">
        <f t="shared" si="37"/>
        <v>0</v>
      </c>
      <c r="F114" s="75">
        <f>INDEX([10]Delta!$F$1:$EE$997,$L$14,$I114)</f>
        <v>0</v>
      </c>
      <c r="G114" s="76" t="e">
        <f t="shared" si="38"/>
        <v>#DIV/0!</v>
      </c>
      <c r="I114" s="77">
        <f t="shared" si="42"/>
        <v>110</v>
      </c>
      <c r="J114" s="73">
        <f t="shared" si="39"/>
        <v>2028</v>
      </c>
      <c r="K114" s="78" t="str">
        <f t="shared" si="41"/>
        <v/>
      </c>
    </row>
    <row r="115" spans="2:11" hidden="1" outlineLevel="1">
      <c r="B115" s="78">
        <f t="shared" si="36"/>
        <v>46935</v>
      </c>
      <c r="C115" s="75">
        <f>IF(F115&lt;&gt;0,-INDEX([10]Delta!$F$1:$EE$997,$L$13,$I115),0)</f>
        <v>0</v>
      </c>
      <c r="D115" s="71">
        <f>IF(F115&lt;&gt;0,VLOOKUP($J115,'Table 1'!$B$13:$C$33,2,FALSE)/12*1000*Study_MW,0)</f>
        <v>0</v>
      </c>
      <c r="E115" s="71">
        <f t="shared" si="37"/>
        <v>0</v>
      </c>
      <c r="F115" s="75">
        <f>INDEX([10]Delta!$F$1:$EE$997,$L$14,$I115)</f>
        <v>0</v>
      </c>
      <c r="G115" s="76" t="e">
        <f t="shared" si="38"/>
        <v>#DIV/0!</v>
      </c>
      <c r="I115" s="77">
        <f t="shared" si="42"/>
        <v>111</v>
      </c>
      <c r="J115" s="73">
        <f t="shared" si="39"/>
        <v>2028</v>
      </c>
      <c r="K115" s="78" t="str">
        <f t="shared" si="41"/>
        <v/>
      </c>
    </row>
    <row r="116" spans="2:11" hidden="1" outlineLevel="1">
      <c r="B116" s="78">
        <f t="shared" si="36"/>
        <v>46966</v>
      </c>
      <c r="C116" s="75">
        <f>IF(F116&lt;&gt;0,-INDEX([10]Delta!$F$1:$EE$997,$L$13,$I116),0)</f>
        <v>0</v>
      </c>
      <c r="D116" s="71">
        <f>IF(F116&lt;&gt;0,VLOOKUP($J116,'Table 1'!$B$13:$C$33,2,FALSE)/12*1000*Study_MW,0)</f>
        <v>0</v>
      </c>
      <c r="E116" s="71">
        <f t="shared" si="37"/>
        <v>0</v>
      </c>
      <c r="F116" s="75">
        <f>INDEX([10]Delta!$F$1:$EE$997,$L$14,$I116)</f>
        <v>0</v>
      </c>
      <c r="G116" s="76" t="e">
        <f t="shared" si="38"/>
        <v>#DIV/0!</v>
      </c>
      <c r="I116" s="77">
        <f t="shared" si="42"/>
        <v>112</v>
      </c>
      <c r="J116" s="73">
        <f t="shared" si="39"/>
        <v>2028</v>
      </c>
      <c r="K116" s="78" t="str">
        <f t="shared" si="41"/>
        <v/>
      </c>
    </row>
    <row r="117" spans="2:11" hidden="1" outlineLevel="1">
      <c r="B117" s="78">
        <f t="shared" si="36"/>
        <v>46997</v>
      </c>
      <c r="C117" s="75">
        <f>IF(F117&lt;&gt;0,-INDEX([10]Delta!$F$1:$EE$997,$L$13,$I117),0)</f>
        <v>0</v>
      </c>
      <c r="D117" s="71">
        <f>IF(F117&lt;&gt;0,VLOOKUP($J117,'Table 1'!$B$13:$C$33,2,FALSE)/12*1000*Study_MW,0)</f>
        <v>0</v>
      </c>
      <c r="E117" s="71">
        <f t="shared" si="37"/>
        <v>0</v>
      </c>
      <c r="F117" s="75">
        <f>INDEX([10]Delta!$F$1:$EE$997,$L$14,$I117)</f>
        <v>0</v>
      </c>
      <c r="G117" s="76" t="e">
        <f t="shared" si="38"/>
        <v>#DIV/0!</v>
      </c>
      <c r="I117" s="77">
        <f t="shared" si="42"/>
        <v>113</v>
      </c>
      <c r="J117" s="73">
        <f t="shared" si="39"/>
        <v>2028</v>
      </c>
      <c r="K117" s="78" t="str">
        <f t="shared" si="41"/>
        <v/>
      </c>
    </row>
    <row r="118" spans="2:11" hidden="1" outlineLevel="1">
      <c r="B118" s="78">
        <f t="shared" si="36"/>
        <v>47027</v>
      </c>
      <c r="C118" s="75">
        <f>IF(F118&lt;&gt;0,-INDEX([10]Delta!$F$1:$EE$997,$L$13,$I118),0)</f>
        <v>0</v>
      </c>
      <c r="D118" s="71">
        <f>IF(F118&lt;&gt;0,VLOOKUP($J118,'Table 1'!$B$13:$C$33,2,FALSE)/12*1000*Study_MW,0)</f>
        <v>0</v>
      </c>
      <c r="E118" s="71">
        <f t="shared" si="37"/>
        <v>0</v>
      </c>
      <c r="F118" s="75">
        <f>INDEX([10]Delta!$F$1:$EE$997,$L$14,$I118)</f>
        <v>0</v>
      </c>
      <c r="G118" s="76" t="e">
        <f t="shared" si="38"/>
        <v>#DIV/0!</v>
      </c>
      <c r="I118" s="77">
        <f t="shared" si="42"/>
        <v>114</v>
      </c>
      <c r="J118" s="73">
        <f t="shared" si="39"/>
        <v>2028</v>
      </c>
      <c r="K118" s="78" t="str">
        <f t="shared" si="41"/>
        <v/>
      </c>
    </row>
    <row r="119" spans="2:11" hidden="1" outlineLevel="1">
      <c r="B119" s="78">
        <f t="shared" si="36"/>
        <v>47058</v>
      </c>
      <c r="C119" s="75">
        <f>IF(F119&lt;&gt;0,-INDEX([10]Delta!$F$1:$EE$997,$L$13,$I119),0)</f>
        <v>0</v>
      </c>
      <c r="D119" s="71">
        <f>IF(F119&lt;&gt;0,VLOOKUP($J119,'Table 1'!$B$13:$C$33,2,FALSE)/12*1000*Study_MW,0)</f>
        <v>0</v>
      </c>
      <c r="E119" s="71">
        <f t="shared" si="37"/>
        <v>0</v>
      </c>
      <c r="F119" s="75">
        <f>INDEX([10]Delta!$F$1:$EE$997,$L$14,$I119)</f>
        <v>0</v>
      </c>
      <c r="G119" s="76" t="e">
        <f t="shared" si="38"/>
        <v>#DIV/0!</v>
      </c>
      <c r="I119" s="77">
        <f t="shared" si="42"/>
        <v>115</v>
      </c>
      <c r="J119" s="73">
        <f t="shared" si="39"/>
        <v>2028</v>
      </c>
      <c r="K119" s="78" t="str">
        <f t="shared" si="41"/>
        <v/>
      </c>
    </row>
    <row r="120" spans="2:11" hidden="1" outlineLevel="1">
      <c r="B120" s="82">
        <f t="shared" si="36"/>
        <v>47088</v>
      </c>
      <c r="C120" s="79">
        <f>IF(F120&lt;&gt;0,-INDEX([10]Delta!$F$1:$EE$997,$L$13,$I120),0)</f>
        <v>0</v>
      </c>
      <c r="D120" s="80">
        <f>IF(F120&lt;&gt;0,VLOOKUP($J120,'Table 1'!$B$13:$C$33,2,FALSE)/12*1000*Study_MW,0)</f>
        <v>0</v>
      </c>
      <c r="E120" s="80">
        <f t="shared" si="37"/>
        <v>0</v>
      </c>
      <c r="F120" s="79">
        <f>INDEX([10]Delta!$F$1:$EE$997,$L$14,$I120)</f>
        <v>0</v>
      </c>
      <c r="G120" s="81" t="e">
        <f t="shared" si="38"/>
        <v>#DIV/0!</v>
      </c>
      <c r="I120" s="64">
        <f t="shared" si="42"/>
        <v>116</v>
      </c>
      <c r="J120" s="73">
        <f t="shared" si="39"/>
        <v>2028</v>
      </c>
      <c r="K120" s="82" t="str">
        <f t="shared" si="41"/>
        <v/>
      </c>
    </row>
    <row r="121" spans="2:11" hidden="1" outlineLevel="1">
      <c r="B121" s="74">
        <f t="shared" si="36"/>
        <v>47119</v>
      </c>
      <c r="C121" s="69">
        <f>IF(F121&lt;&gt;0,-INDEX([10]Delta!$F$1:$EE$997,$L$13,$I121),0)</f>
        <v>0</v>
      </c>
      <c r="D121" s="70">
        <f>IF(F121&lt;&gt;0,VLOOKUP($J121,'Table 1'!$B$13:$C$33,2,FALSE)/12*1000*Study_MW,0)</f>
        <v>0</v>
      </c>
      <c r="E121" s="70">
        <f t="shared" si="37"/>
        <v>0</v>
      </c>
      <c r="F121" s="69">
        <f>INDEX([10]Delta!$F$1:$EE$997,$L$14,$I121)</f>
        <v>0</v>
      </c>
      <c r="G121" s="72" t="e">
        <f t="shared" si="38"/>
        <v>#DIV/0!</v>
      </c>
      <c r="I121" s="60">
        <f>I109+13</f>
        <v>118</v>
      </c>
      <c r="J121" s="73">
        <f t="shared" si="39"/>
        <v>2029</v>
      </c>
      <c r="K121" s="74" t="str">
        <f t="shared" si="41"/>
        <v/>
      </c>
    </row>
    <row r="122" spans="2:11" hidden="1" outlineLevel="1">
      <c r="B122" s="78">
        <f t="shared" si="36"/>
        <v>47150</v>
      </c>
      <c r="C122" s="75">
        <f>IF(F122&lt;&gt;0,-INDEX([10]Delta!$F$1:$EE$997,$L$13,$I122),0)</f>
        <v>0</v>
      </c>
      <c r="D122" s="71">
        <f>IF(F122&lt;&gt;0,VLOOKUP($J122,'Table 1'!$B$13:$C$33,2,FALSE)/12*1000*Study_MW,0)</f>
        <v>0</v>
      </c>
      <c r="E122" s="71">
        <f t="shared" si="37"/>
        <v>0</v>
      </c>
      <c r="F122" s="75">
        <f>INDEX([10]Delta!$F$1:$EE$997,$L$14,$I122)</f>
        <v>0</v>
      </c>
      <c r="G122" s="76" t="e">
        <f t="shared" si="38"/>
        <v>#DIV/0!</v>
      </c>
      <c r="I122" s="77">
        <f t="shared" ref="I122:I132" si="43">I110+13</f>
        <v>119</v>
      </c>
      <c r="J122" s="73">
        <f t="shared" si="39"/>
        <v>2029</v>
      </c>
      <c r="K122" s="78" t="str">
        <f t="shared" si="41"/>
        <v/>
      </c>
    </row>
    <row r="123" spans="2:11" hidden="1" outlineLevel="1">
      <c r="B123" s="78">
        <f t="shared" si="36"/>
        <v>47178</v>
      </c>
      <c r="C123" s="75">
        <f>IF(F123&lt;&gt;0,-INDEX([10]Delta!$F$1:$EE$997,$L$13,$I123),0)</f>
        <v>0</v>
      </c>
      <c r="D123" s="71">
        <f>IF(F123&lt;&gt;0,VLOOKUP($J123,'Table 1'!$B$13:$C$33,2,FALSE)/12*1000*Study_MW,0)</f>
        <v>0</v>
      </c>
      <c r="E123" s="71">
        <f t="shared" si="37"/>
        <v>0</v>
      </c>
      <c r="F123" s="75">
        <f>INDEX([10]Delta!$F$1:$EE$997,$L$14,$I123)</f>
        <v>0</v>
      </c>
      <c r="G123" s="76" t="e">
        <f t="shared" si="38"/>
        <v>#DIV/0!</v>
      </c>
      <c r="I123" s="77">
        <f t="shared" si="43"/>
        <v>120</v>
      </c>
      <c r="J123" s="73">
        <f t="shared" si="39"/>
        <v>2029</v>
      </c>
      <c r="K123" s="78" t="str">
        <f t="shared" si="41"/>
        <v/>
      </c>
    </row>
    <row r="124" spans="2:11" hidden="1" outlineLevel="1">
      <c r="B124" s="78">
        <f t="shared" si="36"/>
        <v>47209</v>
      </c>
      <c r="C124" s="75">
        <f>IF(F124&lt;&gt;0,-INDEX([10]Delta!$F$1:$EE$997,$L$13,$I124),0)</f>
        <v>0</v>
      </c>
      <c r="D124" s="71">
        <f>IF(F124&lt;&gt;0,VLOOKUP($J124,'Table 1'!$B$13:$C$33,2,FALSE)/12*1000*Study_MW,0)</f>
        <v>0</v>
      </c>
      <c r="E124" s="71">
        <f t="shared" si="37"/>
        <v>0</v>
      </c>
      <c r="F124" s="75">
        <f>INDEX([10]Delta!$F$1:$EE$997,$L$14,$I124)</f>
        <v>0</v>
      </c>
      <c r="G124" s="76" t="e">
        <f t="shared" si="38"/>
        <v>#DIV/0!</v>
      </c>
      <c r="I124" s="77">
        <f t="shared" si="43"/>
        <v>121</v>
      </c>
      <c r="J124" s="73">
        <f t="shared" si="39"/>
        <v>2029</v>
      </c>
      <c r="K124" s="78" t="str">
        <f t="shared" si="41"/>
        <v/>
      </c>
    </row>
    <row r="125" spans="2:11" hidden="1" outlineLevel="1">
      <c r="B125" s="78">
        <f t="shared" si="36"/>
        <v>47239</v>
      </c>
      <c r="C125" s="75">
        <f>IF(F125&lt;&gt;0,-INDEX([10]Delta!$F$1:$EE$997,$L$13,$I125),0)</f>
        <v>0</v>
      </c>
      <c r="D125" s="71">
        <f>IF(F125&lt;&gt;0,VLOOKUP($J125,'Table 1'!$B$13:$C$33,2,FALSE)/12*1000*Study_MW,0)</f>
        <v>0</v>
      </c>
      <c r="E125" s="71">
        <f t="shared" si="37"/>
        <v>0</v>
      </c>
      <c r="F125" s="75">
        <f>INDEX([10]Delta!$F$1:$EE$997,$L$14,$I125)</f>
        <v>0</v>
      </c>
      <c r="G125" s="76" t="e">
        <f t="shared" si="38"/>
        <v>#DIV/0!</v>
      </c>
      <c r="I125" s="77">
        <f t="shared" si="43"/>
        <v>122</v>
      </c>
      <c r="J125" s="73">
        <f t="shared" si="39"/>
        <v>2029</v>
      </c>
      <c r="K125" s="78" t="str">
        <f t="shared" si="41"/>
        <v/>
      </c>
    </row>
    <row r="126" spans="2:11" hidden="1" outlineLevel="1">
      <c r="B126" s="78">
        <f t="shared" si="36"/>
        <v>47270</v>
      </c>
      <c r="C126" s="75">
        <f>IF(F126&lt;&gt;0,-INDEX([10]Delta!$F$1:$EE$997,$L$13,$I126),0)</f>
        <v>0</v>
      </c>
      <c r="D126" s="71">
        <f>IF(F126&lt;&gt;0,VLOOKUP($J126,'Table 1'!$B$13:$C$33,2,FALSE)/12*1000*Study_MW,0)</f>
        <v>0</v>
      </c>
      <c r="E126" s="71">
        <f t="shared" si="37"/>
        <v>0</v>
      </c>
      <c r="F126" s="75">
        <f>INDEX([10]Delta!$F$1:$EE$997,$L$14,$I126)</f>
        <v>0</v>
      </c>
      <c r="G126" s="76" t="e">
        <f t="shared" si="38"/>
        <v>#DIV/0!</v>
      </c>
      <c r="I126" s="77">
        <f t="shared" si="43"/>
        <v>123</v>
      </c>
      <c r="J126" s="73">
        <f t="shared" si="39"/>
        <v>2029</v>
      </c>
      <c r="K126" s="78" t="str">
        <f t="shared" si="41"/>
        <v/>
      </c>
    </row>
    <row r="127" spans="2:11" hidden="1" outlineLevel="1">
      <c r="B127" s="78">
        <f t="shared" si="36"/>
        <v>47300</v>
      </c>
      <c r="C127" s="75">
        <f>IF(F127&lt;&gt;0,-INDEX([10]Delta!$F$1:$EE$997,$L$13,$I127),0)</f>
        <v>0</v>
      </c>
      <c r="D127" s="71">
        <f>IF(F127&lt;&gt;0,VLOOKUP($J127,'Table 1'!$B$13:$C$33,2,FALSE)/12*1000*Study_MW,0)</f>
        <v>0</v>
      </c>
      <c r="E127" s="71">
        <f t="shared" si="37"/>
        <v>0</v>
      </c>
      <c r="F127" s="75">
        <f>INDEX([10]Delta!$F$1:$EE$997,$L$14,$I127)</f>
        <v>0</v>
      </c>
      <c r="G127" s="76" t="e">
        <f t="shared" si="38"/>
        <v>#DIV/0!</v>
      </c>
      <c r="I127" s="77">
        <f t="shared" si="43"/>
        <v>124</v>
      </c>
      <c r="J127" s="73">
        <f t="shared" si="39"/>
        <v>2029</v>
      </c>
      <c r="K127" s="78" t="str">
        <f t="shared" si="41"/>
        <v/>
      </c>
    </row>
    <row r="128" spans="2:11" hidden="1" outlineLevel="1">
      <c r="B128" s="78">
        <f t="shared" si="36"/>
        <v>47331</v>
      </c>
      <c r="C128" s="75">
        <f>IF(F128&lt;&gt;0,-INDEX([10]Delta!$F$1:$EE$997,$L$13,$I128),0)</f>
        <v>0</v>
      </c>
      <c r="D128" s="71">
        <f>IF(F128&lt;&gt;0,VLOOKUP($J128,'Table 1'!$B$13:$C$33,2,FALSE)/12*1000*Study_MW,0)</f>
        <v>0</v>
      </c>
      <c r="E128" s="71">
        <f t="shared" si="37"/>
        <v>0</v>
      </c>
      <c r="F128" s="75">
        <f>INDEX([10]Delta!$F$1:$EE$997,$L$14,$I128)</f>
        <v>0</v>
      </c>
      <c r="G128" s="76" t="e">
        <f t="shared" si="38"/>
        <v>#DIV/0!</v>
      </c>
      <c r="I128" s="77">
        <f t="shared" si="43"/>
        <v>125</v>
      </c>
      <c r="J128" s="73">
        <f t="shared" si="39"/>
        <v>2029</v>
      </c>
      <c r="K128" s="78" t="str">
        <f t="shared" si="41"/>
        <v/>
      </c>
    </row>
    <row r="129" spans="2:11" hidden="1" outlineLevel="1">
      <c r="B129" s="78">
        <f t="shared" si="36"/>
        <v>47362</v>
      </c>
      <c r="C129" s="75">
        <f>IF(F129&lt;&gt;0,-INDEX([10]Delta!$F$1:$EE$997,$L$13,$I129),0)</f>
        <v>0</v>
      </c>
      <c r="D129" s="71">
        <f>IF(F129&lt;&gt;0,VLOOKUP($J129,'Table 1'!$B$13:$C$33,2,FALSE)/12*1000*Study_MW,0)</f>
        <v>0</v>
      </c>
      <c r="E129" s="71">
        <f t="shared" si="37"/>
        <v>0</v>
      </c>
      <c r="F129" s="75">
        <f>INDEX([10]Delta!$F$1:$EE$997,$L$14,$I129)</f>
        <v>0</v>
      </c>
      <c r="G129" s="76" t="e">
        <f t="shared" si="38"/>
        <v>#DIV/0!</v>
      </c>
      <c r="I129" s="77">
        <f t="shared" si="43"/>
        <v>126</v>
      </c>
      <c r="J129" s="73">
        <f t="shared" si="39"/>
        <v>2029</v>
      </c>
      <c r="K129" s="78" t="str">
        <f t="shared" si="41"/>
        <v/>
      </c>
    </row>
    <row r="130" spans="2:11" hidden="1" outlineLevel="1">
      <c r="B130" s="78">
        <f t="shared" si="36"/>
        <v>47392</v>
      </c>
      <c r="C130" s="75">
        <f>IF(F130&lt;&gt;0,-INDEX([10]Delta!$F$1:$EE$997,$L$13,$I130),0)</f>
        <v>0</v>
      </c>
      <c r="D130" s="71">
        <f>IF(F130&lt;&gt;0,VLOOKUP($J130,'Table 1'!$B$13:$C$33,2,FALSE)/12*1000*Study_MW,0)</f>
        <v>0</v>
      </c>
      <c r="E130" s="71">
        <f t="shared" si="37"/>
        <v>0</v>
      </c>
      <c r="F130" s="75">
        <f>INDEX([10]Delta!$F$1:$EE$997,$L$14,$I130)</f>
        <v>0</v>
      </c>
      <c r="G130" s="76" t="e">
        <f t="shared" si="38"/>
        <v>#DIV/0!</v>
      </c>
      <c r="I130" s="77">
        <f t="shared" si="43"/>
        <v>127</v>
      </c>
      <c r="J130" s="73">
        <f t="shared" si="39"/>
        <v>2029</v>
      </c>
      <c r="K130" s="78" t="str">
        <f t="shared" si="41"/>
        <v/>
      </c>
    </row>
    <row r="131" spans="2:11" hidden="1" outlineLevel="1">
      <c r="B131" s="78">
        <f t="shared" si="36"/>
        <v>47423</v>
      </c>
      <c r="C131" s="75">
        <f>IF(F131&lt;&gt;0,-INDEX([10]Delta!$F$1:$EE$997,$L$13,$I131),0)</f>
        <v>0</v>
      </c>
      <c r="D131" s="71">
        <f>IF(F131&lt;&gt;0,VLOOKUP($J131,'Table 1'!$B$13:$C$33,2,FALSE)/12*1000*Study_MW,0)</f>
        <v>0</v>
      </c>
      <c r="E131" s="71">
        <f t="shared" si="37"/>
        <v>0</v>
      </c>
      <c r="F131" s="75">
        <f>INDEX([10]Delta!$F$1:$EE$997,$L$14,$I131)</f>
        <v>0</v>
      </c>
      <c r="G131" s="76" t="e">
        <f t="shared" si="38"/>
        <v>#DIV/0!</v>
      </c>
      <c r="I131" s="77">
        <f t="shared" si="43"/>
        <v>128</v>
      </c>
      <c r="J131" s="73">
        <f t="shared" si="39"/>
        <v>2029</v>
      </c>
      <c r="K131" s="78" t="str">
        <f t="shared" si="41"/>
        <v/>
      </c>
    </row>
    <row r="132" spans="2:11" hidden="1" outlineLevel="1">
      <c r="B132" s="82">
        <f t="shared" si="36"/>
        <v>47453</v>
      </c>
      <c r="C132" s="79">
        <f>IF(F132&lt;&gt;0,-INDEX([10]Delta!$F$1:$EE$997,$L$13,$I132),0)</f>
        <v>0</v>
      </c>
      <c r="D132" s="80">
        <f>IF(F132&lt;&gt;0,VLOOKUP($J132,'Table 1'!$B$13:$C$33,2,FALSE)/12*1000*Study_MW,0)</f>
        <v>0</v>
      </c>
      <c r="E132" s="80">
        <f t="shared" si="37"/>
        <v>0</v>
      </c>
      <c r="F132" s="79">
        <f>INDEX([10]Delta!$F$1:$EE$997,$L$14,$I132)</f>
        <v>0</v>
      </c>
      <c r="G132" s="81" t="e">
        <f t="shared" si="38"/>
        <v>#DIV/0!</v>
      </c>
      <c r="I132" s="64">
        <f t="shared" si="43"/>
        <v>129</v>
      </c>
      <c r="J132" s="73">
        <f t="shared" si="39"/>
        <v>2029</v>
      </c>
      <c r="K132" s="82" t="str">
        <f t="shared" si="41"/>
        <v/>
      </c>
    </row>
    <row r="133" spans="2:11" hidden="1" outlineLevel="1">
      <c r="B133" s="74"/>
      <c r="C133" s="69"/>
      <c r="D133" s="70"/>
      <c r="E133" s="70"/>
      <c r="F133" s="69"/>
      <c r="G133" s="72"/>
      <c r="I133" s="60">
        <f>I13</f>
        <v>1</v>
      </c>
      <c r="J133" s="73">
        <f t="shared" si="39"/>
        <v>1900</v>
      </c>
      <c r="K133" s="74" t="str">
        <f t="shared" si="41"/>
        <v/>
      </c>
    </row>
    <row r="134" spans="2:11" hidden="1" outlineLevel="1">
      <c r="B134" s="78"/>
      <c r="C134" s="75"/>
      <c r="D134" s="71"/>
      <c r="E134" s="71"/>
      <c r="F134" s="75"/>
      <c r="G134" s="76"/>
      <c r="I134" s="77">
        <f t="shared" ref="I134:I197" si="44">I14</f>
        <v>2</v>
      </c>
      <c r="J134" s="73">
        <f t="shared" si="39"/>
        <v>1900</v>
      </c>
      <c r="K134" s="78" t="str">
        <f t="shared" si="41"/>
        <v/>
      </c>
    </row>
    <row r="135" spans="2:11" hidden="1" outlineLevel="1">
      <c r="B135" s="78"/>
      <c r="C135" s="75"/>
      <c r="D135" s="71"/>
      <c r="E135" s="71"/>
      <c r="F135" s="75"/>
      <c r="G135" s="76"/>
      <c r="I135" s="77">
        <f t="shared" si="44"/>
        <v>3</v>
      </c>
      <c r="J135" s="73">
        <f t="shared" si="39"/>
        <v>1900</v>
      </c>
      <c r="K135" s="78" t="str">
        <f t="shared" si="41"/>
        <v/>
      </c>
    </row>
    <row r="136" spans="2:11" hidden="1" outlineLevel="1">
      <c r="B136" s="78"/>
      <c r="C136" s="75"/>
      <c r="D136" s="71"/>
      <c r="E136" s="71"/>
      <c r="F136" s="75"/>
      <c r="G136" s="76"/>
      <c r="I136" s="77">
        <f t="shared" si="44"/>
        <v>4</v>
      </c>
      <c r="J136" s="73">
        <f t="shared" si="39"/>
        <v>1900</v>
      </c>
      <c r="K136" s="78" t="str">
        <f t="shared" si="41"/>
        <v/>
      </c>
    </row>
    <row r="137" spans="2:11" hidden="1" outlineLevel="1">
      <c r="B137" s="78"/>
      <c r="C137" s="75"/>
      <c r="D137" s="71"/>
      <c r="E137" s="71"/>
      <c r="F137" s="75"/>
      <c r="G137" s="76"/>
      <c r="I137" s="77">
        <f t="shared" si="44"/>
        <v>5</v>
      </c>
      <c r="J137" s="73">
        <f t="shared" si="39"/>
        <v>1900</v>
      </c>
      <c r="K137" s="78" t="str">
        <f t="shared" si="41"/>
        <v/>
      </c>
    </row>
    <row r="138" spans="2:11" hidden="1" outlineLevel="1">
      <c r="B138" s="78"/>
      <c r="C138" s="75"/>
      <c r="D138" s="71"/>
      <c r="E138" s="71"/>
      <c r="F138" s="75"/>
      <c r="G138" s="76"/>
      <c r="I138" s="77">
        <f t="shared" si="44"/>
        <v>6</v>
      </c>
      <c r="J138" s="73">
        <f t="shared" si="39"/>
        <v>1900</v>
      </c>
      <c r="K138" s="78" t="str">
        <f t="shared" si="41"/>
        <v/>
      </c>
    </row>
    <row r="139" spans="2:11" hidden="1" outlineLevel="1">
      <c r="B139" s="78"/>
      <c r="C139" s="75"/>
      <c r="D139" s="71"/>
      <c r="E139" s="71"/>
      <c r="F139" s="75"/>
      <c r="G139" s="76"/>
      <c r="I139" s="77">
        <f t="shared" si="44"/>
        <v>7</v>
      </c>
      <c r="J139" s="73">
        <f t="shared" si="39"/>
        <v>1900</v>
      </c>
      <c r="K139" s="78" t="str">
        <f t="shared" si="41"/>
        <v/>
      </c>
    </row>
    <row r="140" spans="2:11" hidden="1" outlineLevel="1">
      <c r="B140" s="78"/>
      <c r="C140" s="75"/>
      <c r="D140" s="71"/>
      <c r="E140" s="71"/>
      <c r="F140" s="75"/>
      <c r="G140" s="76"/>
      <c r="I140" s="77">
        <f t="shared" si="44"/>
        <v>8</v>
      </c>
      <c r="J140" s="73">
        <f t="shared" si="39"/>
        <v>1900</v>
      </c>
      <c r="K140" s="78" t="str">
        <f t="shared" si="41"/>
        <v/>
      </c>
    </row>
    <row r="141" spans="2:11" hidden="1" outlineLevel="1">
      <c r="B141" s="78"/>
      <c r="C141" s="75"/>
      <c r="D141" s="71"/>
      <c r="E141" s="71"/>
      <c r="F141" s="75"/>
      <c r="G141" s="76"/>
      <c r="I141" s="77">
        <f t="shared" si="44"/>
        <v>9</v>
      </c>
      <c r="J141" s="73">
        <f t="shared" si="39"/>
        <v>1900</v>
      </c>
      <c r="K141" s="78" t="str">
        <f t="shared" si="41"/>
        <v/>
      </c>
    </row>
    <row r="142" spans="2:11" hidden="1" outlineLevel="1">
      <c r="B142" s="78"/>
      <c r="C142" s="75"/>
      <c r="D142" s="71"/>
      <c r="E142" s="71"/>
      <c r="F142" s="75"/>
      <c r="G142" s="76"/>
      <c r="I142" s="77">
        <f t="shared" si="44"/>
        <v>10</v>
      </c>
      <c r="J142" s="73">
        <f t="shared" ref="J142:J192" si="45">YEAR(B142)</f>
        <v>1900</v>
      </c>
      <c r="K142" s="78" t="str">
        <f t="shared" si="41"/>
        <v/>
      </c>
    </row>
    <row r="143" spans="2:11" hidden="1" outlineLevel="1">
      <c r="B143" s="78"/>
      <c r="C143" s="75"/>
      <c r="D143" s="71"/>
      <c r="E143" s="71"/>
      <c r="F143" s="75"/>
      <c r="G143" s="76"/>
      <c r="I143" s="77">
        <f t="shared" si="44"/>
        <v>11</v>
      </c>
      <c r="J143" s="73">
        <f t="shared" si="45"/>
        <v>1900</v>
      </c>
      <c r="K143" s="78" t="str">
        <f t="shared" si="41"/>
        <v/>
      </c>
    </row>
    <row r="144" spans="2:11" hidden="1" outlineLevel="1">
      <c r="B144" s="82"/>
      <c r="C144" s="79"/>
      <c r="D144" s="80"/>
      <c r="E144" s="80"/>
      <c r="F144" s="79"/>
      <c r="G144" s="81"/>
      <c r="I144" s="64">
        <f t="shared" si="44"/>
        <v>12</v>
      </c>
      <c r="J144" s="73">
        <f t="shared" si="45"/>
        <v>1900</v>
      </c>
      <c r="K144" s="82" t="str">
        <f t="shared" si="41"/>
        <v/>
      </c>
    </row>
    <row r="145" spans="2:11" hidden="1" outlineLevel="1">
      <c r="B145" s="74"/>
      <c r="C145" s="69"/>
      <c r="D145" s="70"/>
      <c r="E145" s="70"/>
      <c r="F145" s="69"/>
      <c r="G145" s="72"/>
      <c r="I145" s="60">
        <f>I25</f>
        <v>14</v>
      </c>
      <c r="J145" s="73">
        <f t="shared" si="45"/>
        <v>1900</v>
      </c>
      <c r="K145" s="74" t="str">
        <f t="shared" si="41"/>
        <v/>
      </c>
    </row>
    <row r="146" spans="2:11" hidden="1" outlineLevel="1">
      <c r="B146" s="78"/>
      <c r="C146" s="75"/>
      <c r="D146" s="71"/>
      <c r="E146" s="71"/>
      <c r="F146" s="75"/>
      <c r="G146" s="76"/>
      <c r="I146" s="77">
        <f t="shared" si="44"/>
        <v>15</v>
      </c>
      <c r="J146" s="73">
        <f t="shared" si="45"/>
        <v>1900</v>
      </c>
      <c r="K146" s="78" t="str">
        <f t="shared" si="41"/>
        <v/>
      </c>
    </row>
    <row r="147" spans="2:11" hidden="1" outlineLevel="1">
      <c r="B147" s="78"/>
      <c r="C147" s="75"/>
      <c r="D147" s="71"/>
      <c r="E147" s="71"/>
      <c r="F147" s="75"/>
      <c r="G147" s="76"/>
      <c r="I147" s="77">
        <f t="shared" si="44"/>
        <v>16</v>
      </c>
      <c r="J147" s="73">
        <f t="shared" si="45"/>
        <v>1900</v>
      </c>
      <c r="K147" s="78" t="str">
        <f t="shared" si="41"/>
        <v/>
      </c>
    </row>
    <row r="148" spans="2:11" hidden="1" outlineLevel="1">
      <c r="B148" s="78"/>
      <c r="C148" s="75"/>
      <c r="D148" s="71"/>
      <c r="E148" s="71"/>
      <c r="F148" s="75"/>
      <c r="G148" s="76"/>
      <c r="I148" s="77">
        <f t="shared" si="44"/>
        <v>17</v>
      </c>
      <c r="J148" s="73">
        <f t="shared" si="45"/>
        <v>1900</v>
      </c>
      <c r="K148" s="78" t="str">
        <f t="shared" si="41"/>
        <v/>
      </c>
    </row>
    <row r="149" spans="2:11" hidden="1" outlineLevel="1">
      <c r="B149" s="78"/>
      <c r="C149" s="75"/>
      <c r="D149" s="71"/>
      <c r="E149" s="71"/>
      <c r="F149" s="75"/>
      <c r="G149" s="76"/>
      <c r="I149" s="77">
        <f t="shared" si="44"/>
        <v>18</v>
      </c>
      <c r="J149" s="73">
        <f t="shared" si="45"/>
        <v>1900</v>
      </c>
      <c r="K149" s="78" t="str">
        <f t="shared" si="41"/>
        <v/>
      </c>
    </row>
    <row r="150" spans="2:11" hidden="1" outlineLevel="1">
      <c r="B150" s="78"/>
      <c r="C150" s="75"/>
      <c r="D150" s="71"/>
      <c r="E150" s="71"/>
      <c r="F150" s="75"/>
      <c r="G150" s="76"/>
      <c r="I150" s="77">
        <f t="shared" si="44"/>
        <v>19</v>
      </c>
      <c r="J150" s="73">
        <f t="shared" si="45"/>
        <v>1900</v>
      </c>
      <c r="K150" s="78" t="str">
        <f t="shared" si="41"/>
        <v/>
      </c>
    </row>
    <row r="151" spans="2:11" hidden="1" outlineLevel="1">
      <c r="B151" s="78"/>
      <c r="C151" s="75"/>
      <c r="D151" s="71"/>
      <c r="E151" s="71"/>
      <c r="F151" s="75"/>
      <c r="G151" s="76"/>
      <c r="I151" s="77">
        <f t="shared" si="44"/>
        <v>20</v>
      </c>
      <c r="J151" s="73">
        <f t="shared" si="45"/>
        <v>1900</v>
      </c>
      <c r="K151" s="78" t="str">
        <f t="shared" si="41"/>
        <v/>
      </c>
    </row>
    <row r="152" spans="2:11" hidden="1" outlineLevel="1">
      <c r="B152" s="78"/>
      <c r="C152" s="75"/>
      <c r="D152" s="71"/>
      <c r="E152" s="71"/>
      <c r="F152" s="75"/>
      <c r="G152" s="76"/>
      <c r="I152" s="77">
        <f t="shared" si="44"/>
        <v>21</v>
      </c>
      <c r="J152" s="73">
        <f t="shared" si="45"/>
        <v>1900</v>
      </c>
      <c r="K152" s="78" t="str">
        <f t="shared" si="41"/>
        <v/>
      </c>
    </row>
    <row r="153" spans="2:11" hidden="1" outlineLevel="1">
      <c r="B153" s="78"/>
      <c r="C153" s="75"/>
      <c r="D153" s="71"/>
      <c r="E153" s="71"/>
      <c r="F153" s="75"/>
      <c r="G153" s="76"/>
      <c r="I153" s="77">
        <f t="shared" si="44"/>
        <v>22</v>
      </c>
      <c r="J153" s="73">
        <f t="shared" si="45"/>
        <v>1900</v>
      </c>
      <c r="K153" s="78" t="str">
        <f t="shared" si="41"/>
        <v/>
      </c>
    </row>
    <row r="154" spans="2:11" hidden="1" outlineLevel="1">
      <c r="B154" s="78"/>
      <c r="C154" s="75"/>
      <c r="D154" s="71"/>
      <c r="E154" s="71"/>
      <c r="F154" s="75"/>
      <c r="G154" s="76"/>
      <c r="I154" s="77">
        <f t="shared" si="44"/>
        <v>23</v>
      </c>
      <c r="J154" s="73">
        <f t="shared" si="45"/>
        <v>1900</v>
      </c>
      <c r="K154" s="78" t="str">
        <f t="shared" ref="K154:K192" si="46">IF(ISNUMBER(F154),IF(F154&lt;&gt;0,B154,""),"")</f>
        <v/>
      </c>
    </row>
    <row r="155" spans="2:11" hidden="1" outlineLevel="1">
      <c r="B155" s="78"/>
      <c r="C155" s="75"/>
      <c r="D155" s="71"/>
      <c r="E155" s="71"/>
      <c r="F155" s="75"/>
      <c r="G155" s="76"/>
      <c r="I155" s="77">
        <f t="shared" si="44"/>
        <v>24</v>
      </c>
      <c r="J155" s="73">
        <f t="shared" si="45"/>
        <v>1900</v>
      </c>
      <c r="K155" s="78" t="str">
        <f t="shared" si="46"/>
        <v/>
      </c>
    </row>
    <row r="156" spans="2:11" hidden="1" outlineLevel="1">
      <c r="B156" s="82"/>
      <c r="C156" s="79"/>
      <c r="D156" s="80"/>
      <c r="E156" s="80"/>
      <c r="F156" s="79"/>
      <c r="G156" s="81"/>
      <c r="I156" s="64">
        <f t="shared" si="44"/>
        <v>25</v>
      </c>
      <c r="J156" s="73">
        <f t="shared" si="45"/>
        <v>1900</v>
      </c>
      <c r="K156" s="82" t="str">
        <f t="shared" si="46"/>
        <v/>
      </c>
    </row>
    <row r="157" spans="2:11" hidden="1" outlineLevel="1">
      <c r="B157" s="74"/>
      <c r="C157" s="69"/>
      <c r="D157" s="70"/>
      <c r="E157" s="70"/>
      <c r="F157" s="69"/>
      <c r="G157" s="72"/>
      <c r="I157" s="60">
        <f>I37</f>
        <v>27</v>
      </c>
      <c r="J157" s="73">
        <f t="shared" si="45"/>
        <v>1900</v>
      </c>
      <c r="K157" s="74" t="str">
        <f t="shared" si="46"/>
        <v/>
      </c>
    </row>
    <row r="158" spans="2:11" hidden="1" outlineLevel="1">
      <c r="B158" s="78"/>
      <c r="C158" s="75"/>
      <c r="D158" s="71"/>
      <c r="E158" s="71"/>
      <c r="F158" s="75"/>
      <c r="G158" s="76"/>
      <c r="I158" s="77">
        <f t="shared" si="44"/>
        <v>28</v>
      </c>
      <c r="J158" s="73">
        <f t="shared" si="45"/>
        <v>1900</v>
      </c>
      <c r="K158" s="78" t="str">
        <f t="shared" si="46"/>
        <v/>
      </c>
    </row>
    <row r="159" spans="2:11" hidden="1" outlineLevel="1">
      <c r="B159" s="78"/>
      <c r="C159" s="75"/>
      <c r="D159" s="71"/>
      <c r="E159" s="71"/>
      <c r="F159" s="75"/>
      <c r="G159" s="76"/>
      <c r="I159" s="77">
        <f t="shared" si="44"/>
        <v>29</v>
      </c>
      <c r="J159" s="73">
        <f t="shared" si="45"/>
        <v>1900</v>
      </c>
      <c r="K159" s="78" t="str">
        <f t="shared" si="46"/>
        <v/>
      </c>
    </row>
    <row r="160" spans="2:11" hidden="1" outlineLevel="1">
      <c r="B160" s="78"/>
      <c r="C160" s="75"/>
      <c r="D160" s="71"/>
      <c r="E160" s="71"/>
      <c r="F160" s="75"/>
      <c r="G160" s="76"/>
      <c r="I160" s="77">
        <f t="shared" si="44"/>
        <v>30</v>
      </c>
      <c r="J160" s="73">
        <f t="shared" si="45"/>
        <v>1900</v>
      </c>
      <c r="K160" s="78" t="str">
        <f t="shared" si="46"/>
        <v/>
      </c>
    </row>
    <row r="161" spans="2:11" hidden="1" outlineLevel="1">
      <c r="B161" s="78"/>
      <c r="C161" s="75"/>
      <c r="D161" s="71"/>
      <c r="E161" s="71"/>
      <c r="F161" s="75"/>
      <c r="G161" s="76"/>
      <c r="I161" s="77">
        <f t="shared" si="44"/>
        <v>31</v>
      </c>
      <c r="J161" s="73">
        <f t="shared" si="45"/>
        <v>1900</v>
      </c>
      <c r="K161" s="78" t="str">
        <f t="shared" si="46"/>
        <v/>
      </c>
    </row>
    <row r="162" spans="2:11" hidden="1" outlineLevel="1">
      <c r="B162" s="78"/>
      <c r="C162" s="75"/>
      <c r="D162" s="71"/>
      <c r="E162" s="71"/>
      <c r="F162" s="75"/>
      <c r="G162" s="76"/>
      <c r="I162" s="77">
        <f t="shared" si="44"/>
        <v>32</v>
      </c>
      <c r="J162" s="73">
        <f t="shared" si="45"/>
        <v>1900</v>
      </c>
      <c r="K162" s="78" t="str">
        <f t="shared" si="46"/>
        <v/>
      </c>
    </row>
    <row r="163" spans="2:11" hidden="1" outlineLevel="1">
      <c r="B163" s="78"/>
      <c r="C163" s="75"/>
      <c r="D163" s="71"/>
      <c r="E163" s="71"/>
      <c r="F163" s="75"/>
      <c r="G163" s="76"/>
      <c r="I163" s="77">
        <f t="shared" si="44"/>
        <v>33</v>
      </c>
      <c r="J163" s="73">
        <f t="shared" si="45"/>
        <v>1900</v>
      </c>
      <c r="K163" s="78" t="str">
        <f t="shared" si="46"/>
        <v/>
      </c>
    </row>
    <row r="164" spans="2:11" hidden="1" outlineLevel="1">
      <c r="B164" s="78"/>
      <c r="C164" s="75"/>
      <c r="D164" s="71"/>
      <c r="E164" s="71"/>
      <c r="F164" s="75"/>
      <c r="G164" s="76"/>
      <c r="I164" s="77">
        <f t="shared" si="44"/>
        <v>34</v>
      </c>
      <c r="J164" s="73">
        <f t="shared" si="45"/>
        <v>1900</v>
      </c>
      <c r="K164" s="78" t="str">
        <f t="shared" si="46"/>
        <v/>
      </c>
    </row>
    <row r="165" spans="2:11" hidden="1" outlineLevel="1">
      <c r="B165" s="78"/>
      <c r="C165" s="75"/>
      <c r="D165" s="71"/>
      <c r="E165" s="71"/>
      <c r="F165" s="75"/>
      <c r="G165" s="76"/>
      <c r="I165" s="77">
        <f t="shared" si="44"/>
        <v>35</v>
      </c>
      <c r="J165" s="73">
        <f t="shared" si="45"/>
        <v>1900</v>
      </c>
      <c r="K165" s="78" t="str">
        <f t="shared" si="46"/>
        <v/>
      </c>
    </row>
    <row r="166" spans="2:11" hidden="1" outlineLevel="1">
      <c r="B166" s="78"/>
      <c r="C166" s="75"/>
      <c r="D166" s="71"/>
      <c r="E166" s="71"/>
      <c r="F166" s="75"/>
      <c r="G166" s="76"/>
      <c r="I166" s="77">
        <f t="shared" si="44"/>
        <v>36</v>
      </c>
      <c r="J166" s="73">
        <f t="shared" si="45"/>
        <v>1900</v>
      </c>
      <c r="K166" s="78" t="str">
        <f t="shared" si="46"/>
        <v/>
      </c>
    </row>
    <row r="167" spans="2:11" hidden="1" outlineLevel="1">
      <c r="B167" s="78"/>
      <c r="C167" s="75"/>
      <c r="D167" s="71"/>
      <c r="E167" s="71"/>
      <c r="F167" s="75"/>
      <c r="G167" s="76"/>
      <c r="I167" s="77">
        <f t="shared" si="44"/>
        <v>37</v>
      </c>
      <c r="J167" s="73">
        <f t="shared" si="45"/>
        <v>1900</v>
      </c>
      <c r="K167" s="78" t="str">
        <f t="shared" si="46"/>
        <v/>
      </c>
    </row>
    <row r="168" spans="2:11" hidden="1" outlineLevel="1">
      <c r="B168" s="82"/>
      <c r="C168" s="79"/>
      <c r="D168" s="80"/>
      <c r="E168" s="80"/>
      <c r="F168" s="79"/>
      <c r="G168" s="81"/>
      <c r="I168" s="64">
        <f t="shared" si="44"/>
        <v>38</v>
      </c>
      <c r="J168" s="73">
        <f t="shared" si="45"/>
        <v>1900</v>
      </c>
      <c r="K168" s="82" t="str">
        <f t="shared" si="46"/>
        <v/>
      </c>
    </row>
    <row r="169" spans="2:11" hidden="1" outlineLevel="1">
      <c r="B169" s="74"/>
      <c r="C169" s="69"/>
      <c r="D169" s="70"/>
      <c r="E169" s="70"/>
      <c r="F169" s="69"/>
      <c r="G169" s="72"/>
      <c r="I169" s="60">
        <f>I49</f>
        <v>40</v>
      </c>
      <c r="J169" s="73">
        <f t="shared" si="45"/>
        <v>1900</v>
      </c>
      <c r="K169" s="74" t="str">
        <f t="shared" si="46"/>
        <v/>
      </c>
    </row>
    <row r="170" spans="2:11" hidden="1" outlineLevel="1">
      <c r="B170" s="78"/>
      <c r="C170" s="75"/>
      <c r="D170" s="71"/>
      <c r="E170" s="71"/>
      <c r="F170" s="75"/>
      <c r="G170" s="76"/>
      <c r="I170" s="77">
        <f t="shared" si="44"/>
        <v>41</v>
      </c>
      <c r="J170" s="73">
        <f t="shared" si="45"/>
        <v>1900</v>
      </c>
      <c r="K170" s="78" t="str">
        <f t="shared" si="46"/>
        <v/>
      </c>
    </row>
    <row r="171" spans="2:11" hidden="1" outlineLevel="1">
      <c r="B171" s="78"/>
      <c r="C171" s="75"/>
      <c r="D171" s="71"/>
      <c r="E171" s="71"/>
      <c r="F171" s="75"/>
      <c r="G171" s="76"/>
      <c r="I171" s="77">
        <f t="shared" si="44"/>
        <v>42</v>
      </c>
      <c r="J171" s="73">
        <f t="shared" si="45"/>
        <v>1900</v>
      </c>
      <c r="K171" s="78" t="str">
        <f t="shared" si="46"/>
        <v/>
      </c>
    </row>
    <row r="172" spans="2:11" hidden="1" outlineLevel="1">
      <c r="B172" s="78"/>
      <c r="C172" s="75"/>
      <c r="D172" s="71"/>
      <c r="E172" s="71"/>
      <c r="F172" s="75"/>
      <c r="G172" s="76"/>
      <c r="I172" s="77">
        <f t="shared" si="44"/>
        <v>43</v>
      </c>
      <c r="J172" s="73">
        <f t="shared" si="45"/>
        <v>1900</v>
      </c>
      <c r="K172" s="78" t="str">
        <f t="shared" si="46"/>
        <v/>
      </c>
    </row>
    <row r="173" spans="2:11" hidden="1" outlineLevel="1">
      <c r="B173" s="78"/>
      <c r="C173" s="75"/>
      <c r="D173" s="71"/>
      <c r="E173" s="71"/>
      <c r="F173" s="75"/>
      <c r="G173" s="76"/>
      <c r="I173" s="77">
        <f t="shared" si="44"/>
        <v>44</v>
      </c>
      <c r="J173" s="73">
        <f t="shared" si="45"/>
        <v>1900</v>
      </c>
      <c r="K173" s="78" t="str">
        <f t="shared" si="46"/>
        <v/>
      </c>
    </row>
    <row r="174" spans="2:11" hidden="1" outlineLevel="1">
      <c r="B174" s="78"/>
      <c r="C174" s="75"/>
      <c r="D174" s="71"/>
      <c r="E174" s="71"/>
      <c r="F174" s="75"/>
      <c r="G174" s="76"/>
      <c r="I174" s="77">
        <f t="shared" si="44"/>
        <v>45</v>
      </c>
      <c r="J174" s="73">
        <f t="shared" si="45"/>
        <v>1900</v>
      </c>
      <c r="K174" s="78" t="str">
        <f t="shared" si="46"/>
        <v/>
      </c>
    </row>
    <row r="175" spans="2:11" hidden="1" outlineLevel="1">
      <c r="B175" s="78"/>
      <c r="C175" s="75"/>
      <c r="D175" s="71"/>
      <c r="E175" s="71"/>
      <c r="F175" s="75"/>
      <c r="G175" s="76"/>
      <c r="I175" s="77">
        <f t="shared" si="44"/>
        <v>46</v>
      </c>
      <c r="J175" s="73">
        <f t="shared" si="45"/>
        <v>1900</v>
      </c>
      <c r="K175" s="78" t="str">
        <f t="shared" si="46"/>
        <v/>
      </c>
    </row>
    <row r="176" spans="2:11" hidden="1" outlineLevel="1">
      <c r="B176" s="78"/>
      <c r="C176" s="75"/>
      <c r="D176" s="71"/>
      <c r="E176" s="71"/>
      <c r="F176" s="75"/>
      <c r="G176" s="76"/>
      <c r="I176" s="77">
        <f t="shared" si="44"/>
        <v>47</v>
      </c>
      <c r="J176" s="73">
        <f t="shared" si="45"/>
        <v>1900</v>
      </c>
      <c r="K176" s="78" t="str">
        <f t="shared" si="46"/>
        <v/>
      </c>
    </row>
    <row r="177" spans="2:11" hidden="1" outlineLevel="1">
      <c r="B177" s="78"/>
      <c r="C177" s="75"/>
      <c r="D177" s="71"/>
      <c r="E177" s="71"/>
      <c r="F177" s="75"/>
      <c r="G177" s="76"/>
      <c r="I177" s="77">
        <f t="shared" si="44"/>
        <v>48</v>
      </c>
      <c r="J177" s="73">
        <f t="shared" si="45"/>
        <v>1900</v>
      </c>
      <c r="K177" s="78" t="str">
        <f t="shared" si="46"/>
        <v/>
      </c>
    </row>
    <row r="178" spans="2:11" hidden="1" outlineLevel="1">
      <c r="B178" s="78"/>
      <c r="C178" s="75"/>
      <c r="D178" s="71"/>
      <c r="E178" s="71"/>
      <c r="F178" s="75"/>
      <c r="G178" s="76"/>
      <c r="I178" s="77">
        <f t="shared" si="44"/>
        <v>49</v>
      </c>
      <c r="J178" s="73">
        <f t="shared" si="45"/>
        <v>1900</v>
      </c>
      <c r="K178" s="78" t="str">
        <f t="shared" si="46"/>
        <v/>
      </c>
    </row>
    <row r="179" spans="2:11" hidden="1" outlineLevel="1">
      <c r="B179" s="78"/>
      <c r="C179" s="75"/>
      <c r="D179" s="71"/>
      <c r="E179" s="71"/>
      <c r="F179" s="75"/>
      <c r="G179" s="76"/>
      <c r="I179" s="77">
        <f t="shared" si="44"/>
        <v>50</v>
      </c>
      <c r="J179" s="73">
        <f t="shared" si="45"/>
        <v>1900</v>
      </c>
      <c r="K179" s="78" t="str">
        <f t="shared" si="46"/>
        <v/>
      </c>
    </row>
    <row r="180" spans="2:11" hidden="1" outlineLevel="1">
      <c r="B180" s="82"/>
      <c r="C180" s="79"/>
      <c r="D180" s="80"/>
      <c r="E180" s="80"/>
      <c r="F180" s="79"/>
      <c r="G180" s="81"/>
      <c r="I180" s="64">
        <f t="shared" si="44"/>
        <v>51</v>
      </c>
      <c r="J180" s="73">
        <f t="shared" si="45"/>
        <v>1900</v>
      </c>
      <c r="K180" s="82" t="str">
        <f t="shared" si="46"/>
        <v/>
      </c>
    </row>
    <row r="181" spans="2:11" hidden="1" outlineLevel="1" collapsed="1">
      <c r="B181" s="74"/>
      <c r="C181" s="69"/>
      <c r="D181" s="70"/>
      <c r="E181" s="70"/>
      <c r="F181" s="69"/>
      <c r="G181" s="72"/>
      <c r="I181" s="60">
        <f>I61</f>
        <v>53</v>
      </c>
      <c r="J181" s="73">
        <f t="shared" si="45"/>
        <v>1900</v>
      </c>
      <c r="K181" s="74" t="str">
        <f t="shared" si="46"/>
        <v/>
      </c>
    </row>
    <row r="182" spans="2:11" hidden="1" outlineLevel="1">
      <c r="B182" s="78"/>
      <c r="C182" s="75"/>
      <c r="D182" s="71"/>
      <c r="E182" s="71"/>
      <c r="F182" s="75"/>
      <c r="G182" s="76"/>
      <c r="I182" s="77">
        <f t="shared" si="44"/>
        <v>54</v>
      </c>
      <c r="J182" s="73">
        <f t="shared" si="45"/>
        <v>1900</v>
      </c>
      <c r="K182" s="78" t="str">
        <f t="shared" si="46"/>
        <v/>
      </c>
    </row>
    <row r="183" spans="2:11" hidden="1" outlineLevel="1">
      <c r="B183" s="78"/>
      <c r="C183" s="75"/>
      <c r="D183" s="71"/>
      <c r="E183" s="71"/>
      <c r="F183" s="75"/>
      <c r="G183" s="76"/>
      <c r="I183" s="77">
        <f t="shared" si="44"/>
        <v>55</v>
      </c>
      <c r="J183" s="73">
        <f t="shared" si="45"/>
        <v>1900</v>
      </c>
      <c r="K183" s="78" t="str">
        <f t="shared" si="46"/>
        <v/>
      </c>
    </row>
    <row r="184" spans="2:11" hidden="1" outlineLevel="1">
      <c r="B184" s="78"/>
      <c r="C184" s="75"/>
      <c r="D184" s="71"/>
      <c r="E184" s="71"/>
      <c r="F184" s="75"/>
      <c r="G184" s="76"/>
      <c r="I184" s="77">
        <f t="shared" si="44"/>
        <v>56</v>
      </c>
      <c r="J184" s="73">
        <f t="shared" si="45"/>
        <v>1900</v>
      </c>
      <c r="K184" s="78" t="str">
        <f t="shared" si="46"/>
        <v/>
      </c>
    </row>
    <row r="185" spans="2:11" hidden="1" outlineLevel="1">
      <c r="B185" s="78"/>
      <c r="C185" s="75"/>
      <c r="D185" s="71"/>
      <c r="E185" s="71"/>
      <c r="F185" s="75"/>
      <c r="G185" s="76"/>
      <c r="I185" s="77">
        <f t="shared" si="44"/>
        <v>57</v>
      </c>
      <c r="J185" s="73">
        <f t="shared" si="45"/>
        <v>1900</v>
      </c>
      <c r="K185" s="78" t="str">
        <f t="shared" si="46"/>
        <v/>
      </c>
    </row>
    <row r="186" spans="2:11" hidden="1" outlineLevel="1">
      <c r="B186" s="78"/>
      <c r="C186" s="75"/>
      <c r="D186" s="71"/>
      <c r="E186" s="71"/>
      <c r="F186" s="75"/>
      <c r="G186" s="76"/>
      <c r="I186" s="77">
        <f t="shared" si="44"/>
        <v>58</v>
      </c>
      <c r="J186" s="73">
        <f t="shared" si="45"/>
        <v>1900</v>
      </c>
      <c r="K186" s="78" t="str">
        <f t="shared" si="46"/>
        <v/>
      </c>
    </row>
    <row r="187" spans="2:11" hidden="1" outlineLevel="1">
      <c r="B187" s="78"/>
      <c r="C187" s="75"/>
      <c r="D187" s="71"/>
      <c r="E187" s="71"/>
      <c r="F187" s="75"/>
      <c r="G187" s="76"/>
      <c r="I187" s="77">
        <f t="shared" si="44"/>
        <v>59</v>
      </c>
      <c r="J187" s="73">
        <f t="shared" si="45"/>
        <v>1900</v>
      </c>
      <c r="K187" s="78" t="str">
        <f t="shared" si="46"/>
        <v/>
      </c>
    </row>
    <row r="188" spans="2:11" hidden="1" outlineLevel="1">
      <c r="B188" s="78"/>
      <c r="C188" s="75"/>
      <c r="D188" s="71"/>
      <c r="E188" s="71"/>
      <c r="F188" s="75"/>
      <c r="G188" s="76"/>
      <c r="I188" s="77">
        <f t="shared" si="44"/>
        <v>60</v>
      </c>
      <c r="J188" s="73">
        <f t="shared" si="45"/>
        <v>1900</v>
      </c>
      <c r="K188" s="78" t="str">
        <f t="shared" si="46"/>
        <v/>
      </c>
    </row>
    <row r="189" spans="2:11" hidden="1" outlineLevel="1">
      <c r="B189" s="78"/>
      <c r="C189" s="75"/>
      <c r="D189" s="71"/>
      <c r="E189" s="71"/>
      <c r="F189" s="75"/>
      <c r="G189" s="76"/>
      <c r="I189" s="77">
        <f t="shared" si="44"/>
        <v>61</v>
      </c>
      <c r="J189" s="73">
        <f t="shared" si="45"/>
        <v>1900</v>
      </c>
      <c r="K189" s="78" t="str">
        <f t="shared" si="46"/>
        <v/>
      </c>
    </row>
    <row r="190" spans="2:11" hidden="1" outlineLevel="1">
      <c r="B190" s="78"/>
      <c r="C190" s="75"/>
      <c r="D190" s="71"/>
      <c r="E190" s="71"/>
      <c r="F190" s="75"/>
      <c r="G190" s="76"/>
      <c r="I190" s="77">
        <f t="shared" si="44"/>
        <v>62</v>
      </c>
      <c r="J190" s="73">
        <f t="shared" si="45"/>
        <v>1900</v>
      </c>
      <c r="K190" s="78" t="str">
        <f t="shared" si="46"/>
        <v/>
      </c>
    </row>
    <row r="191" spans="2:11" hidden="1" outlineLevel="1">
      <c r="B191" s="78"/>
      <c r="C191" s="75"/>
      <c r="D191" s="71"/>
      <c r="E191" s="71"/>
      <c r="F191" s="75"/>
      <c r="G191" s="76"/>
      <c r="I191" s="77">
        <f t="shared" si="44"/>
        <v>63</v>
      </c>
      <c r="J191" s="73">
        <f t="shared" si="45"/>
        <v>1900</v>
      </c>
      <c r="K191" s="78" t="str">
        <f t="shared" si="46"/>
        <v/>
      </c>
    </row>
    <row r="192" spans="2:11" hidden="1" outlineLevel="1">
      <c r="B192" s="82"/>
      <c r="C192" s="79"/>
      <c r="D192" s="80"/>
      <c r="E192" s="80"/>
      <c r="F192" s="79"/>
      <c r="G192" s="81"/>
      <c r="I192" s="64">
        <f t="shared" si="44"/>
        <v>64</v>
      </c>
      <c r="J192" s="73">
        <f t="shared" si="45"/>
        <v>1900</v>
      </c>
      <c r="K192" s="82" t="str">
        <f t="shared" si="46"/>
        <v/>
      </c>
    </row>
    <row r="193" spans="2:13" hidden="1">
      <c r="B193" s="74"/>
      <c r="C193" s="69"/>
      <c r="D193" s="70"/>
      <c r="E193" s="70"/>
      <c r="F193" s="69"/>
      <c r="G193" s="72"/>
      <c r="I193" s="60">
        <f>I73</f>
        <v>66</v>
      </c>
      <c r="J193" s="73">
        <f t="shared" ref="J193:J256" si="47">YEAR(B193)</f>
        <v>1900</v>
      </c>
      <c r="K193" s="74" t="str">
        <f t="shared" ref="K193:K256" si="48">IF(ISNUMBER(F193),IF(F193&lt;&gt;0,B193,""),"")</f>
        <v/>
      </c>
      <c r="M193" s="41" t="e">
        <v>#N/A</v>
      </c>
    </row>
    <row r="194" spans="2:13" hidden="1">
      <c r="B194" s="78"/>
      <c r="C194" s="75"/>
      <c r="D194" s="71"/>
      <c r="E194" s="71"/>
      <c r="F194" s="75"/>
      <c r="G194" s="76"/>
      <c r="I194" s="77">
        <f t="shared" si="44"/>
        <v>67</v>
      </c>
      <c r="J194" s="73">
        <f t="shared" si="47"/>
        <v>1900</v>
      </c>
      <c r="K194" s="78" t="str">
        <f t="shared" si="48"/>
        <v/>
      </c>
      <c r="M194" s="41" t="e">
        <v>#N/A</v>
      </c>
    </row>
    <row r="195" spans="2:13" hidden="1">
      <c r="B195" s="78"/>
      <c r="C195" s="75"/>
      <c r="D195" s="71"/>
      <c r="E195" s="71"/>
      <c r="F195" s="75"/>
      <c r="G195" s="76"/>
      <c r="I195" s="77">
        <f t="shared" si="44"/>
        <v>68</v>
      </c>
      <c r="J195" s="73">
        <f t="shared" si="47"/>
        <v>1900</v>
      </c>
      <c r="K195" s="78" t="str">
        <f t="shared" si="48"/>
        <v/>
      </c>
      <c r="M195" s="41" t="e">
        <v>#N/A</v>
      </c>
    </row>
    <row r="196" spans="2:13" hidden="1">
      <c r="B196" s="78"/>
      <c r="C196" s="75"/>
      <c r="D196" s="71"/>
      <c r="E196" s="71"/>
      <c r="F196" s="75"/>
      <c r="G196" s="76"/>
      <c r="I196" s="77">
        <f t="shared" si="44"/>
        <v>69</v>
      </c>
      <c r="J196" s="73">
        <f t="shared" si="47"/>
        <v>1900</v>
      </c>
      <c r="K196" s="78" t="str">
        <f t="shared" si="48"/>
        <v/>
      </c>
      <c r="M196" s="41" t="e">
        <v>#N/A</v>
      </c>
    </row>
    <row r="197" spans="2:13" hidden="1">
      <c r="B197" s="78"/>
      <c r="C197" s="75"/>
      <c r="D197" s="71"/>
      <c r="E197" s="71"/>
      <c r="F197" s="75"/>
      <c r="G197" s="76"/>
      <c r="I197" s="77">
        <f t="shared" si="44"/>
        <v>70</v>
      </c>
      <c r="J197" s="73">
        <f t="shared" si="47"/>
        <v>1900</v>
      </c>
      <c r="K197" s="78" t="str">
        <f t="shared" si="48"/>
        <v/>
      </c>
      <c r="M197" s="41" t="e">
        <v>#N/A</v>
      </c>
    </row>
    <row r="198" spans="2:13" hidden="1">
      <c r="B198" s="78"/>
      <c r="C198" s="75"/>
      <c r="D198" s="71"/>
      <c r="E198" s="71"/>
      <c r="F198" s="75"/>
      <c r="G198" s="76"/>
      <c r="I198" s="77">
        <f t="shared" ref="I198:I204" si="49">I78</f>
        <v>71</v>
      </c>
      <c r="J198" s="73">
        <f t="shared" si="47"/>
        <v>1900</v>
      </c>
      <c r="K198" s="78" t="str">
        <f t="shared" si="48"/>
        <v/>
      </c>
      <c r="M198" s="41" t="e">
        <v>#N/A</v>
      </c>
    </row>
    <row r="199" spans="2:13" hidden="1">
      <c r="B199" s="78"/>
      <c r="C199" s="75"/>
      <c r="D199" s="71"/>
      <c r="E199" s="71"/>
      <c r="F199" s="75"/>
      <c r="G199" s="76"/>
      <c r="I199" s="77">
        <f t="shared" si="49"/>
        <v>72</v>
      </c>
      <c r="J199" s="73">
        <f t="shared" si="47"/>
        <v>1900</v>
      </c>
      <c r="K199" s="78" t="str">
        <f t="shared" si="48"/>
        <v/>
      </c>
      <c r="M199" s="41" t="e">
        <v>#N/A</v>
      </c>
    </row>
    <row r="200" spans="2:13" hidden="1">
      <c r="B200" s="78"/>
      <c r="C200" s="75"/>
      <c r="D200" s="71"/>
      <c r="E200" s="71"/>
      <c r="F200" s="75"/>
      <c r="G200" s="76"/>
      <c r="I200" s="77">
        <f t="shared" si="49"/>
        <v>73</v>
      </c>
      <c r="J200" s="73">
        <f t="shared" si="47"/>
        <v>1900</v>
      </c>
      <c r="K200" s="78" t="str">
        <f t="shared" si="48"/>
        <v/>
      </c>
      <c r="M200" s="41" t="e">
        <v>#N/A</v>
      </c>
    </row>
    <row r="201" spans="2:13" hidden="1">
      <c r="B201" s="78"/>
      <c r="C201" s="75"/>
      <c r="D201" s="71"/>
      <c r="E201" s="71"/>
      <c r="F201" s="75"/>
      <c r="G201" s="76"/>
      <c r="I201" s="77">
        <f t="shared" si="49"/>
        <v>74</v>
      </c>
      <c r="J201" s="73">
        <f t="shared" si="47"/>
        <v>1900</v>
      </c>
      <c r="K201" s="78" t="str">
        <f t="shared" si="48"/>
        <v/>
      </c>
      <c r="M201" s="41" t="e">
        <v>#N/A</v>
      </c>
    </row>
    <row r="202" spans="2:13" hidden="1">
      <c r="B202" s="78"/>
      <c r="C202" s="75"/>
      <c r="D202" s="71"/>
      <c r="E202" s="71"/>
      <c r="F202" s="75"/>
      <c r="G202" s="76"/>
      <c r="I202" s="77">
        <f t="shared" si="49"/>
        <v>75</v>
      </c>
      <c r="J202" s="73">
        <f t="shared" si="47"/>
        <v>1900</v>
      </c>
      <c r="K202" s="78" t="str">
        <f t="shared" si="48"/>
        <v/>
      </c>
      <c r="M202" s="41" t="e">
        <v>#N/A</v>
      </c>
    </row>
    <row r="203" spans="2:13" hidden="1">
      <c r="B203" s="78"/>
      <c r="C203" s="75"/>
      <c r="D203" s="71"/>
      <c r="E203" s="71"/>
      <c r="F203" s="75"/>
      <c r="G203" s="76"/>
      <c r="I203" s="77">
        <f t="shared" si="49"/>
        <v>76</v>
      </c>
      <c r="J203" s="73">
        <f t="shared" si="47"/>
        <v>1900</v>
      </c>
      <c r="K203" s="78" t="str">
        <f t="shared" si="48"/>
        <v/>
      </c>
      <c r="M203" s="41" t="e">
        <v>#N/A</v>
      </c>
    </row>
    <row r="204" spans="2:13" hidden="1">
      <c r="B204" s="82"/>
      <c r="C204" s="79"/>
      <c r="D204" s="80"/>
      <c r="E204" s="80"/>
      <c r="F204" s="79"/>
      <c r="G204" s="81"/>
      <c r="I204" s="64">
        <f t="shared" si="49"/>
        <v>77</v>
      </c>
      <c r="J204" s="73">
        <f t="shared" si="47"/>
        <v>1900</v>
      </c>
      <c r="K204" s="82" t="str">
        <f t="shared" si="48"/>
        <v/>
      </c>
      <c r="M204" s="41" t="e">
        <v>#N/A</v>
      </c>
    </row>
    <row r="205" spans="2:13" hidden="1" outlineLevel="1">
      <c r="B205" s="74"/>
      <c r="C205" s="69"/>
      <c r="D205" s="70"/>
      <c r="E205" s="70"/>
      <c r="F205" s="69"/>
      <c r="G205" s="72"/>
      <c r="I205" s="60">
        <f>I85</f>
        <v>79</v>
      </c>
      <c r="J205" s="73">
        <f t="shared" si="47"/>
        <v>1900</v>
      </c>
      <c r="K205" s="74" t="str">
        <f t="shared" si="48"/>
        <v/>
      </c>
      <c r="M205" s="41" t="e">
        <v>#N/A</v>
      </c>
    </row>
    <row r="206" spans="2:13" hidden="1" outlineLevel="1">
      <c r="B206" s="78"/>
      <c r="C206" s="75"/>
      <c r="D206" s="71"/>
      <c r="E206" s="71"/>
      <c r="F206" s="75"/>
      <c r="G206" s="76"/>
      <c r="I206" s="77">
        <f t="shared" ref="I206:I228" si="50">I86</f>
        <v>80</v>
      </c>
      <c r="J206" s="73">
        <f t="shared" si="47"/>
        <v>1900</v>
      </c>
      <c r="K206" s="78" t="str">
        <f t="shared" si="48"/>
        <v/>
      </c>
      <c r="M206" s="41" t="e">
        <v>#N/A</v>
      </c>
    </row>
    <row r="207" spans="2:13" hidden="1" outlineLevel="1">
      <c r="B207" s="78"/>
      <c r="C207" s="75"/>
      <c r="D207" s="71"/>
      <c r="E207" s="71"/>
      <c r="F207" s="75"/>
      <c r="G207" s="76"/>
      <c r="I207" s="77">
        <f t="shared" si="50"/>
        <v>81</v>
      </c>
      <c r="J207" s="73">
        <f t="shared" si="47"/>
        <v>1900</v>
      </c>
      <c r="K207" s="78" t="str">
        <f t="shared" si="48"/>
        <v/>
      </c>
      <c r="M207" s="41" t="e">
        <v>#N/A</v>
      </c>
    </row>
    <row r="208" spans="2:13" hidden="1" outlineLevel="1">
      <c r="B208" s="78"/>
      <c r="C208" s="75"/>
      <c r="D208" s="71"/>
      <c r="E208" s="71"/>
      <c r="F208" s="75"/>
      <c r="G208" s="76"/>
      <c r="I208" s="77">
        <f t="shared" si="50"/>
        <v>82</v>
      </c>
      <c r="J208" s="73">
        <f t="shared" si="47"/>
        <v>1900</v>
      </c>
      <c r="K208" s="78" t="str">
        <f t="shared" si="48"/>
        <v/>
      </c>
      <c r="M208" s="41" t="e">
        <v>#N/A</v>
      </c>
    </row>
    <row r="209" spans="2:13" hidden="1" outlineLevel="1">
      <c r="B209" s="78"/>
      <c r="C209" s="75"/>
      <c r="D209" s="71"/>
      <c r="E209" s="71"/>
      <c r="F209" s="75"/>
      <c r="G209" s="76"/>
      <c r="I209" s="77">
        <f t="shared" si="50"/>
        <v>83</v>
      </c>
      <c r="J209" s="73">
        <f t="shared" si="47"/>
        <v>1900</v>
      </c>
      <c r="K209" s="78" t="str">
        <f t="shared" si="48"/>
        <v/>
      </c>
      <c r="M209" s="41" t="e">
        <v>#N/A</v>
      </c>
    </row>
    <row r="210" spans="2:13" hidden="1" outlineLevel="1">
      <c r="B210" s="78"/>
      <c r="C210" s="75"/>
      <c r="D210" s="71"/>
      <c r="E210" s="71"/>
      <c r="F210" s="75"/>
      <c r="G210" s="76"/>
      <c r="I210" s="77">
        <f t="shared" si="50"/>
        <v>84</v>
      </c>
      <c r="J210" s="73">
        <f t="shared" si="47"/>
        <v>1900</v>
      </c>
      <c r="K210" s="78" t="str">
        <f t="shared" si="48"/>
        <v/>
      </c>
      <c r="M210" s="41" t="e">
        <v>#N/A</v>
      </c>
    </row>
    <row r="211" spans="2:13" hidden="1" outlineLevel="1">
      <c r="B211" s="78"/>
      <c r="C211" s="75"/>
      <c r="D211" s="71"/>
      <c r="E211" s="71"/>
      <c r="F211" s="75"/>
      <c r="G211" s="76"/>
      <c r="I211" s="77">
        <f t="shared" si="50"/>
        <v>85</v>
      </c>
      <c r="J211" s="73">
        <f t="shared" si="47"/>
        <v>1900</v>
      </c>
      <c r="K211" s="78" t="str">
        <f t="shared" si="48"/>
        <v/>
      </c>
      <c r="M211" s="41" t="e">
        <v>#N/A</v>
      </c>
    </row>
    <row r="212" spans="2:13" hidden="1" outlineLevel="1">
      <c r="B212" s="78"/>
      <c r="C212" s="75"/>
      <c r="D212" s="71"/>
      <c r="E212" s="71"/>
      <c r="F212" s="75"/>
      <c r="G212" s="76"/>
      <c r="I212" s="77">
        <f t="shared" si="50"/>
        <v>86</v>
      </c>
      <c r="J212" s="73">
        <f t="shared" si="47"/>
        <v>1900</v>
      </c>
      <c r="K212" s="78" t="str">
        <f t="shared" si="48"/>
        <v/>
      </c>
      <c r="M212" s="41" t="e">
        <v>#N/A</v>
      </c>
    </row>
    <row r="213" spans="2:13" hidden="1" outlineLevel="1">
      <c r="B213" s="78"/>
      <c r="C213" s="75"/>
      <c r="D213" s="71"/>
      <c r="E213" s="71"/>
      <c r="F213" s="75"/>
      <c r="G213" s="76"/>
      <c r="I213" s="77">
        <f t="shared" si="50"/>
        <v>87</v>
      </c>
      <c r="J213" s="73">
        <f t="shared" si="47"/>
        <v>1900</v>
      </c>
      <c r="K213" s="78" t="str">
        <f t="shared" si="48"/>
        <v/>
      </c>
      <c r="M213" s="41" t="e">
        <v>#N/A</v>
      </c>
    </row>
    <row r="214" spans="2:13" hidden="1" outlineLevel="1">
      <c r="B214" s="78"/>
      <c r="C214" s="75"/>
      <c r="D214" s="71"/>
      <c r="E214" s="71"/>
      <c r="F214" s="75"/>
      <c r="G214" s="76"/>
      <c r="I214" s="77">
        <f t="shared" si="50"/>
        <v>88</v>
      </c>
      <c r="J214" s="73">
        <f t="shared" si="47"/>
        <v>1900</v>
      </c>
      <c r="K214" s="78" t="str">
        <f t="shared" si="48"/>
        <v/>
      </c>
      <c r="M214" s="41" t="e">
        <v>#N/A</v>
      </c>
    </row>
    <row r="215" spans="2:13" hidden="1" outlineLevel="1">
      <c r="B215" s="78"/>
      <c r="C215" s="75"/>
      <c r="D215" s="71"/>
      <c r="E215" s="71"/>
      <c r="F215" s="75"/>
      <c r="G215" s="76"/>
      <c r="I215" s="77">
        <f t="shared" si="50"/>
        <v>89</v>
      </c>
      <c r="J215" s="73">
        <f t="shared" si="47"/>
        <v>1900</v>
      </c>
      <c r="K215" s="78" t="str">
        <f t="shared" si="48"/>
        <v/>
      </c>
      <c r="M215" s="41" t="e">
        <v>#N/A</v>
      </c>
    </row>
    <row r="216" spans="2:13" hidden="1" outlineLevel="1">
      <c r="B216" s="82"/>
      <c r="C216" s="79"/>
      <c r="D216" s="80"/>
      <c r="E216" s="80"/>
      <c r="F216" s="79"/>
      <c r="G216" s="81"/>
      <c r="I216" s="64">
        <f t="shared" si="50"/>
        <v>90</v>
      </c>
      <c r="J216" s="73">
        <f t="shared" si="47"/>
        <v>1900</v>
      </c>
      <c r="K216" s="82" t="str">
        <f t="shared" si="48"/>
        <v/>
      </c>
      <c r="M216" s="41" t="e">
        <v>#N/A</v>
      </c>
    </row>
    <row r="217" spans="2:13" hidden="1" outlineLevel="1">
      <c r="B217" s="74"/>
      <c r="C217" s="69"/>
      <c r="D217" s="70"/>
      <c r="E217" s="70"/>
      <c r="F217" s="69"/>
      <c r="G217" s="72"/>
      <c r="I217" s="60">
        <f>I97</f>
        <v>92</v>
      </c>
      <c r="J217" s="73">
        <f t="shared" si="47"/>
        <v>1900</v>
      </c>
      <c r="K217" s="74" t="str">
        <f t="shared" si="48"/>
        <v/>
      </c>
      <c r="M217" s="41" t="e">
        <v>#N/A</v>
      </c>
    </row>
    <row r="218" spans="2:13" hidden="1" outlineLevel="1">
      <c r="B218" s="78"/>
      <c r="C218" s="75"/>
      <c r="D218" s="71"/>
      <c r="E218" s="71"/>
      <c r="F218" s="75"/>
      <c r="G218" s="76"/>
      <c r="I218" s="77">
        <f t="shared" si="50"/>
        <v>93</v>
      </c>
      <c r="J218" s="73">
        <f t="shared" si="47"/>
        <v>1900</v>
      </c>
      <c r="K218" s="78" t="str">
        <f t="shared" si="48"/>
        <v/>
      </c>
      <c r="M218" s="41" t="e">
        <v>#N/A</v>
      </c>
    </row>
    <row r="219" spans="2:13" hidden="1" outlineLevel="1">
      <c r="B219" s="78"/>
      <c r="C219" s="75"/>
      <c r="D219" s="71"/>
      <c r="E219" s="71"/>
      <c r="F219" s="75"/>
      <c r="G219" s="76"/>
      <c r="I219" s="77">
        <f t="shared" si="50"/>
        <v>94</v>
      </c>
      <c r="J219" s="73">
        <f t="shared" si="47"/>
        <v>1900</v>
      </c>
      <c r="K219" s="78" t="str">
        <f t="shared" si="48"/>
        <v/>
      </c>
      <c r="M219" s="41" t="e">
        <v>#N/A</v>
      </c>
    </row>
    <row r="220" spans="2:13" hidden="1" outlineLevel="1">
      <c r="B220" s="78"/>
      <c r="C220" s="75"/>
      <c r="D220" s="71"/>
      <c r="E220" s="71"/>
      <c r="F220" s="75"/>
      <c r="G220" s="76"/>
      <c r="I220" s="77">
        <f t="shared" si="50"/>
        <v>95</v>
      </c>
      <c r="J220" s="73">
        <f t="shared" si="47"/>
        <v>1900</v>
      </c>
      <c r="K220" s="78" t="str">
        <f t="shared" si="48"/>
        <v/>
      </c>
      <c r="M220" s="41" t="e">
        <v>#N/A</v>
      </c>
    </row>
    <row r="221" spans="2:13" hidden="1" outlineLevel="1">
      <c r="B221" s="78"/>
      <c r="C221" s="75"/>
      <c r="D221" s="71"/>
      <c r="E221" s="71"/>
      <c r="F221" s="75"/>
      <c r="G221" s="76"/>
      <c r="I221" s="77">
        <f t="shared" si="50"/>
        <v>96</v>
      </c>
      <c r="J221" s="73">
        <f t="shared" si="47"/>
        <v>1900</v>
      </c>
      <c r="K221" s="78" t="str">
        <f t="shared" si="48"/>
        <v/>
      </c>
      <c r="M221" s="41" t="e">
        <v>#N/A</v>
      </c>
    </row>
    <row r="222" spans="2:13" hidden="1" outlineLevel="1">
      <c r="B222" s="78"/>
      <c r="C222" s="75"/>
      <c r="D222" s="71"/>
      <c r="E222" s="71"/>
      <c r="F222" s="75"/>
      <c r="G222" s="76"/>
      <c r="I222" s="77">
        <f t="shared" si="50"/>
        <v>97</v>
      </c>
      <c r="J222" s="73">
        <f t="shared" si="47"/>
        <v>1900</v>
      </c>
      <c r="K222" s="78" t="str">
        <f t="shared" si="48"/>
        <v/>
      </c>
      <c r="M222" s="41" t="e">
        <v>#N/A</v>
      </c>
    </row>
    <row r="223" spans="2:13" hidden="1" outlineLevel="1">
      <c r="B223" s="78"/>
      <c r="C223" s="75"/>
      <c r="D223" s="71"/>
      <c r="E223" s="71"/>
      <c r="F223" s="75"/>
      <c r="G223" s="76"/>
      <c r="I223" s="77">
        <f t="shared" si="50"/>
        <v>98</v>
      </c>
      <c r="J223" s="73">
        <f t="shared" si="47"/>
        <v>1900</v>
      </c>
      <c r="K223" s="78" t="str">
        <f t="shared" si="48"/>
        <v/>
      </c>
      <c r="M223" s="41" t="e">
        <v>#N/A</v>
      </c>
    </row>
    <row r="224" spans="2:13" hidden="1" outlineLevel="1">
      <c r="B224" s="78"/>
      <c r="C224" s="75"/>
      <c r="D224" s="71"/>
      <c r="E224" s="71"/>
      <c r="F224" s="75"/>
      <c r="G224" s="76"/>
      <c r="I224" s="77">
        <f t="shared" si="50"/>
        <v>99</v>
      </c>
      <c r="J224" s="73">
        <f t="shared" si="47"/>
        <v>1900</v>
      </c>
      <c r="K224" s="78" t="str">
        <f t="shared" si="48"/>
        <v/>
      </c>
      <c r="M224" s="41" t="e">
        <v>#N/A</v>
      </c>
    </row>
    <row r="225" spans="2:20" hidden="1" outlineLevel="1">
      <c r="B225" s="78"/>
      <c r="C225" s="75"/>
      <c r="D225" s="71"/>
      <c r="E225" s="71"/>
      <c r="F225" s="75"/>
      <c r="G225" s="76"/>
      <c r="I225" s="77">
        <f t="shared" si="50"/>
        <v>100</v>
      </c>
      <c r="J225" s="73">
        <f t="shared" si="47"/>
        <v>1900</v>
      </c>
      <c r="K225" s="78" t="str">
        <f t="shared" si="48"/>
        <v/>
      </c>
      <c r="M225" s="41" t="e">
        <v>#N/A</v>
      </c>
    </row>
    <row r="226" spans="2:20" hidden="1" outlineLevel="1">
      <c r="B226" s="78"/>
      <c r="C226" s="75"/>
      <c r="D226" s="71"/>
      <c r="E226" s="71"/>
      <c r="F226" s="75"/>
      <c r="G226" s="76"/>
      <c r="I226" s="77">
        <f t="shared" si="50"/>
        <v>101</v>
      </c>
      <c r="J226" s="73">
        <f t="shared" si="47"/>
        <v>1900</v>
      </c>
      <c r="K226" s="78" t="str">
        <f t="shared" si="48"/>
        <v/>
      </c>
      <c r="M226" s="41" t="e">
        <v>#N/A</v>
      </c>
    </row>
    <row r="227" spans="2:20" hidden="1" outlineLevel="1">
      <c r="B227" s="78"/>
      <c r="C227" s="75"/>
      <c r="D227" s="71"/>
      <c r="E227" s="71"/>
      <c r="F227" s="75"/>
      <c r="G227" s="76"/>
      <c r="I227" s="77">
        <f t="shared" si="50"/>
        <v>102</v>
      </c>
      <c r="J227" s="73">
        <f t="shared" si="47"/>
        <v>1900</v>
      </c>
      <c r="K227" s="78" t="str">
        <f t="shared" si="48"/>
        <v/>
      </c>
      <c r="M227" s="41" t="e">
        <v>#N/A</v>
      </c>
      <c r="T227" s="192"/>
    </row>
    <row r="228" spans="2:20" hidden="1" outlineLevel="1">
      <c r="B228" s="82"/>
      <c r="C228" s="79"/>
      <c r="D228" s="80"/>
      <c r="E228" s="80"/>
      <c r="F228" s="79"/>
      <c r="G228" s="81"/>
      <c r="I228" s="64">
        <f t="shared" si="50"/>
        <v>103</v>
      </c>
      <c r="J228" s="73">
        <f t="shared" si="47"/>
        <v>1900</v>
      </c>
      <c r="K228" s="82" t="str">
        <f t="shared" si="48"/>
        <v/>
      </c>
      <c r="M228" s="41" t="e">
        <v>#N/A</v>
      </c>
      <c r="T228" s="192"/>
    </row>
    <row r="229" spans="2:20" hidden="1" outlineLevel="1">
      <c r="B229" s="211"/>
      <c r="C229" s="200"/>
      <c r="D229" s="201"/>
      <c r="E229" s="201"/>
      <c r="F229" s="200"/>
      <c r="G229" s="202"/>
      <c r="I229" s="60">
        <f>I109</f>
        <v>105</v>
      </c>
      <c r="J229" s="73">
        <f t="shared" si="47"/>
        <v>1900</v>
      </c>
      <c r="K229" s="74" t="str">
        <f t="shared" si="48"/>
        <v/>
      </c>
      <c r="M229" s="41" t="e">
        <v>#N/A</v>
      </c>
      <c r="T229" s="192"/>
    </row>
    <row r="230" spans="2:20" hidden="1" outlineLevel="1">
      <c r="B230" s="212"/>
      <c r="C230" s="194"/>
      <c r="D230" s="195"/>
      <c r="E230" s="195"/>
      <c r="F230" s="194"/>
      <c r="G230" s="196"/>
      <c r="I230" s="77">
        <f t="shared" ref="I230:I264" si="51">I110</f>
        <v>106</v>
      </c>
      <c r="J230" s="73">
        <f t="shared" si="47"/>
        <v>1900</v>
      </c>
      <c r="K230" s="78" t="str">
        <f t="shared" si="48"/>
        <v/>
      </c>
      <c r="M230" s="41" t="e">
        <v>#N/A</v>
      </c>
      <c r="T230" s="192"/>
    </row>
    <row r="231" spans="2:20" hidden="1" outlineLevel="1">
      <c r="B231" s="212"/>
      <c r="C231" s="194"/>
      <c r="D231" s="195"/>
      <c r="E231" s="195"/>
      <c r="F231" s="194"/>
      <c r="G231" s="196"/>
      <c r="I231" s="77">
        <f t="shared" si="51"/>
        <v>107</v>
      </c>
      <c r="J231" s="73">
        <f t="shared" si="47"/>
        <v>1900</v>
      </c>
      <c r="K231" s="78" t="str">
        <f t="shared" si="48"/>
        <v/>
      </c>
      <c r="M231" s="41" t="e">
        <v>#N/A</v>
      </c>
      <c r="T231" s="192"/>
    </row>
    <row r="232" spans="2:20" hidden="1" outlineLevel="1">
      <c r="B232" s="212"/>
      <c r="C232" s="194"/>
      <c r="D232" s="195"/>
      <c r="E232" s="195"/>
      <c r="F232" s="194"/>
      <c r="G232" s="196"/>
      <c r="I232" s="77">
        <f t="shared" si="51"/>
        <v>108</v>
      </c>
      <c r="J232" s="73">
        <f t="shared" si="47"/>
        <v>1900</v>
      </c>
      <c r="K232" s="78" t="str">
        <f t="shared" si="48"/>
        <v/>
      </c>
      <c r="M232" s="41" t="e">
        <v>#N/A</v>
      </c>
      <c r="T232" s="192"/>
    </row>
    <row r="233" spans="2:20" hidden="1" outlineLevel="1">
      <c r="B233" s="212"/>
      <c r="C233" s="194"/>
      <c r="D233" s="195"/>
      <c r="E233" s="195"/>
      <c r="F233" s="194"/>
      <c r="G233" s="196"/>
      <c r="I233" s="77">
        <f t="shared" si="51"/>
        <v>109</v>
      </c>
      <c r="J233" s="73">
        <f t="shared" si="47"/>
        <v>1900</v>
      </c>
      <c r="K233" s="78" t="str">
        <f t="shared" si="48"/>
        <v/>
      </c>
      <c r="M233" s="41" t="e">
        <v>#N/A</v>
      </c>
      <c r="T233" s="192"/>
    </row>
    <row r="234" spans="2:20" hidden="1" outlineLevel="1">
      <c r="B234" s="212"/>
      <c r="C234" s="194"/>
      <c r="D234" s="195"/>
      <c r="E234" s="195"/>
      <c r="F234" s="194"/>
      <c r="G234" s="196"/>
      <c r="I234" s="77">
        <f t="shared" si="51"/>
        <v>110</v>
      </c>
      <c r="J234" s="73">
        <f t="shared" si="47"/>
        <v>1900</v>
      </c>
      <c r="K234" s="78" t="str">
        <f t="shared" si="48"/>
        <v/>
      </c>
      <c r="M234" s="41" t="e">
        <v>#N/A</v>
      </c>
      <c r="T234" s="192"/>
    </row>
    <row r="235" spans="2:20" hidden="1" outlineLevel="1">
      <c r="B235" s="212"/>
      <c r="C235" s="194"/>
      <c r="D235" s="195"/>
      <c r="E235" s="195"/>
      <c r="F235" s="194"/>
      <c r="G235" s="196"/>
      <c r="I235" s="77">
        <f t="shared" si="51"/>
        <v>111</v>
      </c>
      <c r="J235" s="73">
        <f t="shared" si="47"/>
        <v>1900</v>
      </c>
      <c r="K235" s="78" t="str">
        <f t="shared" si="48"/>
        <v/>
      </c>
      <c r="M235" s="41" t="e">
        <v>#N/A</v>
      </c>
      <c r="T235" s="192"/>
    </row>
    <row r="236" spans="2:20" hidden="1" outlineLevel="1">
      <c r="B236" s="212"/>
      <c r="C236" s="194"/>
      <c r="D236" s="195"/>
      <c r="E236" s="195"/>
      <c r="F236" s="194"/>
      <c r="G236" s="196"/>
      <c r="I236" s="77">
        <f t="shared" si="51"/>
        <v>112</v>
      </c>
      <c r="J236" s="73">
        <f t="shared" si="47"/>
        <v>1900</v>
      </c>
      <c r="K236" s="78" t="str">
        <f t="shared" si="48"/>
        <v/>
      </c>
      <c r="M236" s="41" t="e">
        <v>#N/A</v>
      </c>
      <c r="T236" s="192"/>
    </row>
    <row r="237" spans="2:20" hidden="1" outlineLevel="1">
      <c r="B237" s="212"/>
      <c r="C237" s="194"/>
      <c r="D237" s="195"/>
      <c r="E237" s="195"/>
      <c r="F237" s="194"/>
      <c r="G237" s="196"/>
      <c r="I237" s="77">
        <f t="shared" si="51"/>
        <v>113</v>
      </c>
      <c r="J237" s="73">
        <f t="shared" si="47"/>
        <v>1900</v>
      </c>
      <c r="K237" s="78" t="str">
        <f t="shared" si="48"/>
        <v/>
      </c>
      <c r="M237" s="41" t="e">
        <v>#N/A</v>
      </c>
      <c r="T237" s="192"/>
    </row>
    <row r="238" spans="2:20" hidden="1" outlineLevel="1">
      <c r="B238" s="212"/>
      <c r="C238" s="194"/>
      <c r="D238" s="195"/>
      <c r="E238" s="195"/>
      <c r="F238" s="194"/>
      <c r="G238" s="196"/>
      <c r="I238" s="77">
        <f t="shared" si="51"/>
        <v>114</v>
      </c>
      <c r="J238" s="73">
        <f t="shared" si="47"/>
        <v>1900</v>
      </c>
      <c r="K238" s="78" t="str">
        <f t="shared" si="48"/>
        <v/>
      </c>
      <c r="M238" s="41" t="e">
        <v>#N/A</v>
      </c>
      <c r="T238" s="192"/>
    </row>
    <row r="239" spans="2:20" hidden="1" outlineLevel="1">
      <c r="B239" s="212"/>
      <c r="C239" s="194"/>
      <c r="D239" s="195"/>
      <c r="E239" s="195"/>
      <c r="F239" s="194"/>
      <c r="G239" s="196"/>
      <c r="I239" s="77">
        <f t="shared" si="51"/>
        <v>115</v>
      </c>
      <c r="J239" s="73">
        <f t="shared" si="47"/>
        <v>1900</v>
      </c>
      <c r="K239" s="78" t="str">
        <f t="shared" si="48"/>
        <v/>
      </c>
      <c r="M239" s="41" t="e">
        <v>#N/A</v>
      </c>
      <c r="T239" s="192"/>
    </row>
    <row r="240" spans="2:20" hidden="1" outlineLevel="1">
      <c r="B240" s="213"/>
      <c r="C240" s="197"/>
      <c r="D240" s="198"/>
      <c r="E240" s="198"/>
      <c r="F240" s="197"/>
      <c r="G240" s="199"/>
      <c r="I240" s="64">
        <f t="shared" si="51"/>
        <v>116</v>
      </c>
      <c r="J240" s="73">
        <f t="shared" si="47"/>
        <v>1900</v>
      </c>
      <c r="K240" s="82" t="str">
        <f t="shared" si="48"/>
        <v/>
      </c>
      <c r="M240" s="41" t="e">
        <v>#N/A</v>
      </c>
      <c r="T240" s="192"/>
    </row>
    <row r="241" spans="2:20" hidden="1" outlineLevel="1">
      <c r="B241" s="211"/>
      <c r="C241" s="200"/>
      <c r="D241" s="201"/>
      <c r="E241" s="201"/>
      <c r="F241" s="200"/>
      <c r="G241" s="202"/>
      <c r="I241" s="60">
        <f>I121</f>
        <v>118</v>
      </c>
      <c r="J241" s="73">
        <f t="shared" si="47"/>
        <v>1900</v>
      </c>
      <c r="K241" s="74" t="str">
        <f t="shared" si="48"/>
        <v/>
      </c>
      <c r="M241" s="41" t="e">
        <v>#N/A</v>
      </c>
      <c r="T241" s="192"/>
    </row>
    <row r="242" spans="2:20" hidden="1" outlineLevel="1">
      <c r="B242" s="212"/>
      <c r="C242" s="194"/>
      <c r="D242" s="195"/>
      <c r="E242" s="195"/>
      <c r="F242" s="194"/>
      <c r="G242" s="196"/>
      <c r="I242" s="77">
        <f t="shared" si="51"/>
        <v>119</v>
      </c>
      <c r="J242" s="73">
        <f t="shared" si="47"/>
        <v>1900</v>
      </c>
      <c r="K242" s="78" t="str">
        <f t="shared" si="48"/>
        <v/>
      </c>
      <c r="M242" s="41" t="e">
        <v>#N/A</v>
      </c>
      <c r="T242" s="192"/>
    </row>
    <row r="243" spans="2:20" hidden="1" outlineLevel="1">
      <c r="B243" s="212"/>
      <c r="C243" s="194"/>
      <c r="D243" s="195"/>
      <c r="E243" s="195"/>
      <c r="F243" s="194"/>
      <c r="G243" s="196"/>
      <c r="I243" s="77">
        <f t="shared" si="51"/>
        <v>120</v>
      </c>
      <c r="J243" s="73">
        <f t="shared" si="47"/>
        <v>1900</v>
      </c>
      <c r="K243" s="78" t="str">
        <f t="shared" si="48"/>
        <v/>
      </c>
      <c r="M243" s="41" t="e">
        <v>#N/A</v>
      </c>
      <c r="T243" s="192"/>
    </row>
    <row r="244" spans="2:20" hidden="1" outlineLevel="1">
      <c r="B244" s="212"/>
      <c r="C244" s="194"/>
      <c r="D244" s="195"/>
      <c r="E244" s="195"/>
      <c r="F244" s="194"/>
      <c r="G244" s="196"/>
      <c r="I244" s="77">
        <f t="shared" si="51"/>
        <v>121</v>
      </c>
      <c r="J244" s="73">
        <f t="shared" si="47"/>
        <v>1900</v>
      </c>
      <c r="K244" s="78" t="str">
        <f t="shared" si="48"/>
        <v/>
      </c>
      <c r="M244" s="41" t="e">
        <v>#N/A</v>
      </c>
      <c r="T244" s="192"/>
    </row>
    <row r="245" spans="2:20" hidden="1" outlineLevel="1">
      <c r="B245" s="212"/>
      <c r="C245" s="194"/>
      <c r="D245" s="195"/>
      <c r="E245" s="195"/>
      <c r="F245" s="194"/>
      <c r="G245" s="196"/>
      <c r="I245" s="77">
        <f t="shared" si="51"/>
        <v>122</v>
      </c>
      <c r="J245" s="73">
        <f t="shared" si="47"/>
        <v>1900</v>
      </c>
      <c r="K245" s="78" t="str">
        <f t="shared" si="48"/>
        <v/>
      </c>
      <c r="M245" s="41" t="e">
        <v>#N/A</v>
      </c>
      <c r="T245" s="192"/>
    </row>
    <row r="246" spans="2:20" hidden="1" outlineLevel="1">
      <c r="B246" s="212"/>
      <c r="C246" s="194"/>
      <c r="D246" s="195"/>
      <c r="E246" s="195"/>
      <c r="F246" s="194"/>
      <c r="G246" s="196"/>
      <c r="I246" s="77">
        <f t="shared" si="51"/>
        <v>123</v>
      </c>
      <c r="J246" s="73">
        <f t="shared" si="47"/>
        <v>1900</v>
      </c>
      <c r="K246" s="78" t="str">
        <f t="shared" si="48"/>
        <v/>
      </c>
      <c r="M246" s="41" t="e">
        <v>#N/A</v>
      </c>
      <c r="T246" s="192"/>
    </row>
    <row r="247" spans="2:20" hidden="1" outlineLevel="1">
      <c r="B247" s="212"/>
      <c r="C247" s="194"/>
      <c r="D247" s="195"/>
      <c r="E247" s="195"/>
      <c r="F247" s="194"/>
      <c r="G247" s="196"/>
      <c r="I247" s="77">
        <f t="shared" si="51"/>
        <v>124</v>
      </c>
      <c r="J247" s="73">
        <f t="shared" si="47"/>
        <v>1900</v>
      </c>
      <c r="K247" s="78" t="str">
        <f t="shared" si="48"/>
        <v/>
      </c>
      <c r="M247" s="41" t="e">
        <v>#N/A</v>
      </c>
      <c r="T247" s="192"/>
    </row>
    <row r="248" spans="2:20" hidden="1" outlineLevel="1">
      <c r="B248" s="212"/>
      <c r="C248" s="194"/>
      <c r="D248" s="195"/>
      <c r="E248" s="195"/>
      <c r="F248" s="194"/>
      <c r="G248" s="196"/>
      <c r="I248" s="77">
        <f t="shared" si="51"/>
        <v>125</v>
      </c>
      <c r="J248" s="73">
        <f t="shared" si="47"/>
        <v>1900</v>
      </c>
      <c r="K248" s="78" t="str">
        <f t="shared" si="48"/>
        <v/>
      </c>
      <c r="M248" s="41" t="e">
        <v>#N/A</v>
      </c>
      <c r="T248" s="192"/>
    </row>
    <row r="249" spans="2:20" hidden="1" outlineLevel="1">
      <c r="B249" s="212"/>
      <c r="C249" s="194"/>
      <c r="D249" s="195"/>
      <c r="E249" s="195"/>
      <c r="F249" s="194"/>
      <c r="G249" s="196"/>
      <c r="I249" s="77">
        <f t="shared" si="51"/>
        <v>126</v>
      </c>
      <c r="J249" s="73">
        <f t="shared" si="47"/>
        <v>1900</v>
      </c>
      <c r="K249" s="78" t="str">
        <f t="shared" si="48"/>
        <v/>
      </c>
      <c r="M249" s="41" t="e">
        <v>#N/A</v>
      </c>
      <c r="T249" s="192"/>
    </row>
    <row r="250" spans="2:20" hidden="1" outlineLevel="1">
      <c r="B250" s="212"/>
      <c r="C250" s="194"/>
      <c r="D250" s="195"/>
      <c r="E250" s="195"/>
      <c r="F250" s="194"/>
      <c r="G250" s="196"/>
      <c r="I250" s="77">
        <f t="shared" si="51"/>
        <v>127</v>
      </c>
      <c r="J250" s="73">
        <f t="shared" si="47"/>
        <v>1900</v>
      </c>
      <c r="K250" s="78" t="str">
        <f t="shared" si="48"/>
        <v/>
      </c>
      <c r="M250" s="41" t="e">
        <v>#N/A</v>
      </c>
      <c r="T250" s="192"/>
    </row>
    <row r="251" spans="2:20" hidden="1" outlineLevel="1">
      <c r="B251" s="212"/>
      <c r="C251" s="194"/>
      <c r="D251" s="195"/>
      <c r="E251" s="195"/>
      <c r="F251" s="194"/>
      <c r="G251" s="196"/>
      <c r="I251" s="77">
        <f t="shared" si="51"/>
        <v>128</v>
      </c>
      <c r="J251" s="73">
        <f t="shared" si="47"/>
        <v>1900</v>
      </c>
      <c r="K251" s="78" t="str">
        <f t="shared" si="48"/>
        <v/>
      </c>
      <c r="M251" s="41" t="e">
        <v>#N/A</v>
      </c>
      <c r="O251" s="192"/>
      <c r="P251" s="192"/>
      <c r="T251" s="192"/>
    </row>
    <row r="252" spans="2:20" hidden="1" outlineLevel="1" collapsed="1">
      <c r="B252" s="213"/>
      <c r="C252" s="197"/>
      <c r="D252" s="198"/>
      <c r="E252" s="198"/>
      <c r="F252" s="197"/>
      <c r="G252" s="199"/>
      <c r="I252" s="64">
        <f t="shared" si="51"/>
        <v>129</v>
      </c>
      <c r="J252" s="73">
        <f t="shared" si="47"/>
        <v>1900</v>
      </c>
      <c r="K252" s="82" t="str">
        <f t="shared" si="48"/>
        <v/>
      </c>
      <c r="M252" s="41" t="e">
        <v>#N/A</v>
      </c>
      <c r="O252" s="192"/>
      <c r="P252" s="192"/>
      <c r="T252" s="192"/>
    </row>
    <row r="253" spans="2:20" hidden="1" outlineLevel="1">
      <c r="B253" s="211"/>
      <c r="C253" s="200"/>
      <c r="D253" s="201"/>
      <c r="E253" s="201"/>
      <c r="F253" s="200"/>
      <c r="G253" s="202"/>
      <c r="I253" s="60">
        <f>I133</f>
        <v>1</v>
      </c>
      <c r="J253" s="73">
        <f t="shared" si="47"/>
        <v>1900</v>
      </c>
      <c r="K253" s="74" t="str">
        <f t="shared" si="48"/>
        <v/>
      </c>
      <c r="M253" s="41" t="e">
        <v>#N/A</v>
      </c>
      <c r="O253" s="192"/>
      <c r="P253" s="192"/>
      <c r="T253" s="192"/>
    </row>
    <row r="254" spans="2:20" hidden="1" outlineLevel="1">
      <c r="B254" s="212"/>
      <c r="C254" s="194"/>
      <c r="D254" s="195"/>
      <c r="E254" s="195"/>
      <c r="F254" s="194"/>
      <c r="G254" s="196"/>
      <c r="I254" s="77">
        <f t="shared" si="51"/>
        <v>2</v>
      </c>
      <c r="J254" s="73">
        <f t="shared" si="47"/>
        <v>1900</v>
      </c>
      <c r="K254" s="78" t="str">
        <f t="shared" si="48"/>
        <v/>
      </c>
      <c r="M254" s="41" t="e">
        <v>#N/A</v>
      </c>
      <c r="O254" s="192"/>
      <c r="P254" s="192"/>
      <c r="T254" s="192"/>
    </row>
    <row r="255" spans="2:20" hidden="1" outlineLevel="1">
      <c r="B255" s="212"/>
      <c r="C255" s="194"/>
      <c r="D255" s="195"/>
      <c r="E255" s="195"/>
      <c r="F255" s="194"/>
      <c r="G255" s="196"/>
      <c r="I255" s="77">
        <f t="shared" si="51"/>
        <v>3</v>
      </c>
      <c r="J255" s="73">
        <f t="shared" si="47"/>
        <v>1900</v>
      </c>
      <c r="K255" s="78" t="str">
        <f t="shared" si="48"/>
        <v/>
      </c>
      <c r="M255" s="41" t="e">
        <v>#N/A</v>
      </c>
      <c r="O255" s="192"/>
      <c r="P255" s="192"/>
      <c r="T255" s="192"/>
    </row>
    <row r="256" spans="2:20" hidden="1" outlineLevel="1">
      <c r="B256" s="212"/>
      <c r="C256" s="194"/>
      <c r="D256" s="195"/>
      <c r="E256" s="195"/>
      <c r="F256" s="194"/>
      <c r="G256" s="196"/>
      <c r="I256" s="77">
        <f t="shared" si="51"/>
        <v>4</v>
      </c>
      <c r="J256" s="73">
        <f t="shared" si="47"/>
        <v>1900</v>
      </c>
      <c r="K256" s="78" t="str">
        <f t="shared" si="48"/>
        <v/>
      </c>
      <c r="M256" s="41" t="e">
        <v>#N/A</v>
      </c>
      <c r="O256" s="192"/>
      <c r="P256" s="192"/>
      <c r="T256" s="192"/>
    </row>
    <row r="257" spans="2:20" hidden="1" outlineLevel="1">
      <c r="B257" s="212"/>
      <c r="C257" s="194"/>
      <c r="D257" s="195"/>
      <c r="E257" s="195"/>
      <c r="F257" s="194"/>
      <c r="G257" s="196"/>
      <c r="I257" s="77">
        <f t="shared" si="51"/>
        <v>5</v>
      </c>
      <c r="J257" s="73">
        <f t="shared" ref="J257:J264" si="52">YEAR(B257)</f>
        <v>1900</v>
      </c>
      <c r="K257" s="78" t="str">
        <f t="shared" ref="K257:K264" si="53">IF(ISNUMBER(F257),IF(F257&lt;&gt;0,B257,""),"")</f>
        <v/>
      </c>
      <c r="M257" s="41" t="e">
        <v>#N/A</v>
      </c>
      <c r="O257" s="192"/>
      <c r="P257" s="192"/>
      <c r="T257" s="192"/>
    </row>
    <row r="258" spans="2:20" hidden="1" outlineLevel="1">
      <c r="B258" s="212"/>
      <c r="C258" s="194"/>
      <c r="D258" s="195"/>
      <c r="E258" s="195"/>
      <c r="F258" s="194"/>
      <c r="G258" s="196"/>
      <c r="I258" s="77">
        <f t="shared" si="51"/>
        <v>6</v>
      </c>
      <c r="J258" s="73">
        <f t="shared" si="52"/>
        <v>1900</v>
      </c>
      <c r="K258" s="78" t="str">
        <f t="shared" si="53"/>
        <v/>
      </c>
      <c r="M258" s="41" t="e">
        <v>#N/A</v>
      </c>
      <c r="O258" s="192"/>
      <c r="P258" s="192"/>
      <c r="T258" s="192"/>
    </row>
    <row r="259" spans="2:20" hidden="1" outlineLevel="1">
      <c r="B259" s="212"/>
      <c r="C259" s="194"/>
      <c r="D259" s="195"/>
      <c r="E259" s="195"/>
      <c r="F259" s="194"/>
      <c r="G259" s="196"/>
      <c r="I259" s="77">
        <f t="shared" si="51"/>
        <v>7</v>
      </c>
      <c r="J259" s="73">
        <f t="shared" si="52"/>
        <v>1900</v>
      </c>
      <c r="K259" s="78" t="str">
        <f t="shared" si="53"/>
        <v/>
      </c>
      <c r="M259" s="41" t="e">
        <v>#N/A</v>
      </c>
      <c r="O259" s="192"/>
      <c r="P259" s="192"/>
    </row>
    <row r="260" spans="2:20" hidden="1" outlineLevel="1">
      <c r="B260" s="212"/>
      <c r="C260" s="194"/>
      <c r="D260" s="195"/>
      <c r="E260" s="195"/>
      <c r="F260" s="194"/>
      <c r="G260" s="196"/>
      <c r="I260" s="77">
        <f t="shared" si="51"/>
        <v>8</v>
      </c>
      <c r="J260" s="73">
        <f t="shared" si="52"/>
        <v>1900</v>
      </c>
      <c r="K260" s="78" t="str">
        <f t="shared" si="53"/>
        <v/>
      </c>
      <c r="M260" s="41" t="e">
        <v>#N/A</v>
      </c>
      <c r="O260" s="192"/>
      <c r="P260" s="192"/>
    </row>
    <row r="261" spans="2:20" hidden="1" outlineLevel="1">
      <c r="B261" s="212"/>
      <c r="C261" s="194"/>
      <c r="D261" s="195"/>
      <c r="E261" s="195"/>
      <c r="F261" s="194"/>
      <c r="G261" s="196"/>
      <c r="I261" s="77">
        <f t="shared" si="51"/>
        <v>9</v>
      </c>
      <c r="J261" s="73">
        <f t="shared" si="52"/>
        <v>1900</v>
      </c>
      <c r="K261" s="78" t="str">
        <f t="shared" si="53"/>
        <v/>
      </c>
      <c r="M261" s="41" t="e">
        <v>#N/A</v>
      </c>
      <c r="O261" s="192"/>
      <c r="P261" s="192"/>
    </row>
    <row r="262" spans="2:20" hidden="1" outlineLevel="1">
      <c r="B262" s="212"/>
      <c r="C262" s="194"/>
      <c r="D262" s="195"/>
      <c r="E262" s="195"/>
      <c r="F262" s="194"/>
      <c r="G262" s="196"/>
      <c r="I262" s="77">
        <f t="shared" si="51"/>
        <v>10</v>
      </c>
      <c r="J262" s="73">
        <f t="shared" si="52"/>
        <v>1900</v>
      </c>
      <c r="K262" s="78" t="str">
        <f t="shared" si="53"/>
        <v/>
      </c>
      <c r="M262" s="41" t="e">
        <v>#N/A</v>
      </c>
    </row>
    <row r="263" spans="2:20" hidden="1" outlineLevel="1">
      <c r="B263" s="212"/>
      <c r="C263" s="194"/>
      <c r="D263" s="195"/>
      <c r="E263" s="195"/>
      <c r="F263" s="194"/>
      <c r="G263" s="196"/>
      <c r="I263" s="77">
        <f t="shared" si="51"/>
        <v>11</v>
      </c>
      <c r="J263" s="73">
        <f t="shared" si="52"/>
        <v>1900</v>
      </c>
      <c r="K263" s="78" t="str">
        <f t="shared" si="53"/>
        <v/>
      </c>
      <c r="M263" s="41" t="e">
        <v>#N/A</v>
      </c>
    </row>
    <row r="264" spans="2:20" hidden="1" outlineLevel="1">
      <c r="B264" s="213"/>
      <c r="C264" s="197"/>
      <c r="D264" s="198"/>
      <c r="E264" s="198"/>
      <c r="F264" s="197"/>
      <c r="G264" s="199"/>
      <c r="I264" s="64">
        <f t="shared" si="51"/>
        <v>12</v>
      </c>
      <c r="J264" s="73">
        <f t="shared" si="52"/>
        <v>1900</v>
      </c>
      <c r="K264" s="82" t="str">
        <f t="shared" si="53"/>
        <v/>
      </c>
      <c r="M264" s="41" t="e">
        <v>#N/A</v>
      </c>
    </row>
    <row r="265" spans="2:20" hidden="1" outlineLevel="1">
      <c r="B265" s="211"/>
      <c r="C265" s="200"/>
      <c r="D265" s="201"/>
      <c r="E265" s="201"/>
      <c r="F265" s="200"/>
      <c r="G265" s="202"/>
      <c r="I265" s="60">
        <f>I145</f>
        <v>14</v>
      </c>
      <c r="J265" s="73">
        <f t="shared" ref="J265:J276" si="54">YEAR(B265)</f>
        <v>1900</v>
      </c>
      <c r="K265" s="74" t="str">
        <f t="shared" ref="K265:K276" si="55">IF(ISNUMBER(F265),IF(F265&lt;&gt;0,B265,""),"")</f>
        <v/>
      </c>
      <c r="M265" s="41" t="e">
        <v>#N/A</v>
      </c>
      <c r="O265" s="192"/>
      <c r="P265" s="192"/>
      <c r="T265" s="192"/>
    </row>
    <row r="266" spans="2:20" hidden="1" outlineLevel="1">
      <c r="B266" s="212"/>
      <c r="C266" s="194"/>
      <c r="D266" s="195"/>
      <c r="E266" s="195"/>
      <c r="F266" s="194"/>
      <c r="G266" s="196"/>
      <c r="I266" s="77">
        <f t="shared" ref="I266:I276" si="56">I146</f>
        <v>15</v>
      </c>
      <c r="J266" s="73">
        <f t="shared" si="54"/>
        <v>1900</v>
      </c>
      <c r="K266" s="78" t="str">
        <f t="shared" si="55"/>
        <v/>
      </c>
      <c r="M266" s="41" t="e">
        <v>#N/A</v>
      </c>
      <c r="O266" s="192"/>
      <c r="P266" s="192"/>
      <c r="T266" s="192"/>
    </row>
    <row r="267" spans="2:20" hidden="1" outlineLevel="1">
      <c r="B267" s="212"/>
      <c r="C267" s="194"/>
      <c r="D267" s="195"/>
      <c r="E267" s="195"/>
      <c r="F267" s="194"/>
      <c r="G267" s="196"/>
      <c r="I267" s="77">
        <f t="shared" si="56"/>
        <v>16</v>
      </c>
      <c r="J267" s="73">
        <f t="shared" si="54"/>
        <v>1900</v>
      </c>
      <c r="K267" s="78" t="str">
        <f t="shared" si="55"/>
        <v/>
      </c>
      <c r="M267" s="41" t="e">
        <v>#N/A</v>
      </c>
      <c r="O267" s="192"/>
      <c r="P267" s="192"/>
      <c r="T267" s="192"/>
    </row>
    <row r="268" spans="2:20" hidden="1" outlineLevel="1">
      <c r="B268" s="212"/>
      <c r="C268" s="194"/>
      <c r="D268" s="195"/>
      <c r="E268" s="195"/>
      <c r="F268" s="194"/>
      <c r="G268" s="196"/>
      <c r="I268" s="77">
        <f t="shared" si="56"/>
        <v>17</v>
      </c>
      <c r="J268" s="73">
        <f t="shared" si="54"/>
        <v>1900</v>
      </c>
      <c r="K268" s="78" t="str">
        <f t="shared" si="55"/>
        <v/>
      </c>
      <c r="M268" s="41" t="e">
        <v>#N/A</v>
      </c>
      <c r="O268" s="192"/>
      <c r="P268" s="192"/>
      <c r="T268" s="192"/>
    </row>
    <row r="269" spans="2:20" hidden="1" outlineLevel="1">
      <c r="B269" s="212"/>
      <c r="C269" s="194"/>
      <c r="D269" s="195"/>
      <c r="E269" s="195"/>
      <c r="F269" s="194"/>
      <c r="G269" s="196"/>
      <c r="I269" s="77">
        <f t="shared" si="56"/>
        <v>18</v>
      </c>
      <c r="J269" s="73">
        <f t="shared" si="54"/>
        <v>1900</v>
      </c>
      <c r="K269" s="78" t="str">
        <f t="shared" si="55"/>
        <v/>
      </c>
      <c r="M269" s="41" t="e">
        <v>#N/A</v>
      </c>
      <c r="O269" s="192"/>
      <c r="P269" s="192"/>
      <c r="T269" s="192"/>
    </row>
    <row r="270" spans="2:20" hidden="1" outlineLevel="1">
      <c r="B270" s="212"/>
      <c r="C270" s="194"/>
      <c r="D270" s="195"/>
      <c r="E270" s="195"/>
      <c r="F270" s="194"/>
      <c r="G270" s="196"/>
      <c r="I270" s="77">
        <f t="shared" si="56"/>
        <v>19</v>
      </c>
      <c r="J270" s="73">
        <f t="shared" si="54"/>
        <v>1900</v>
      </c>
      <c r="K270" s="78" t="str">
        <f t="shared" si="55"/>
        <v/>
      </c>
      <c r="M270" s="41" t="e">
        <v>#N/A</v>
      </c>
      <c r="O270" s="192"/>
      <c r="P270" s="192"/>
      <c r="T270" s="192"/>
    </row>
    <row r="271" spans="2:20" hidden="1" outlineLevel="1">
      <c r="B271" s="212"/>
      <c r="C271" s="194"/>
      <c r="D271" s="195"/>
      <c r="E271" s="195"/>
      <c r="F271" s="194"/>
      <c r="G271" s="196"/>
      <c r="I271" s="77">
        <f t="shared" si="56"/>
        <v>20</v>
      </c>
      <c r="J271" s="73">
        <f t="shared" si="54"/>
        <v>1900</v>
      </c>
      <c r="K271" s="78" t="str">
        <f t="shared" si="55"/>
        <v/>
      </c>
      <c r="M271" s="41" t="e">
        <v>#N/A</v>
      </c>
      <c r="O271" s="192"/>
      <c r="P271" s="192"/>
    </row>
    <row r="272" spans="2:20" hidden="1" outlineLevel="1">
      <c r="B272" s="212"/>
      <c r="C272" s="194"/>
      <c r="D272" s="195"/>
      <c r="E272" s="195"/>
      <c r="F272" s="194"/>
      <c r="G272" s="196"/>
      <c r="I272" s="77">
        <f t="shared" si="56"/>
        <v>21</v>
      </c>
      <c r="J272" s="73">
        <f t="shared" si="54"/>
        <v>1900</v>
      </c>
      <c r="K272" s="78" t="str">
        <f t="shared" si="55"/>
        <v/>
      </c>
      <c r="M272" s="41" t="e">
        <v>#N/A</v>
      </c>
      <c r="O272" s="192"/>
      <c r="P272" s="192"/>
    </row>
    <row r="273" spans="2:16" hidden="1" outlineLevel="1">
      <c r="B273" s="212"/>
      <c r="C273" s="194"/>
      <c r="D273" s="195"/>
      <c r="E273" s="195"/>
      <c r="F273" s="194"/>
      <c r="G273" s="196"/>
      <c r="I273" s="77">
        <f t="shared" si="56"/>
        <v>22</v>
      </c>
      <c r="J273" s="73">
        <f t="shared" si="54"/>
        <v>1900</v>
      </c>
      <c r="K273" s="78" t="str">
        <f t="shared" si="55"/>
        <v/>
      </c>
      <c r="M273" s="41" t="e">
        <v>#N/A</v>
      </c>
      <c r="O273" s="192"/>
      <c r="P273" s="192"/>
    </row>
    <row r="274" spans="2:16" hidden="1" outlineLevel="1">
      <c r="B274" s="212"/>
      <c r="C274" s="194"/>
      <c r="D274" s="195"/>
      <c r="E274" s="195"/>
      <c r="F274" s="194"/>
      <c r="G274" s="196"/>
      <c r="I274" s="77">
        <f t="shared" si="56"/>
        <v>23</v>
      </c>
      <c r="J274" s="73">
        <f t="shared" si="54"/>
        <v>1900</v>
      </c>
      <c r="K274" s="78" t="str">
        <f t="shared" si="55"/>
        <v/>
      </c>
      <c r="M274" s="41" t="e">
        <v>#N/A</v>
      </c>
    </row>
    <row r="275" spans="2:16" hidden="1" outlineLevel="1">
      <c r="B275" s="212"/>
      <c r="C275" s="194"/>
      <c r="D275" s="195"/>
      <c r="E275" s="195"/>
      <c r="F275" s="194"/>
      <c r="G275" s="196"/>
      <c r="I275" s="77">
        <f t="shared" si="56"/>
        <v>24</v>
      </c>
      <c r="J275" s="73">
        <f t="shared" si="54"/>
        <v>1900</v>
      </c>
      <c r="K275" s="78" t="str">
        <f t="shared" si="55"/>
        <v/>
      </c>
      <c r="M275" s="41" t="e">
        <v>#N/A</v>
      </c>
    </row>
    <row r="276" spans="2:16" hidden="1" outlineLevel="1">
      <c r="B276" s="213"/>
      <c r="C276" s="197"/>
      <c r="D276" s="198"/>
      <c r="E276" s="198"/>
      <c r="F276" s="197"/>
      <c r="G276" s="199"/>
      <c r="I276" s="64">
        <f t="shared" si="56"/>
        <v>25</v>
      </c>
      <c r="J276" s="73">
        <f t="shared" si="54"/>
        <v>1900</v>
      </c>
      <c r="K276" s="82" t="str">
        <f t="shared" si="55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7"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101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107</v>
      </c>
      <c r="D5" s="125" t="s">
        <v>102</v>
      </c>
      <c r="E5" s="17" t="s">
        <v>55</v>
      </c>
      <c r="H5" s="172"/>
      <c r="N5" s="121"/>
    </row>
    <row r="6" spans="2:16" ht="24" customHeight="1">
      <c r="B6" s="126"/>
      <c r="C6" s="128" t="s">
        <v>9</v>
      </c>
      <c r="D6" s="127" t="s">
        <v>103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25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47.55</v>
      </c>
      <c r="D10" s="140">
        <v>2</v>
      </c>
      <c r="E10" s="134">
        <f t="shared" ref="E10:E32" si="0">SUM(C10:C10)*D10/12</f>
        <v>7.9249999999999998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3"/>
      <c r="O11" s="203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49.76</v>
      </c>
      <c r="D12" s="140">
        <v>12</v>
      </c>
      <c r="E12" s="134">
        <f t="shared" si="0"/>
        <v>49.76</v>
      </c>
      <c r="F12" s="123"/>
      <c r="H12" s="173"/>
      <c r="J12" s="204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50.95</v>
      </c>
      <c r="D13" s="140">
        <v>12</v>
      </c>
      <c r="E13" s="134">
        <f t="shared" si="0"/>
        <v>50.95000000000001</v>
      </c>
      <c r="F13" s="123"/>
      <c r="H13" s="173"/>
      <c r="I13" s="137"/>
      <c r="J13" s="204"/>
      <c r="N13" s="121"/>
    </row>
    <row r="14" spans="2:16">
      <c r="B14" s="140">
        <f t="shared" si="1"/>
        <v>2024</v>
      </c>
      <c r="C14" s="132">
        <f t="shared" si="2"/>
        <v>52.17</v>
      </c>
      <c r="D14" s="140">
        <v>12</v>
      </c>
      <c r="E14" s="134">
        <f t="shared" si="0"/>
        <v>52.169999999999995</v>
      </c>
      <c r="F14" s="123"/>
      <c r="H14" s="173"/>
      <c r="K14" s="205"/>
      <c r="N14" s="121"/>
    </row>
    <row r="15" spans="2:16">
      <c r="B15" s="140">
        <f t="shared" si="1"/>
        <v>2025</v>
      </c>
      <c r="C15" s="132">
        <f t="shared" si="2"/>
        <v>53.37</v>
      </c>
      <c r="D15" s="140">
        <v>12</v>
      </c>
      <c r="E15" s="134">
        <f t="shared" si="0"/>
        <v>53.37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54.6</v>
      </c>
      <c r="D16" s="140">
        <v>12</v>
      </c>
      <c r="E16" s="134">
        <f t="shared" si="0"/>
        <v>54.6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55.86</v>
      </c>
      <c r="D17" s="140">
        <v>12</v>
      </c>
      <c r="E17" s="134">
        <f t="shared" si="0"/>
        <v>55.859999999999992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57.2</v>
      </c>
      <c r="D18" s="140">
        <v>12</v>
      </c>
      <c r="E18" s="134">
        <f t="shared" si="0"/>
        <v>57.20000000000001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58.57</v>
      </c>
      <c r="D19" s="140">
        <v>12</v>
      </c>
      <c r="E19" s="134">
        <f t="shared" si="0"/>
        <v>58.57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59.92</v>
      </c>
      <c r="D20" s="140">
        <v>12</v>
      </c>
      <c r="E20" s="134">
        <f t="shared" si="0"/>
        <v>59.919999999999995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61.3</v>
      </c>
      <c r="D21" s="140">
        <v>12</v>
      </c>
      <c r="E21" s="134">
        <f t="shared" si="0"/>
        <v>61.29999999999999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62.71</v>
      </c>
      <c r="D22" s="140">
        <v>12</v>
      </c>
      <c r="E22" s="134">
        <f t="shared" si="0"/>
        <v>62.71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64.150000000000006</v>
      </c>
      <c r="D23" s="140">
        <v>12</v>
      </c>
      <c r="E23" s="134">
        <f t="shared" si="0"/>
        <v>64.150000000000006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65.63</v>
      </c>
      <c r="D24" s="140">
        <v>12</v>
      </c>
      <c r="E24" s="134">
        <f t="shared" si="0"/>
        <v>65.63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67.069999999999993</v>
      </c>
      <c r="D25" s="140">
        <v>12</v>
      </c>
      <c r="E25" s="134">
        <f t="shared" si="0"/>
        <v>67.069999999999993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68.55</v>
      </c>
      <c r="D26" s="140">
        <v>12</v>
      </c>
      <c r="E26" s="134">
        <f t="shared" si="0"/>
        <v>68.55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70.06</v>
      </c>
      <c r="D27" s="140">
        <v>12</v>
      </c>
      <c r="E27" s="134">
        <f t="shared" si="0"/>
        <v>70.06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71.67</v>
      </c>
      <c r="D28" s="140">
        <v>12</v>
      </c>
      <c r="E28" s="134">
        <f t="shared" si="0"/>
        <v>71.67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73.319999999999993</v>
      </c>
      <c r="D29" s="140">
        <v>12</v>
      </c>
      <c r="E29" s="134">
        <f t="shared" si="0"/>
        <v>73.319999999999993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75.010000000000005</v>
      </c>
      <c r="D30" s="140">
        <v>12</v>
      </c>
      <c r="E30" s="134">
        <f t="shared" si="0"/>
        <v>75.010000000000005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76.739999999999995</v>
      </c>
      <c r="D31" s="140">
        <v>12</v>
      </c>
      <c r="E31" s="134">
        <f t="shared" si="0"/>
        <v>76.739999999999995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78.510000000000005</v>
      </c>
      <c r="D32" s="140">
        <v>12</v>
      </c>
      <c r="E32" s="134">
        <f t="shared" si="0"/>
        <v>78.510000000000005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6" t="s">
        <v>104</v>
      </c>
      <c r="D35" s="207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03" t="s">
        <v>108</v>
      </c>
      <c r="C36" s="304"/>
      <c r="D36" s="217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March 29, 2019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2.3E-2</v>
      </c>
      <c r="H41" s="85"/>
      <c r="I41" s="87">
        <f>F49+1</f>
        <v>2035</v>
      </c>
      <c r="J41" s="41">
        <v>2.1999999999999999E-2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2.3E-2</v>
      </c>
      <c r="H42" s="85"/>
      <c r="I42" s="87">
        <f t="shared" ref="I42:I49" si="5">I41+1</f>
        <v>2036</v>
      </c>
      <c r="J42" s="41">
        <v>2.1999999999999999E-2</v>
      </c>
    </row>
    <row r="43" spans="2:14">
      <c r="C43" s="87">
        <f t="shared" si="3"/>
        <v>2019</v>
      </c>
      <c r="D43" s="41">
        <v>0.02</v>
      </c>
      <c r="E43" s="85"/>
      <c r="F43" s="87">
        <f t="shared" si="4"/>
        <v>2028</v>
      </c>
      <c r="G43" s="41">
        <v>2.4E-2</v>
      </c>
      <c r="H43" s="85"/>
      <c r="I43" s="87">
        <f t="shared" si="5"/>
        <v>2037</v>
      </c>
      <c r="J43" s="41">
        <v>2.1999999999999999E-2</v>
      </c>
    </row>
    <row r="44" spans="2:14">
      <c r="C44" s="87">
        <f t="shared" si="3"/>
        <v>2020</v>
      </c>
      <c r="D44" s="41">
        <v>2.1999999999999999E-2</v>
      </c>
      <c r="E44" s="85"/>
      <c r="F44" s="87">
        <f t="shared" si="4"/>
        <v>2029</v>
      </c>
      <c r="G44" s="41">
        <v>2.4E-2</v>
      </c>
      <c r="H44" s="85"/>
      <c r="I44" s="87">
        <f t="shared" si="5"/>
        <v>2038</v>
      </c>
      <c r="J44" s="41">
        <v>2.3E-2</v>
      </c>
    </row>
    <row r="45" spans="2:14">
      <c r="C45" s="87">
        <f t="shared" si="3"/>
        <v>2021</v>
      </c>
      <c r="D45" s="41">
        <v>2.4E-2</v>
      </c>
      <c r="E45" s="85"/>
      <c r="F45" s="87">
        <f t="shared" si="4"/>
        <v>2030</v>
      </c>
      <c r="G45" s="41">
        <v>2.3E-2</v>
      </c>
      <c r="H45" s="85"/>
      <c r="I45" s="87">
        <f t="shared" si="5"/>
        <v>2039</v>
      </c>
      <c r="J45" s="41">
        <v>2.3E-2</v>
      </c>
    </row>
    <row r="46" spans="2:14">
      <c r="C46" s="87">
        <f t="shared" si="3"/>
        <v>2022</v>
      </c>
      <c r="D46" s="41">
        <v>2.4E-2</v>
      </c>
      <c r="E46" s="85"/>
      <c r="F46" s="87">
        <f t="shared" si="4"/>
        <v>2031</v>
      </c>
      <c r="G46" s="41">
        <v>2.3E-2</v>
      </c>
      <c r="H46" s="85"/>
      <c r="I46" s="87">
        <f t="shared" si="5"/>
        <v>2040</v>
      </c>
      <c r="J46" s="41">
        <v>2.3E-2</v>
      </c>
    </row>
    <row r="47" spans="2:14" s="123" customFormat="1">
      <c r="C47" s="87">
        <f t="shared" si="3"/>
        <v>2023</v>
      </c>
      <c r="D47" s="41">
        <v>2.4E-2</v>
      </c>
      <c r="E47" s="86"/>
      <c r="F47" s="87">
        <f t="shared" si="4"/>
        <v>2032</v>
      </c>
      <c r="G47" s="41">
        <v>2.3E-2</v>
      </c>
      <c r="H47" s="86"/>
      <c r="I47" s="87">
        <f t="shared" si="5"/>
        <v>2041</v>
      </c>
      <c r="J47" s="41">
        <v>2.3E-2</v>
      </c>
      <c r="N47" s="175"/>
    </row>
    <row r="48" spans="2:14" s="123" customFormat="1">
      <c r="C48" s="87">
        <f t="shared" si="3"/>
        <v>2024</v>
      </c>
      <c r="D48" s="41">
        <v>2.4E-2</v>
      </c>
      <c r="E48" s="86"/>
      <c r="F48" s="87">
        <f t="shared" si="4"/>
        <v>2033</v>
      </c>
      <c r="G48" s="41">
        <v>2.3E-2</v>
      </c>
      <c r="H48" s="86"/>
      <c r="I48" s="87">
        <f t="shared" si="5"/>
        <v>2042</v>
      </c>
      <c r="J48" s="41">
        <v>2.3E-2</v>
      </c>
      <c r="N48" s="175"/>
    </row>
    <row r="49" spans="3:14" s="123" customFormat="1">
      <c r="C49" s="87">
        <f t="shared" si="3"/>
        <v>2025</v>
      </c>
      <c r="D49" s="41">
        <v>2.3E-2</v>
      </c>
      <c r="E49" s="86"/>
      <c r="F49" s="87">
        <f t="shared" si="4"/>
        <v>2034</v>
      </c>
      <c r="G49" s="41">
        <v>2.3E-2</v>
      </c>
      <c r="H49" s="86"/>
      <c r="I49" s="87">
        <f t="shared" si="5"/>
        <v>2043</v>
      </c>
      <c r="J49" s="41">
        <v>2.3E-2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G24" sqref="G24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88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14.435115628222126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14.435115628222126</v>
      </c>
      <c r="J13" s="134">
        <f t="shared" si="3"/>
        <v>39.200000000000003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40.06</v>
      </c>
      <c r="F14" s="134">
        <f t="shared" si="1"/>
        <v>14.751804389453529</v>
      </c>
      <c r="G14" s="132">
        <f t="shared" si="5"/>
        <v>0</v>
      </c>
      <c r="H14" s="132">
        <f t="shared" si="5"/>
        <v>0</v>
      </c>
      <c r="I14" s="134">
        <f t="shared" si="2"/>
        <v>14.751804389453529</v>
      </c>
      <c r="J14" s="134">
        <f t="shared" si="3"/>
        <v>40.06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15.105317425246724</v>
      </c>
      <c r="G15" s="132">
        <f t="shared" si="5"/>
        <v>0</v>
      </c>
      <c r="H15" s="132">
        <f t="shared" si="5"/>
        <v>0</v>
      </c>
      <c r="I15" s="134">
        <f t="shared" si="2"/>
        <v>15.105317425246724</v>
      </c>
      <c r="J15" s="134">
        <f t="shared" si="3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15.466195315952277</v>
      </c>
      <c r="G16" s="132">
        <f t="shared" si="5"/>
        <v>0</v>
      </c>
      <c r="H16" s="132">
        <f t="shared" si="5"/>
        <v>0</v>
      </c>
      <c r="I16" s="134">
        <f t="shared" si="2"/>
        <v>15.466195315952277</v>
      </c>
      <c r="J16" s="134">
        <f t="shared" si="3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15.838120489026366</v>
      </c>
      <c r="G17" s="132">
        <f t="shared" si="5"/>
        <v>0</v>
      </c>
      <c r="H17" s="132">
        <f t="shared" si="5"/>
        <v>0</v>
      </c>
      <c r="I17" s="134">
        <f t="shared" si="2"/>
        <v>15.838120489026366</v>
      </c>
      <c r="J17" s="134">
        <f t="shared" si="3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16.217410517012816</v>
      </c>
      <c r="G18" s="132">
        <f t="shared" si="5"/>
        <v>0</v>
      </c>
      <c r="H18" s="132">
        <f t="shared" si="5"/>
        <v>0</v>
      </c>
      <c r="I18" s="134">
        <f t="shared" si="2"/>
        <v>16.217410517012816</v>
      </c>
      <c r="J18" s="134">
        <f t="shared" si="3"/>
        <v>44.04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16.589335690086905</v>
      </c>
      <c r="G19" s="132">
        <f t="shared" si="5"/>
        <v>0</v>
      </c>
      <c r="H19" s="132">
        <f t="shared" si="5"/>
        <v>0</v>
      </c>
      <c r="I19" s="134">
        <f t="shared" si="2"/>
        <v>16.589335690086905</v>
      </c>
      <c r="J19" s="134">
        <f t="shared" si="3"/>
        <v>45.05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16.972308145529535</v>
      </c>
      <c r="G20" s="132">
        <f t="shared" si="5"/>
        <v>0</v>
      </c>
      <c r="H20" s="132">
        <f t="shared" si="5"/>
        <v>0</v>
      </c>
      <c r="I20" s="134">
        <f t="shared" si="2"/>
        <v>16.972308145529535</v>
      </c>
      <c r="J20" s="134">
        <f t="shared" si="3"/>
        <v>46.09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17.362645455884518</v>
      </c>
      <c r="G21" s="132">
        <f t="shared" si="5"/>
        <v>0</v>
      </c>
      <c r="H21" s="132">
        <f t="shared" si="5"/>
        <v>0</v>
      </c>
      <c r="I21" s="134">
        <f t="shared" si="2"/>
        <v>17.362645455884518</v>
      </c>
      <c r="J21" s="134">
        <f t="shared" si="3"/>
        <v>47.15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17.778759758432759</v>
      </c>
      <c r="G22" s="132">
        <f t="shared" si="5"/>
        <v>0</v>
      </c>
      <c r="H22" s="132">
        <f t="shared" si="5"/>
        <v>0</v>
      </c>
      <c r="I22" s="134">
        <f t="shared" si="2"/>
        <v>17.778759758432759</v>
      </c>
      <c r="J22" s="134">
        <f t="shared" si="3"/>
        <v>48.28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18.205921343349537</v>
      </c>
      <c r="G23" s="132">
        <f t="shared" si="5"/>
        <v>0</v>
      </c>
      <c r="H23" s="132">
        <f t="shared" si="5"/>
        <v>0</v>
      </c>
      <c r="I23" s="134">
        <f t="shared" si="2"/>
        <v>18.205921343349537</v>
      </c>
      <c r="J23" s="134">
        <f t="shared" si="3"/>
        <v>49.44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50.58</v>
      </c>
      <c r="F24" s="134">
        <f t="shared" ref="F24:F29" si="8">(D24+E24)/(8.76*$C$63)</f>
        <v>53.999060810687922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53.999060810687922</v>
      </c>
      <c r="J24" s="134">
        <f t="shared" ref="J24:J29" si="10">ROUND(I24*$C$63*8.76,2)</f>
        <v>146.63999999999999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98.27</v>
      </c>
      <c r="E25" s="132">
        <f t="shared" si="5"/>
        <v>51.74</v>
      </c>
      <c r="F25" s="134">
        <f t="shared" si="8"/>
        <v>55.240094270142876</v>
      </c>
      <c r="G25" s="132">
        <f t="shared" si="5"/>
        <v>0</v>
      </c>
      <c r="H25" s="132">
        <f t="shared" si="5"/>
        <v>0</v>
      </c>
      <c r="I25" s="134">
        <f t="shared" si="9"/>
        <v>55.240094270142876</v>
      </c>
      <c r="J25" s="134">
        <f t="shared" si="10"/>
        <v>150.01</v>
      </c>
      <c r="K25" s="132">
        <f t="shared" si="6"/>
        <v>0.83</v>
      </c>
      <c r="L25" s="123"/>
      <c r="M25" s="250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100.53</v>
      </c>
      <c r="E26" s="132">
        <f t="shared" si="5"/>
        <v>52.93</v>
      </c>
      <c r="F26" s="134">
        <f t="shared" si="8"/>
        <v>56.510531742524677</v>
      </c>
      <c r="G26" s="132">
        <f t="shared" si="5"/>
        <v>0</v>
      </c>
      <c r="H26" s="132">
        <f t="shared" si="5"/>
        <v>0</v>
      </c>
      <c r="I26" s="134">
        <f t="shared" si="9"/>
        <v>56.510531742524677</v>
      </c>
      <c r="J26" s="134">
        <f t="shared" si="10"/>
        <v>153.46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102.84</v>
      </c>
      <c r="E27" s="132">
        <f t="shared" si="5"/>
        <v>54.15</v>
      </c>
      <c r="F27" s="134">
        <f t="shared" si="8"/>
        <v>57.810428634555905</v>
      </c>
      <c r="G27" s="132">
        <f t="shared" si="5"/>
        <v>0</v>
      </c>
      <c r="H27" s="132">
        <f t="shared" si="5"/>
        <v>0</v>
      </c>
      <c r="I27" s="134">
        <f t="shared" si="9"/>
        <v>57.810428634555905</v>
      </c>
      <c r="J27" s="134">
        <f t="shared" si="10"/>
        <v>156.99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105.21</v>
      </c>
      <c r="E28" s="132">
        <f t="shared" si="5"/>
        <v>55.4</v>
      </c>
      <c r="F28" s="134">
        <f t="shared" si="8"/>
        <v>59.143467373692737</v>
      </c>
      <c r="G28" s="132">
        <f t="shared" si="5"/>
        <v>0</v>
      </c>
      <c r="H28" s="132">
        <f t="shared" si="5"/>
        <v>0</v>
      </c>
      <c r="I28" s="134">
        <f t="shared" si="9"/>
        <v>59.143467373692737</v>
      </c>
      <c r="J28" s="134">
        <f t="shared" si="10"/>
        <v>160.61000000000001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107.52</v>
      </c>
      <c r="E29" s="132">
        <f t="shared" si="5"/>
        <v>56.62</v>
      </c>
      <c r="F29" s="134">
        <f t="shared" si="8"/>
        <v>60.443364265723964</v>
      </c>
      <c r="G29" s="132">
        <f t="shared" si="5"/>
        <v>0</v>
      </c>
      <c r="H29" s="132">
        <f t="shared" si="5"/>
        <v>0</v>
      </c>
      <c r="I29" s="134">
        <f t="shared" si="9"/>
        <v>60.443364265723964</v>
      </c>
      <c r="J29" s="134">
        <f t="shared" si="10"/>
        <v>164.14</v>
      </c>
      <c r="K29" s="132">
        <f t="shared" si="6"/>
        <v>0.91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109.89</v>
      </c>
      <c r="E30" s="132">
        <f t="shared" si="5"/>
        <v>57.87</v>
      </c>
      <c r="F30" s="134">
        <f t="shared" si="1"/>
        <v>61.776403004860803</v>
      </c>
      <c r="G30" s="132">
        <f t="shared" si="5"/>
        <v>0</v>
      </c>
      <c r="H30" s="132">
        <f t="shared" si="5"/>
        <v>0</v>
      </c>
      <c r="I30" s="134">
        <f t="shared" si="2"/>
        <v>61.776403004860803</v>
      </c>
      <c r="J30" s="134">
        <f t="shared" si="3"/>
        <v>167.76</v>
      </c>
      <c r="K30" s="132">
        <f t="shared" si="6"/>
        <v>0.93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112.31</v>
      </c>
      <c r="E31" s="132">
        <f t="shared" si="5"/>
        <v>59.14</v>
      </c>
      <c r="F31" s="134">
        <f t="shared" si="1"/>
        <v>63.1352187361909</v>
      </c>
      <c r="G31" s="132">
        <f t="shared" si="5"/>
        <v>0</v>
      </c>
      <c r="H31" s="132">
        <f t="shared" si="5"/>
        <v>0</v>
      </c>
      <c r="I31" s="134">
        <f t="shared" si="2"/>
        <v>63.1352187361909</v>
      </c>
      <c r="J31" s="134">
        <f t="shared" si="3"/>
        <v>171.45</v>
      </c>
      <c r="K31" s="132">
        <f t="shared" si="6"/>
        <v>0.95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114.89</v>
      </c>
      <c r="E32" s="132">
        <f t="shared" si="5"/>
        <v>60.5</v>
      </c>
      <c r="F32" s="134">
        <f t="shared" si="1"/>
        <v>64.58609515392547</v>
      </c>
      <c r="G32" s="132">
        <f t="shared" si="5"/>
        <v>0</v>
      </c>
      <c r="H32" s="132">
        <f t="shared" si="5"/>
        <v>0</v>
      </c>
      <c r="I32" s="134">
        <f t="shared" si="2"/>
        <v>64.58609515392547</v>
      </c>
      <c r="J32" s="134">
        <f t="shared" si="3"/>
        <v>175.39</v>
      </c>
      <c r="K32" s="132">
        <f t="shared" si="6"/>
        <v>0.97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117.53</v>
      </c>
      <c r="E33" s="132">
        <f t="shared" si="5"/>
        <v>61.89</v>
      </c>
      <c r="F33" s="134">
        <f t="shared" si="1"/>
        <v>66.070113418765658</v>
      </c>
      <c r="G33" s="132">
        <f t="shared" si="5"/>
        <v>0</v>
      </c>
      <c r="H33" s="132">
        <f t="shared" si="5"/>
        <v>0</v>
      </c>
      <c r="I33" s="134">
        <f t="shared" si="2"/>
        <v>66.070113418765658</v>
      </c>
      <c r="J33" s="134">
        <f t="shared" si="3"/>
        <v>179.42</v>
      </c>
      <c r="K33" s="132">
        <f t="shared" si="6"/>
        <v>0.99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120.23</v>
      </c>
      <c r="E34" s="132">
        <f t="shared" si="5"/>
        <v>63.31</v>
      </c>
      <c r="F34" s="134">
        <f t="shared" si="1"/>
        <v>67.587273530711457</v>
      </c>
      <c r="G34" s="132">
        <f t="shared" si="5"/>
        <v>0</v>
      </c>
      <c r="H34" s="132">
        <f t="shared" si="5"/>
        <v>0</v>
      </c>
      <c r="I34" s="134">
        <f t="shared" si="2"/>
        <v>67.587273530711457</v>
      </c>
      <c r="J34" s="134">
        <f t="shared" si="3"/>
        <v>183.54</v>
      </c>
      <c r="K34" s="132">
        <f t="shared" si="6"/>
        <v>1.01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123</v>
      </c>
      <c r="E35" s="132">
        <f t="shared" si="5"/>
        <v>64.77</v>
      </c>
      <c r="F35" s="134">
        <f t="shared" si="1"/>
        <v>69.144940344675206</v>
      </c>
      <c r="G35" s="132">
        <f t="shared" si="5"/>
        <v>0</v>
      </c>
      <c r="H35" s="132">
        <f t="shared" si="5"/>
        <v>0</v>
      </c>
      <c r="I35" s="134">
        <f t="shared" si="2"/>
        <v>69.144940344675206</v>
      </c>
      <c r="J35" s="134">
        <f t="shared" si="3"/>
        <v>187.77</v>
      </c>
      <c r="K35" s="132">
        <f t="shared" si="6"/>
        <v>1.03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125.83</v>
      </c>
      <c r="E36" s="132">
        <f t="shared" si="5"/>
        <v>66.260000000000005</v>
      </c>
      <c r="F36" s="134">
        <f t="shared" si="1"/>
        <v>70.735749005744594</v>
      </c>
      <c r="G36" s="132">
        <f t="shared" si="5"/>
        <v>0</v>
      </c>
      <c r="H36" s="132">
        <f t="shared" si="5"/>
        <v>0</v>
      </c>
      <c r="I36" s="134">
        <f t="shared" si="2"/>
        <v>70.735749005744594</v>
      </c>
      <c r="J36" s="134">
        <f t="shared" si="3"/>
        <v>192.09</v>
      </c>
      <c r="K36" s="132">
        <f t="shared" si="6"/>
        <v>1.05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1351.8149072293081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0.31</v>
      </c>
      <c r="D63" s="121" t="s">
        <v>39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2.3E-2</v>
      </c>
      <c r="H67" s="85"/>
      <c r="I67" s="87">
        <f t="shared" ref="I67:I74" si="15">I66+1</f>
        <v>2036</v>
      </c>
      <c r="J67" s="41">
        <v>2.1999999999999999E-2</v>
      </c>
    </row>
    <row r="68" spans="3:11">
      <c r="C68" s="87">
        <f t="shared" si="13"/>
        <v>2019</v>
      </c>
      <c r="D68" s="41">
        <v>0.02</v>
      </c>
      <c r="E68" s="85"/>
      <c r="F68" s="87">
        <f t="shared" si="14"/>
        <v>2028</v>
      </c>
      <c r="G68" s="41">
        <v>2.4E-2</v>
      </c>
      <c r="H68" s="85"/>
      <c r="I68" s="87">
        <f t="shared" si="15"/>
        <v>2037</v>
      </c>
      <c r="J68" s="41">
        <v>2.1999999999999999E-2</v>
      </c>
    </row>
    <row r="69" spans="3:11">
      <c r="C69" s="87">
        <f t="shared" si="13"/>
        <v>2020</v>
      </c>
      <c r="D69" s="41">
        <v>2.1999999999999999E-2</v>
      </c>
      <c r="E69" s="85"/>
      <c r="F69" s="87">
        <f t="shared" si="14"/>
        <v>2029</v>
      </c>
      <c r="G69" s="41">
        <v>2.4E-2</v>
      </c>
      <c r="H69" s="85"/>
      <c r="I69" s="87">
        <f t="shared" si="15"/>
        <v>2038</v>
      </c>
      <c r="J69" s="41">
        <v>2.3E-2</v>
      </c>
    </row>
    <row r="70" spans="3:11">
      <c r="C70" s="87">
        <f t="shared" si="13"/>
        <v>2021</v>
      </c>
      <c r="D70" s="41">
        <v>2.4E-2</v>
      </c>
      <c r="E70" s="85"/>
      <c r="F70" s="87">
        <f t="shared" si="14"/>
        <v>2030</v>
      </c>
      <c r="G70" s="41">
        <v>2.3E-2</v>
      </c>
      <c r="H70" s="85"/>
      <c r="I70" s="87">
        <f t="shared" si="15"/>
        <v>2039</v>
      </c>
      <c r="J70" s="41">
        <v>2.3E-2</v>
      </c>
    </row>
    <row r="71" spans="3:11">
      <c r="C71" s="87">
        <f t="shared" si="13"/>
        <v>2022</v>
      </c>
      <c r="D71" s="41">
        <v>2.4E-2</v>
      </c>
      <c r="E71" s="85"/>
      <c r="F71" s="87">
        <f t="shared" si="14"/>
        <v>2031</v>
      </c>
      <c r="G71" s="41">
        <v>2.3E-2</v>
      </c>
      <c r="H71" s="85"/>
      <c r="I71" s="87">
        <f t="shared" si="15"/>
        <v>2040</v>
      </c>
      <c r="J71" s="41">
        <v>2.3E-2</v>
      </c>
    </row>
    <row r="72" spans="3:11" s="123" customFormat="1">
      <c r="C72" s="87">
        <f t="shared" si="13"/>
        <v>2023</v>
      </c>
      <c r="D72" s="41">
        <v>2.4E-2</v>
      </c>
      <c r="E72" s="86"/>
      <c r="F72" s="87">
        <f t="shared" si="14"/>
        <v>2032</v>
      </c>
      <c r="G72" s="41">
        <v>2.3E-2</v>
      </c>
      <c r="H72" s="86"/>
      <c r="I72" s="87">
        <f t="shared" si="15"/>
        <v>2041</v>
      </c>
      <c r="J72" s="41">
        <v>2.3E-2</v>
      </c>
    </row>
    <row r="73" spans="3:11" s="123" customFormat="1">
      <c r="C73" s="87">
        <f t="shared" si="13"/>
        <v>2024</v>
      </c>
      <c r="D73" s="41">
        <v>2.4E-2</v>
      </c>
      <c r="E73" s="86"/>
      <c r="F73" s="87">
        <f t="shared" si="14"/>
        <v>2033</v>
      </c>
      <c r="G73" s="41">
        <v>2.3E-2</v>
      </c>
      <c r="H73" s="86"/>
      <c r="I73" s="87">
        <f t="shared" si="15"/>
        <v>2042</v>
      </c>
      <c r="J73" s="41">
        <v>2.3E-2</v>
      </c>
    </row>
    <row r="74" spans="3:11" s="123" customFormat="1">
      <c r="C74" s="87">
        <f t="shared" si="13"/>
        <v>2025</v>
      </c>
      <c r="D74" s="41">
        <v>2.3E-2</v>
      </c>
      <c r="E74" s="86"/>
      <c r="F74" s="87">
        <f t="shared" si="14"/>
        <v>2034</v>
      </c>
      <c r="G74" s="41">
        <v>2.3E-2</v>
      </c>
      <c r="H74" s="86"/>
      <c r="I74" s="87">
        <f t="shared" si="15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>
      <selection activeCell="C27" sqref="C27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25" t="s">
        <v>88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26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10.835074684621935</v>
      </c>
      <c r="G13" s="132">
        <f t="shared" si="5"/>
        <v>0.67</v>
      </c>
      <c r="H13" s="132">
        <f t="shared" si="5"/>
        <v>0</v>
      </c>
      <c r="I13" s="134">
        <f t="shared" si="2"/>
        <v>11.505074684621935</v>
      </c>
      <c r="J13" s="134">
        <f t="shared" si="3"/>
        <v>41.62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11.072782955764151</v>
      </c>
      <c r="G14" s="132">
        <f t="shared" si="5"/>
        <v>0.68</v>
      </c>
      <c r="H14" s="132">
        <f t="shared" si="5"/>
        <v>0</v>
      </c>
      <c r="I14" s="134">
        <f t="shared" si="2"/>
        <v>11.75278295576415</v>
      </c>
      <c r="J14" s="134">
        <f t="shared" si="3"/>
        <v>42.52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11.338131723550811</v>
      </c>
      <c r="G15" s="132">
        <f t="shared" si="5"/>
        <v>0.7</v>
      </c>
      <c r="H15" s="132">
        <f t="shared" si="5"/>
        <v>0</v>
      </c>
      <c r="I15" s="134">
        <f t="shared" si="2"/>
        <v>12.03813172355081</v>
      </c>
      <c r="J15" s="134">
        <f t="shared" si="3"/>
        <v>43.55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11.609008590666358</v>
      </c>
      <c r="G16" s="132">
        <f t="shared" si="5"/>
        <v>0.72</v>
      </c>
      <c r="H16" s="132">
        <f t="shared" si="5"/>
        <v>0</v>
      </c>
      <c r="I16" s="134">
        <f t="shared" si="2"/>
        <v>12.329008590666358</v>
      </c>
      <c r="J16" s="134">
        <f t="shared" si="3"/>
        <v>44.6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11.888177606775239</v>
      </c>
      <c r="G17" s="132">
        <f t="shared" si="5"/>
        <v>0.74</v>
      </c>
      <c r="H17" s="132">
        <f t="shared" si="5"/>
        <v>0</v>
      </c>
      <c r="I17" s="134">
        <f t="shared" si="2"/>
        <v>12.628177606775239</v>
      </c>
      <c r="J17" s="134">
        <f t="shared" si="3"/>
        <v>45.69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12.17287472221301</v>
      </c>
      <c r="G18" s="132">
        <f t="shared" si="5"/>
        <v>0.76</v>
      </c>
      <c r="H18" s="132">
        <f t="shared" si="5"/>
        <v>0</v>
      </c>
      <c r="I18" s="134">
        <f t="shared" si="2"/>
        <v>12.932874722213009</v>
      </c>
      <c r="J18" s="134">
        <f t="shared" si="3"/>
        <v>46.79</v>
      </c>
      <c r="K18" s="132">
        <f t="shared" si="6"/>
        <v>0.69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12.45204373832189</v>
      </c>
      <c r="G19" s="132">
        <f t="shared" si="5"/>
        <v>0.78</v>
      </c>
      <c r="H19" s="132">
        <f t="shared" si="5"/>
        <v>0</v>
      </c>
      <c r="I19" s="134">
        <f t="shared" si="2"/>
        <v>13.23204373832189</v>
      </c>
      <c r="J19" s="134">
        <f t="shared" si="3"/>
        <v>47.87</v>
      </c>
      <c r="K19" s="132">
        <f t="shared" si="6"/>
        <v>0.71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12.739504903424107</v>
      </c>
      <c r="G20" s="132">
        <f t="shared" si="5"/>
        <v>0.8</v>
      </c>
      <c r="H20" s="132">
        <f t="shared" si="5"/>
        <v>0</v>
      </c>
      <c r="I20" s="134">
        <f t="shared" si="2"/>
        <v>13.539504903424108</v>
      </c>
      <c r="J20" s="134">
        <f t="shared" si="3"/>
        <v>48.98</v>
      </c>
      <c r="K20" s="132">
        <f t="shared" si="6"/>
        <v>0.73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13.032494167855209</v>
      </c>
      <c r="G21" s="132">
        <f t="shared" si="5"/>
        <v>0.82</v>
      </c>
      <c r="H21" s="132">
        <f t="shared" si="5"/>
        <v>0</v>
      </c>
      <c r="I21" s="134">
        <f t="shared" si="2"/>
        <v>13.852494167855209</v>
      </c>
      <c r="J21" s="134">
        <f t="shared" si="3"/>
        <v>50.12</v>
      </c>
      <c r="K21" s="132">
        <f t="shared" si="6"/>
        <v>0.75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13.344831779937424</v>
      </c>
      <c r="G22" s="132">
        <f t="shared" si="5"/>
        <v>0.84</v>
      </c>
      <c r="H22" s="132">
        <f t="shared" si="5"/>
        <v>0</v>
      </c>
      <c r="I22" s="134">
        <f t="shared" si="2"/>
        <v>14.184831779937424</v>
      </c>
      <c r="J22" s="134">
        <f t="shared" si="3"/>
        <v>51.32</v>
      </c>
      <c r="K22" s="132">
        <f t="shared" si="6"/>
        <v>0.77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13.66546154101297</v>
      </c>
      <c r="G23" s="132">
        <f t="shared" si="5"/>
        <v>0.86</v>
      </c>
      <c r="H23" s="132">
        <f t="shared" si="5"/>
        <v>0</v>
      </c>
      <c r="I23" s="134">
        <f t="shared" si="2"/>
        <v>14.525461541012969</v>
      </c>
      <c r="J23" s="134">
        <f t="shared" si="3"/>
        <v>52.55</v>
      </c>
      <c r="K23" s="132">
        <f t="shared" si="6"/>
        <v>0.79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50.58</v>
      </c>
      <c r="F24" s="134">
        <f t="shared" si="1"/>
        <v>40.560639584788639</v>
      </c>
      <c r="G24" s="132">
        <f t="shared" si="5"/>
        <v>0.88</v>
      </c>
      <c r="H24" s="132">
        <f t="shared" si="5"/>
        <v>0</v>
      </c>
      <c r="I24" s="134">
        <f t="shared" si="2"/>
        <v>41.440639584788642</v>
      </c>
      <c r="J24" s="134">
        <f t="shared" si="3"/>
        <v>149.93</v>
      </c>
      <c r="K24" s="132">
        <f t="shared" si="6"/>
        <v>0.81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98.38</v>
      </c>
      <c r="E25" s="132">
        <f t="shared" si="5"/>
        <v>51.74</v>
      </c>
      <c r="F25" s="134">
        <f t="shared" si="1"/>
        <v>41.493913562638902</v>
      </c>
      <c r="G25" s="132">
        <f t="shared" si="5"/>
        <v>0.9</v>
      </c>
      <c r="H25" s="132">
        <f t="shared" si="5"/>
        <v>0</v>
      </c>
      <c r="I25" s="134">
        <f t="shared" si="2"/>
        <v>42.3939135626389</v>
      </c>
      <c r="J25" s="134">
        <f t="shared" si="3"/>
        <v>153.38</v>
      </c>
      <c r="K25" s="132">
        <f t="shared" si="6"/>
        <v>0.83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100.64</v>
      </c>
      <c r="E26" s="132">
        <f t="shared" si="5"/>
        <v>52.93</v>
      </c>
      <c r="F26" s="134">
        <f t="shared" si="1"/>
        <v>42.447510696872207</v>
      </c>
      <c r="G26" s="132">
        <f t="shared" si="5"/>
        <v>0.92</v>
      </c>
      <c r="H26" s="132">
        <f t="shared" si="5"/>
        <v>0</v>
      </c>
      <c r="I26" s="134">
        <f t="shared" si="2"/>
        <v>43.367510696872209</v>
      </c>
      <c r="J26" s="134">
        <f t="shared" si="3"/>
        <v>156.9</v>
      </c>
      <c r="K26" s="132">
        <f t="shared" si="6"/>
        <v>0.85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102.95</v>
      </c>
      <c r="E27" s="132">
        <f t="shared" si="5"/>
        <v>54.15</v>
      </c>
      <c r="F27" s="134">
        <f t="shared" si="1"/>
        <v>43.423220228421066</v>
      </c>
      <c r="G27" s="132">
        <f t="shared" si="5"/>
        <v>0.94</v>
      </c>
      <c r="H27" s="132">
        <f t="shared" si="5"/>
        <v>0</v>
      </c>
      <c r="I27" s="134">
        <f t="shared" si="2"/>
        <v>44.363220228421063</v>
      </c>
      <c r="J27" s="134">
        <f t="shared" si="3"/>
        <v>160.5</v>
      </c>
      <c r="K27" s="132">
        <f t="shared" si="6"/>
        <v>0.87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105.32</v>
      </c>
      <c r="E28" s="132">
        <f t="shared" si="5"/>
        <v>55.4</v>
      </c>
      <c r="F28" s="134">
        <f t="shared" si="1"/>
        <v>44.423806206949934</v>
      </c>
      <c r="G28" s="132">
        <f t="shared" si="5"/>
        <v>0.96</v>
      </c>
      <c r="H28" s="132">
        <f t="shared" si="5"/>
        <v>0</v>
      </c>
      <c r="I28" s="134">
        <f t="shared" si="2"/>
        <v>45.383806206949934</v>
      </c>
      <c r="J28" s="134">
        <f t="shared" si="3"/>
        <v>164.19</v>
      </c>
      <c r="K28" s="132">
        <f t="shared" si="6"/>
        <v>0.89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107.64</v>
      </c>
      <c r="E29" s="132">
        <f t="shared" si="5"/>
        <v>56.62</v>
      </c>
      <c r="F29" s="134">
        <f t="shared" si="1"/>
        <v>45.402279788163234</v>
      </c>
      <c r="G29" s="132">
        <f t="shared" si="5"/>
        <v>0.98</v>
      </c>
      <c r="H29" s="132">
        <f t="shared" si="5"/>
        <v>0</v>
      </c>
      <c r="I29" s="134">
        <f t="shared" si="2"/>
        <v>46.382279788163231</v>
      </c>
      <c r="J29" s="134">
        <f t="shared" si="3"/>
        <v>167.81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110.01</v>
      </c>
      <c r="E30" s="132">
        <f t="shared" si="5"/>
        <v>57.87</v>
      </c>
      <c r="F30" s="134">
        <f t="shared" si="1"/>
        <v>46.402865766692102</v>
      </c>
      <c r="G30" s="132">
        <f t="shared" si="5"/>
        <v>1</v>
      </c>
      <c r="H30" s="132">
        <f t="shared" si="5"/>
        <v>0</v>
      </c>
      <c r="I30" s="134">
        <f t="shared" si="2"/>
        <v>47.402865766692102</v>
      </c>
      <c r="J30" s="134">
        <f t="shared" si="3"/>
        <v>171.5</v>
      </c>
      <c r="K30" s="132">
        <f t="shared" si="6"/>
        <v>0.93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112.43</v>
      </c>
      <c r="E31" s="132">
        <f t="shared" si="5"/>
        <v>59.14</v>
      </c>
      <c r="F31" s="134">
        <f t="shared" si="1"/>
        <v>47.422800092872073</v>
      </c>
      <c r="G31" s="132">
        <f t="shared" si="5"/>
        <v>1.02</v>
      </c>
      <c r="H31" s="132">
        <f t="shared" si="5"/>
        <v>0</v>
      </c>
      <c r="I31" s="134">
        <f t="shared" si="2"/>
        <v>48.442800092872076</v>
      </c>
      <c r="J31" s="134">
        <f t="shared" si="3"/>
        <v>175.26</v>
      </c>
      <c r="K31" s="132">
        <f t="shared" si="6"/>
        <v>0.95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115.02</v>
      </c>
      <c r="E32" s="132">
        <f t="shared" si="5"/>
        <v>60.5</v>
      </c>
      <c r="F32" s="134">
        <f t="shared" si="1"/>
        <v>48.514599710327595</v>
      </c>
      <c r="G32" s="132">
        <f t="shared" si="5"/>
        <v>1.04</v>
      </c>
      <c r="H32" s="132">
        <f t="shared" si="5"/>
        <v>0</v>
      </c>
      <c r="I32" s="134">
        <f t="shared" si="2"/>
        <v>49.554599710327594</v>
      </c>
      <c r="J32" s="134">
        <f t="shared" si="3"/>
        <v>179.28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117.67</v>
      </c>
      <c r="E33" s="132">
        <f t="shared" si="5"/>
        <v>61.89</v>
      </c>
      <c r="F33" s="134">
        <f t="shared" si="1"/>
        <v>49.631275774763125</v>
      </c>
      <c r="G33" s="132">
        <f t="shared" si="5"/>
        <v>1.06</v>
      </c>
      <c r="H33" s="132">
        <f t="shared" si="5"/>
        <v>0</v>
      </c>
      <c r="I33" s="134">
        <f t="shared" si="2"/>
        <v>50.691275774763128</v>
      </c>
      <c r="J33" s="134">
        <f t="shared" si="3"/>
        <v>183.39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120.38</v>
      </c>
      <c r="E34" s="132">
        <f t="shared" si="5"/>
        <v>63.31</v>
      </c>
      <c r="F34" s="134">
        <f t="shared" si="1"/>
        <v>50.772828286178651</v>
      </c>
      <c r="G34" s="132">
        <f t="shared" si="5"/>
        <v>1.08</v>
      </c>
      <c r="H34" s="132">
        <f t="shared" si="5"/>
        <v>0</v>
      </c>
      <c r="I34" s="134">
        <f t="shared" si="2"/>
        <v>51.852828286178649</v>
      </c>
      <c r="J34" s="134">
        <f t="shared" si="3"/>
        <v>187.6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123.15</v>
      </c>
      <c r="E35" s="132">
        <f t="shared" si="5"/>
        <v>64.77</v>
      </c>
      <c r="F35" s="134">
        <f t="shared" si="1"/>
        <v>51.942021294238629</v>
      </c>
      <c r="G35" s="132">
        <f t="shared" si="5"/>
        <v>1.1000000000000001</v>
      </c>
      <c r="H35" s="132">
        <f t="shared" si="5"/>
        <v>0</v>
      </c>
      <c r="I35" s="134">
        <f t="shared" si="2"/>
        <v>53.04202129423863</v>
      </c>
      <c r="J35" s="134">
        <f t="shared" si="3"/>
        <v>191.9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125.98</v>
      </c>
      <c r="E36" s="132">
        <f t="shared" si="5"/>
        <v>66.260000000000005</v>
      </c>
      <c r="F36" s="134">
        <f t="shared" si="1"/>
        <v>53.136090749278594</v>
      </c>
      <c r="G36" s="132">
        <f t="shared" si="5"/>
        <v>1.1299999999999999</v>
      </c>
      <c r="H36" s="132">
        <f t="shared" si="5"/>
        <v>0</v>
      </c>
      <c r="I36" s="134">
        <f t="shared" si="2"/>
        <v>54.266090749278597</v>
      </c>
      <c r="J36" s="134">
        <f t="shared" si="3"/>
        <v>196.33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1353.2739183554006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37.565582271006477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0.65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222">
        <v>0.43118737343656394</v>
      </c>
      <c r="D63" s="121" t="s">
        <v>39</v>
      </c>
      <c r="G63" s="225">
        <v>0.41299999999999998</v>
      </c>
      <c r="H63" s="121" t="s">
        <v>140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6"/>
        <v>0</v>
      </c>
      <c r="H14" s="132">
        <f t="shared" si="6"/>
        <v>0</v>
      </c>
      <c r="I14" s="134">
        <f t="shared" si="3"/>
        <v>12.034366738764721</v>
      </c>
      <c r="J14" s="134">
        <f t="shared" si="2"/>
        <v>40.06</v>
      </c>
      <c r="K14" s="132">
        <f t="shared" si="7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6"/>
        <v>0</v>
      </c>
      <c r="H15" s="132">
        <f t="shared" si="6"/>
        <v>0</v>
      </c>
      <c r="I15" s="134">
        <f t="shared" si="3"/>
        <v>12.32275895217496</v>
      </c>
      <c r="J15" s="134">
        <f t="shared" si="2"/>
        <v>41.02</v>
      </c>
      <c r="K15" s="132">
        <f t="shared" si="7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6"/>
        <v>0</v>
      </c>
      <c r="H16" s="132">
        <f t="shared" si="6"/>
        <v>0</v>
      </c>
      <c r="I16" s="134">
        <f t="shared" si="3"/>
        <v>12.61715933669791</v>
      </c>
      <c r="J16" s="134">
        <f t="shared" si="2"/>
        <v>42</v>
      </c>
      <c r="K16" s="132">
        <f t="shared" si="7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6"/>
        <v>0</v>
      </c>
      <c r="H17" s="132">
        <f t="shared" si="6"/>
        <v>0</v>
      </c>
      <c r="I17" s="134">
        <f t="shared" si="3"/>
        <v>12.920571977889932</v>
      </c>
      <c r="J17" s="134">
        <f t="shared" si="2"/>
        <v>43.01</v>
      </c>
      <c r="K17" s="132">
        <f t="shared" si="7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6"/>
        <v>0</v>
      </c>
      <c r="H18" s="132">
        <f t="shared" si="6"/>
        <v>0</v>
      </c>
      <c r="I18" s="134">
        <f t="shared" si="3"/>
        <v>13.229992790194665</v>
      </c>
      <c r="J18" s="134">
        <f t="shared" si="2"/>
        <v>44.04</v>
      </c>
      <c r="K18" s="132">
        <f t="shared" si="7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6"/>
        <v>0</v>
      </c>
      <c r="H19" s="132">
        <f t="shared" si="6"/>
        <v>0</v>
      </c>
      <c r="I19" s="134">
        <f t="shared" si="3"/>
        <v>13.533405431386687</v>
      </c>
      <c r="J19" s="134">
        <f t="shared" si="2"/>
        <v>45.05</v>
      </c>
      <c r="K19" s="132">
        <f t="shared" si="7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6"/>
        <v>0</v>
      </c>
      <c r="H20" s="132">
        <f t="shared" si="6"/>
        <v>0</v>
      </c>
      <c r="I20" s="134">
        <f t="shared" si="3"/>
        <v>13.845830329247779</v>
      </c>
      <c r="J20" s="134">
        <f t="shared" si="2"/>
        <v>46.09</v>
      </c>
      <c r="K20" s="132">
        <f t="shared" si="7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6"/>
        <v>0</v>
      </c>
      <c r="H21" s="132">
        <f t="shared" si="6"/>
        <v>0</v>
      </c>
      <c r="I21" s="134">
        <f t="shared" si="3"/>
        <v>14.164263398221582</v>
      </c>
      <c r="J21" s="134">
        <f t="shared" si="2"/>
        <v>47.15</v>
      </c>
      <c r="K21" s="132">
        <f t="shared" si="7"/>
        <v>0.75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6"/>
        <v>0</v>
      </c>
      <c r="H22" s="132">
        <f t="shared" si="6"/>
        <v>0</v>
      </c>
      <c r="I22" s="134">
        <f t="shared" si="3"/>
        <v>14.503725066089883</v>
      </c>
      <c r="J22" s="134">
        <f t="shared" si="2"/>
        <v>48.28</v>
      </c>
      <c r="K22" s="132">
        <f t="shared" si="7"/>
        <v>0.77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6"/>
        <v>0</v>
      </c>
      <c r="H23" s="132">
        <f t="shared" si="6"/>
        <v>0</v>
      </c>
      <c r="I23" s="134">
        <f t="shared" si="3"/>
        <v>14.852198990627253</v>
      </c>
      <c r="J23" s="134">
        <f t="shared" si="2"/>
        <v>49.44</v>
      </c>
      <c r="K23" s="132">
        <f t="shared" si="7"/>
        <v>0.79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50.58</v>
      </c>
      <c r="F24" s="134">
        <f t="shared" si="1"/>
        <v>45.309091557864555</v>
      </c>
      <c r="G24" s="132">
        <f t="shared" si="6"/>
        <v>0</v>
      </c>
      <c r="H24" s="132">
        <f t="shared" si="6"/>
        <v>0</v>
      </c>
      <c r="I24" s="134">
        <f t="shared" si="3"/>
        <v>45.309091557864555</v>
      </c>
      <c r="J24" s="134">
        <f t="shared" si="2"/>
        <v>150.82</v>
      </c>
      <c r="K24" s="132">
        <f t="shared" si="7"/>
        <v>0.81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102.55</v>
      </c>
      <c r="E25" s="132">
        <f t="shared" si="5"/>
        <v>51.74</v>
      </c>
      <c r="F25" s="134">
        <f t="shared" si="1"/>
        <v>46.350036049026677</v>
      </c>
      <c r="G25" s="132">
        <f t="shared" si="6"/>
        <v>0</v>
      </c>
      <c r="H25" s="132">
        <f t="shared" si="6"/>
        <v>0</v>
      </c>
      <c r="I25" s="134">
        <f t="shared" si="3"/>
        <v>46.350036049026677</v>
      </c>
      <c r="J25" s="134">
        <f t="shared" si="2"/>
        <v>154.29</v>
      </c>
      <c r="K25" s="132">
        <f t="shared" si="7"/>
        <v>0.83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104.91</v>
      </c>
      <c r="E26" s="132">
        <f t="shared" si="5"/>
        <v>52.93</v>
      </c>
      <c r="F26" s="134">
        <f t="shared" si="1"/>
        <v>47.416486421533293</v>
      </c>
      <c r="G26" s="132">
        <f t="shared" si="6"/>
        <v>0</v>
      </c>
      <c r="H26" s="132">
        <f t="shared" si="6"/>
        <v>0</v>
      </c>
      <c r="I26" s="134">
        <f t="shared" si="3"/>
        <v>47.416486421533293</v>
      </c>
      <c r="J26" s="134">
        <f t="shared" si="2"/>
        <v>157.84</v>
      </c>
      <c r="K26" s="132">
        <f t="shared" si="7"/>
        <v>0.85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107.32</v>
      </c>
      <c r="E27" s="132">
        <f t="shared" si="5"/>
        <v>54.15</v>
      </c>
      <c r="F27" s="134">
        <f t="shared" si="1"/>
        <v>48.506969478490753</v>
      </c>
      <c r="G27" s="132">
        <f t="shared" si="6"/>
        <v>0</v>
      </c>
      <c r="H27" s="132">
        <f t="shared" si="6"/>
        <v>0</v>
      </c>
      <c r="I27" s="134">
        <f t="shared" si="3"/>
        <v>48.506969478490753</v>
      </c>
      <c r="J27" s="134">
        <f t="shared" si="2"/>
        <v>161.47</v>
      </c>
      <c r="K27" s="132">
        <f t="shared" si="7"/>
        <v>0.87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109.79</v>
      </c>
      <c r="E28" s="132">
        <f t="shared" si="5"/>
        <v>55.4</v>
      </c>
      <c r="F28" s="134">
        <f t="shared" si="1"/>
        <v>49.62448930545542</v>
      </c>
      <c r="G28" s="132">
        <f t="shared" si="6"/>
        <v>0</v>
      </c>
      <c r="H28" s="132">
        <f t="shared" si="6"/>
        <v>0</v>
      </c>
      <c r="I28" s="134">
        <f t="shared" si="3"/>
        <v>49.62448930545542</v>
      </c>
      <c r="J28" s="134">
        <f t="shared" si="2"/>
        <v>165.19</v>
      </c>
      <c r="K28" s="132">
        <f t="shared" si="7"/>
        <v>0.89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112.21</v>
      </c>
      <c r="E29" s="132">
        <f t="shared" si="5"/>
        <v>56.62</v>
      </c>
      <c r="F29" s="134">
        <f t="shared" si="1"/>
        <v>50.717976447969235</v>
      </c>
      <c r="G29" s="132">
        <f t="shared" si="6"/>
        <v>0</v>
      </c>
      <c r="H29" s="132">
        <f t="shared" si="6"/>
        <v>0</v>
      </c>
      <c r="I29" s="134">
        <f t="shared" si="3"/>
        <v>50.717976447969235</v>
      </c>
      <c r="J29" s="134">
        <f t="shared" si="2"/>
        <v>168.83</v>
      </c>
      <c r="K29" s="132">
        <f t="shared" si="7"/>
        <v>0.91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114.68</v>
      </c>
      <c r="E30" s="132">
        <f t="shared" si="5"/>
        <v>57.87</v>
      </c>
      <c r="F30" s="134">
        <f t="shared" si="1"/>
        <v>51.835496274933917</v>
      </c>
      <c r="G30" s="132">
        <f t="shared" si="6"/>
        <v>0</v>
      </c>
      <c r="H30" s="132">
        <f t="shared" si="6"/>
        <v>0</v>
      </c>
      <c r="I30" s="134">
        <f t="shared" si="3"/>
        <v>51.835496274933917</v>
      </c>
      <c r="J30" s="134">
        <f t="shared" si="2"/>
        <v>172.55</v>
      </c>
      <c r="K30" s="132">
        <f t="shared" si="7"/>
        <v>0.93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117.2</v>
      </c>
      <c r="E31" s="132">
        <f t="shared" si="5"/>
        <v>59.14</v>
      </c>
      <c r="F31" s="134">
        <f t="shared" si="1"/>
        <v>52.974044700793087</v>
      </c>
      <c r="G31" s="132">
        <f t="shared" si="6"/>
        <v>0</v>
      </c>
      <c r="H31" s="132">
        <f t="shared" si="6"/>
        <v>0</v>
      </c>
      <c r="I31" s="134">
        <f t="shared" si="3"/>
        <v>52.974044700793087</v>
      </c>
      <c r="J31" s="134">
        <f t="shared" si="2"/>
        <v>176.34</v>
      </c>
      <c r="K31" s="132">
        <f t="shared" si="7"/>
        <v>0.95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119.9</v>
      </c>
      <c r="E32" s="132">
        <f t="shared" si="5"/>
        <v>60.5</v>
      </c>
      <c r="F32" s="134">
        <f t="shared" si="1"/>
        <v>54.193703436673879</v>
      </c>
      <c r="G32" s="132">
        <f t="shared" si="6"/>
        <v>0</v>
      </c>
      <c r="H32" s="132">
        <f t="shared" si="6"/>
        <v>0</v>
      </c>
      <c r="I32" s="134">
        <f t="shared" si="3"/>
        <v>54.193703436673879</v>
      </c>
      <c r="J32" s="134">
        <f t="shared" si="2"/>
        <v>180.4</v>
      </c>
      <c r="K32" s="132">
        <f t="shared" si="7"/>
        <v>0.97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122.66</v>
      </c>
      <c r="E33" s="132">
        <f t="shared" si="5"/>
        <v>61.89</v>
      </c>
      <c r="F33" s="134">
        <f t="shared" si="1"/>
        <v>55.440398942561892</v>
      </c>
      <c r="G33" s="132">
        <f t="shared" si="6"/>
        <v>0</v>
      </c>
      <c r="H33" s="132">
        <f t="shared" si="6"/>
        <v>0</v>
      </c>
      <c r="I33" s="134">
        <f t="shared" si="3"/>
        <v>55.440398942561892</v>
      </c>
      <c r="J33" s="134">
        <f t="shared" si="2"/>
        <v>184.55</v>
      </c>
      <c r="K33" s="132">
        <f t="shared" si="7"/>
        <v>0.99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125.48</v>
      </c>
      <c r="E34" s="132">
        <f t="shared" si="5"/>
        <v>63.31</v>
      </c>
      <c r="F34" s="134">
        <f t="shared" si="1"/>
        <v>56.714131218457112</v>
      </c>
      <c r="G34" s="132">
        <f t="shared" si="6"/>
        <v>0</v>
      </c>
      <c r="H34" s="132">
        <f t="shared" si="6"/>
        <v>0</v>
      </c>
      <c r="I34" s="134">
        <f t="shared" si="3"/>
        <v>56.714131218457112</v>
      </c>
      <c r="J34" s="134">
        <f t="shared" si="2"/>
        <v>188.79</v>
      </c>
      <c r="K34" s="132">
        <f t="shared" si="7"/>
        <v>1.01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128.37</v>
      </c>
      <c r="E35" s="132">
        <f t="shared" si="5"/>
        <v>64.77</v>
      </c>
      <c r="F35" s="134">
        <f t="shared" si="1"/>
        <v>58.020908435472244</v>
      </c>
      <c r="G35" s="132">
        <f t="shared" si="6"/>
        <v>0</v>
      </c>
      <c r="H35" s="132">
        <f t="shared" si="6"/>
        <v>0</v>
      </c>
      <c r="I35" s="134">
        <f t="shared" si="3"/>
        <v>58.020908435472244</v>
      </c>
      <c r="J35" s="134">
        <f t="shared" si="2"/>
        <v>193.14</v>
      </c>
      <c r="K35" s="132">
        <f t="shared" si="7"/>
        <v>1.03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131.32</v>
      </c>
      <c r="E36" s="132">
        <f t="shared" si="5"/>
        <v>66.260000000000005</v>
      </c>
      <c r="F36" s="134">
        <f t="shared" si="1"/>
        <v>59.354722422494589</v>
      </c>
      <c r="G36" s="132">
        <f t="shared" si="6"/>
        <v>0</v>
      </c>
      <c r="H36" s="132">
        <f t="shared" si="6"/>
        <v>0</v>
      </c>
      <c r="I36" s="134">
        <f t="shared" si="3"/>
        <v>59.354722422494589</v>
      </c>
      <c r="J36" s="134">
        <f t="shared" si="2"/>
        <v>197.58</v>
      </c>
      <c r="K36" s="132">
        <f t="shared" si="7"/>
        <v>1.05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119</v>
      </c>
      <c r="C55" s="185">
        <v>1410.7096380374778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2.3E-2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0.02</v>
      </c>
      <c r="E68" s="85"/>
      <c r="F68" s="87">
        <f t="shared" si="11"/>
        <v>2028</v>
      </c>
      <c r="G68" s="41">
        <v>2.4E-2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2.4E-2</v>
      </c>
      <c r="H69" s="85"/>
      <c r="I69" s="87">
        <f t="shared" si="12"/>
        <v>2038</v>
      </c>
      <c r="J69" s="41">
        <v>2.3E-2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2.3E-2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2.3E-2</v>
      </c>
    </row>
    <row r="72" spans="3:11" s="123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2.3E-2</v>
      </c>
    </row>
    <row r="73" spans="3:11" s="123" customFormat="1">
      <c r="C73" s="87">
        <f t="shared" si="10"/>
        <v>2024</v>
      </c>
      <c r="D73" s="41">
        <v>2.4E-2</v>
      </c>
      <c r="E73" s="86"/>
      <c r="F73" s="87">
        <f t="shared" si="11"/>
        <v>2033</v>
      </c>
      <c r="G73" s="41">
        <v>2.3E-2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2.3E-2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59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125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69</v>
      </c>
      <c r="G5" s="17" t="s">
        <v>13</v>
      </c>
      <c r="H5" s="125" t="s">
        <v>70</v>
      </c>
      <c r="I5" s="17" t="s">
        <v>55</v>
      </c>
      <c r="J5" s="17" t="s">
        <v>55</v>
      </c>
      <c r="K5" s="125" t="s">
        <v>71</v>
      </c>
      <c r="P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33</v>
      </c>
      <c r="G6" s="18" t="s">
        <v>33</v>
      </c>
      <c r="H6" s="127" t="s">
        <v>33</v>
      </c>
      <c r="I6" s="127" t="s">
        <v>33</v>
      </c>
      <c r="J6" s="19" t="s">
        <v>9</v>
      </c>
      <c r="K6" s="127" t="s">
        <v>33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24</v>
      </c>
      <c r="J7" s="129" t="s">
        <v>25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39.200000000000003</v>
      </c>
      <c r="F13" s="134">
        <f t="shared" si="1"/>
        <v>11.77601538091805</v>
      </c>
      <c r="G13" s="132">
        <f t="shared" si="5"/>
        <v>0</v>
      </c>
      <c r="H13" s="132">
        <f t="shared" si="5"/>
        <v>0</v>
      </c>
      <c r="I13" s="134">
        <f t="shared" si="3"/>
        <v>11.77601538091805</v>
      </c>
      <c r="J13" s="134">
        <f t="shared" si="2"/>
        <v>39.200000000000003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40.06</v>
      </c>
      <c r="F14" s="134">
        <f t="shared" si="1"/>
        <v>12.034366738764721</v>
      </c>
      <c r="G14" s="132">
        <f t="shared" si="5"/>
        <v>0</v>
      </c>
      <c r="H14" s="132">
        <f t="shared" si="5"/>
        <v>0</v>
      </c>
      <c r="I14" s="134">
        <f t="shared" si="3"/>
        <v>12.034366738764721</v>
      </c>
      <c r="J14" s="134">
        <f t="shared" si="2"/>
        <v>40.06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41.02</v>
      </c>
      <c r="F15" s="134">
        <f t="shared" si="1"/>
        <v>12.32275895217496</v>
      </c>
      <c r="G15" s="132">
        <f t="shared" si="5"/>
        <v>0</v>
      </c>
      <c r="H15" s="132">
        <f t="shared" si="5"/>
        <v>0</v>
      </c>
      <c r="I15" s="134">
        <f t="shared" si="3"/>
        <v>12.32275895217496</v>
      </c>
      <c r="J15" s="134">
        <f t="shared" si="2"/>
        <v>41.02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42</v>
      </c>
      <c r="F16" s="134">
        <f t="shared" si="1"/>
        <v>12.61715933669791</v>
      </c>
      <c r="G16" s="132">
        <f t="shared" si="5"/>
        <v>0</v>
      </c>
      <c r="H16" s="132">
        <f t="shared" si="5"/>
        <v>0</v>
      </c>
      <c r="I16" s="134">
        <f t="shared" si="3"/>
        <v>12.61715933669791</v>
      </c>
      <c r="J16" s="134">
        <f t="shared" si="2"/>
        <v>42</v>
      </c>
      <c r="K16" s="132">
        <f t="shared" si="6"/>
        <v>0.65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43.01</v>
      </c>
      <c r="F17" s="134">
        <f t="shared" si="1"/>
        <v>12.920571977889932</v>
      </c>
      <c r="G17" s="132">
        <f t="shared" si="5"/>
        <v>0</v>
      </c>
      <c r="H17" s="132">
        <f t="shared" si="5"/>
        <v>0</v>
      </c>
      <c r="I17" s="134">
        <f t="shared" si="3"/>
        <v>12.920571977889932</v>
      </c>
      <c r="J17" s="134">
        <f t="shared" si="2"/>
        <v>43.01</v>
      </c>
      <c r="K17" s="132">
        <f t="shared" si="6"/>
        <v>0.67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44.04</v>
      </c>
      <c r="F18" s="134">
        <f t="shared" si="1"/>
        <v>13.229992790194665</v>
      </c>
      <c r="G18" s="132">
        <f t="shared" si="5"/>
        <v>0</v>
      </c>
      <c r="H18" s="132">
        <f t="shared" si="5"/>
        <v>0</v>
      </c>
      <c r="I18" s="134">
        <f t="shared" si="3"/>
        <v>13.229992790194665</v>
      </c>
      <c r="J18" s="134">
        <f t="shared" si="2"/>
        <v>44.04</v>
      </c>
      <c r="K18" s="132">
        <f t="shared" si="6"/>
        <v>0.69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45.05</v>
      </c>
      <c r="F19" s="134">
        <f t="shared" si="1"/>
        <v>13.533405431386687</v>
      </c>
      <c r="G19" s="132">
        <f t="shared" si="5"/>
        <v>0</v>
      </c>
      <c r="H19" s="132">
        <f t="shared" si="5"/>
        <v>0</v>
      </c>
      <c r="I19" s="134">
        <f t="shared" si="3"/>
        <v>13.533405431386687</v>
      </c>
      <c r="J19" s="134">
        <f t="shared" si="2"/>
        <v>45.05</v>
      </c>
      <c r="K19" s="132">
        <f t="shared" si="6"/>
        <v>0.71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46.09</v>
      </c>
      <c r="F20" s="134">
        <f t="shared" si="1"/>
        <v>13.845830329247779</v>
      </c>
      <c r="G20" s="132">
        <f t="shared" si="5"/>
        <v>0</v>
      </c>
      <c r="H20" s="132">
        <f t="shared" si="5"/>
        <v>0</v>
      </c>
      <c r="I20" s="134">
        <f t="shared" si="3"/>
        <v>13.845830329247779</v>
      </c>
      <c r="J20" s="134">
        <f t="shared" si="2"/>
        <v>46.09</v>
      </c>
      <c r="K20" s="132">
        <f t="shared" si="6"/>
        <v>0.73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47.15</v>
      </c>
      <c r="F21" s="134">
        <f t="shared" si="1"/>
        <v>14.164263398221582</v>
      </c>
      <c r="G21" s="132">
        <f t="shared" si="5"/>
        <v>0</v>
      </c>
      <c r="H21" s="132">
        <f t="shared" si="5"/>
        <v>0</v>
      </c>
      <c r="I21" s="134">
        <f t="shared" si="3"/>
        <v>14.164263398221582</v>
      </c>
      <c r="J21" s="134">
        <f t="shared" si="2"/>
        <v>47.15</v>
      </c>
      <c r="K21" s="132">
        <f t="shared" si="6"/>
        <v>0.75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48.28</v>
      </c>
      <c r="F22" s="134">
        <f t="shared" si="1"/>
        <v>14.503725066089883</v>
      </c>
      <c r="G22" s="132">
        <f t="shared" si="5"/>
        <v>0</v>
      </c>
      <c r="H22" s="132">
        <f t="shared" si="5"/>
        <v>0</v>
      </c>
      <c r="I22" s="134">
        <f t="shared" si="3"/>
        <v>14.503725066089883</v>
      </c>
      <c r="J22" s="134">
        <f t="shared" si="2"/>
        <v>48.28</v>
      </c>
      <c r="K22" s="132">
        <f t="shared" si="6"/>
        <v>0.77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49.44</v>
      </c>
      <c r="F23" s="134">
        <f t="shared" si="1"/>
        <v>14.852198990627253</v>
      </c>
      <c r="G23" s="132">
        <f t="shared" si="5"/>
        <v>0</v>
      </c>
      <c r="H23" s="132">
        <f t="shared" si="5"/>
        <v>0</v>
      </c>
      <c r="I23" s="134">
        <f t="shared" si="3"/>
        <v>14.852198990627253</v>
      </c>
      <c r="J23" s="134">
        <f t="shared" si="2"/>
        <v>49.44</v>
      </c>
      <c r="K23" s="132">
        <f t="shared" si="6"/>
        <v>0.79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50.58</v>
      </c>
      <c r="F24" s="134">
        <f t="shared" si="1"/>
        <v>15.194664744051911</v>
      </c>
      <c r="G24" s="132">
        <f t="shared" si="5"/>
        <v>0</v>
      </c>
      <c r="H24" s="132">
        <f t="shared" si="5"/>
        <v>0</v>
      </c>
      <c r="I24" s="134">
        <f t="shared" si="3"/>
        <v>15.194664744051911</v>
      </c>
      <c r="J24" s="134">
        <f t="shared" si="2"/>
        <v>50.58</v>
      </c>
      <c r="K24" s="132">
        <f t="shared" si="6"/>
        <v>0.81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51.74</v>
      </c>
      <c r="F25" s="134">
        <f t="shared" si="1"/>
        <v>15.543138668589283</v>
      </c>
      <c r="G25" s="132">
        <f t="shared" si="5"/>
        <v>0</v>
      </c>
      <c r="H25" s="132">
        <f t="shared" si="5"/>
        <v>0</v>
      </c>
      <c r="I25" s="134">
        <f t="shared" si="3"/>
        <v>15.543138668589283</v>
      </c>
      <c r="J25" s="134">
        <f t="shared" si="2"/>
        <v>51.74</v>
      </c>
      <c r="K25" s="132">
        <f t="shared" si="6"/>
        <v>0.83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52.93</v>
      </c>
      <c r="F26" s="134">
        <f t="shared" si="1"/>
        <v>15.900624849795724</v>
      </c>
      <c r="G26" s="132">
        <f t="shared" si="5"/>
        <v>0</v>
      </c>
      <c r="H26" s="132">
        <f t="shared" si="5"/>
        <v>0</v>
      </c>
      <c r="I26" s="134">
        <f t="shared" si="3"/>
        <v>15.900624849795724</v>
      </c>
      <c r="J26" s="134">
        <f t="shared" si="2"/>
        <v>52.93</v>
      </c>
      <c r="K26" s="132">
        <f t="shared" si="6"/>
        <v>0.85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54.15</v>
      </c>
      <c r="F27" s="134">
        <f t="shared" si="1"/>
        <v>46.580742900590806</v>
      </c>
      <c r="G27" s="132">
        <f t="shared" si="5"/>
        <v>0</v>
      </c>
      <c r="H27" s="132">
        <f t="shared" si="5"/>
        <v>0</v>
      </c>
      <c r="I27" s="134">
        <f t="shared" si="3"/>
        <v>46.580742900590806</v>
      </c>
      <c r="J27" s="134">
        <f t="shared" si="2"/>
        <v>155.06</v>
      </c>
      <c r="K27" s="132">
        <f t="shared" si="6"/>
        <v>0.87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103.23</v>
      </c>
      <c r="E28" s="132">
        <f t="shared" si="5"/>
        <v>55.4</v>
      </c>
      <c r="F28" s="134">
        <f t="shared" si="1"/>
        <v>47.65380918048546</v>
      </c>
      <c r="G28" s="132">
        <f t="shared" si="5"/>
        <v>0</v>
      </c>
      <c r="H28" s="132">
        <f t="shared" si="5"/>
        <v>0</v>
      </c>
      <c r="I28" s="134">
        <f t="shared" si="3"/>
        <v>47.65380918048546</v>
      </c>
      <c r="J28" s="134">
        <f t="shared" si="2"/>
        <v>158.63</v>
      </c>
      <c r="K28" s="132">
        <f t="shared" si="6"/>
        <v>0.89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105.5</v>
      </c>
      <c r="E29" s="132">
        <f t="shared" si="5"/>
        <v>56.62</v>
      </c>
      <c r="F29" s="134">
        <f t="shared" si="1"/>
        <v>48.702235039653935</v>
      </c>
      <c r="G29" s="132">
        <f t="shared" si="5"/>
        <v>0</v>
      </c>
      <c r="H29" s="132">
        <f t="shared" si="5"/>
        <v>0</v>
      </c>
      <c r="I29" s="134">
        <f t="shared" si="3"/>
        <v>48.702235039653935</v>
      </c>
      <c r="J29" s="134">
        <f t="shared" si="2"/>
        <v>162.12</v>
      </c>
      <c r="K29" s="132">
        <f t="shared" si="6"/>
        <v>0.91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107.82</v>
      </c>
      <c r="E30" s="132">
        <f t="shared" si="5"/>
        <v>57.87</v>
      </c>
      <c r="F30" s="134">
        <f t="shared" si="1"/>
        <v>49.774693583273255</v>
      </c>
      <c r="G30" s="132">
        <f t="shared" si="5"/>
        <v>0</v>
      </c>
      <c r="H30" s="132">
        <f t="shared" si="5"/>
        <v>0</v>
      </c>
      <c r="I30" s="134">
        <f t="shared" si="3"/>
        <v>49.774693583273255</v>
      </c>
      <c r="J30" s="134">
        <f t="shared" si="2"/>
        <v>165.69</v>
      </c>
      <c r="K30" s="132">
        <f t="shared" si="6"/>
        <v>0.93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110.19</v>
      </c>
      <c r="E31" s="132">
        <f t="shared" si="5"/>
        <v>59.14</v>
      </c>
      <c r="F31" s="134">
        <f t="shared" si="1"/>
        <v>50.86818072578707</v>
      </c>
      <c r="G31" s="132">
        <f t="shared" si="5"/>
        <v>0</v>
      </c>
      <c r="H31" s="132">
        <f t="shared" si="5"/>
        <v>0</v>
      </c>
      <c r="I31" s="134">
        <f t="shared" si="3"/>
        <v>50.86818072578707</v>
      </c>
      <c r="J31" s="134">
        <f t="shared" si="2"/>
        <v>169.33</v>
      </c>
      <c r="K31" s="132">
        <f t="shared" si="6"/>
        <v>0.95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112.72</v>
      </c>
      <c r="E32" s="132">
        <f t="shared" si="5"/>
        <v>60.5</v>
      </c>
      <c r="F32" s="134">
        <f t="shared" si="1"/>
        <v>52.03677000720981</v>
      </c>
      <c r="G32" s="132">
        <f t="shared" si="5"/>
        <v>0</v>
      </c>
      <c r="H32" s="132">
        <f t="shared" si="5"/>
        <v>0</v>
      </c>
      <c r="I32" s="134">
        <f t="shared" si="3"/>
        <v>52.03677000720981</v>
      </c>
      <c r="J32" s="134">
        <f t="shared" si="2"/>
        <v>173.22</v>
      </c>
      <c r="K32" s="132">
        <f t="shared" si="6"/>
        <v>0.97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115.31</v>
      </c>
      <c r="E33" s="132">
        <f t="shared" si="5"/>
        <v>61.89</v>
      </c>
      <c r="F33" s="134">
        <f t="shared" si="1"/>
        <v>53.23239605863975</v>
      </c>
      <c r="G33" s="132">
        <f t="shared" si="5"/>
        <v>0</v>
      </c>
      <c r="H33" s="132">
        <f t="shared" si="5"/>
        <v>0</v>
      </c>
      <c r="I33" s="134">
        <f t="shared" si="3"/>
        <v>53.23239605863975</v>
      </c>
      <c r="J33" s="134">
        <f t="shared" si="2"/>
        <v>177.2</v>
      </c>
      <c r="K33" s="132">
        <f t="shared" si="6"/>
        <v>0.99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117.96</v>
      </c>
      <c r="E34" s="132">
        <f t="shared" si="5"/>
        <v>63.31</v>
      </c>
      <c r="F34" s="134">
        <f t="shared" si="1"/>
        <v>54.455058880076905</v>
      </c>
      <c r="G34" s="132">
        <f t="shared" si="5"/>
        <v>0</v>
      </c>
      <c r="H34" s="132">
        <f t="shared" si="5"/>
        <v>0</v>
      </c>
      <c r="I34" s="134">
        <f t="shared" si="3"/>
        <v>54.455058880076905</v>
      </c>
      <c r="J34" s="134">
        <f t="shared" si="2"/>
        <v>181.27</v>
      </c>
      <c r="K34" s="132">
        <f t="shared" si="6"/>
        <v>1.01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120.67</v>
      </c>
      <c r="E35" s="132">
        <f t="shared" si="5"/>
        <v>64.77</v>
      </c>
      <c r="F35" s="134">
        <f t="shared" si="1"/>
        <v>55.707762557077629</v>
      </c>
      <c r="G35" s="132">
        <f t="shared" si="5"/>
        <v>0</v>
      </c>
      <c r="H35" s="132">
        <f t="shared" si="5"/>
        <v>0</v>
      </c>
      <c r="I35" s="134">
        <f t="shared" si="3"/>
        <v>55.707762557077629</v>
      </c>
      <c r="J35" s="134">
        <f t="shared" si="2"/>
        <v>185.44</v>
      </c>
      <c r="K35" s="132">
        <f t="shared" si="6"/>
        <v>1.03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123.45</v>
      </c>
      <c r="E36" s="132">
        <f t="shared" si="5"/>
        <v>66.260000000000005</v>
      </c>
      <c r="F36" s="134">
        <f t="shared" si="1"/>
        <v>56.990507089641916</v>
      </c>
      <c r="G36" s="132">
        <f t="shared" si="5"/>
        <v>0</v>
      </c>
      <c r="H36" s="132">
        <f t="shared" si="5"/>
        <v>0</v>
      </c>
      <c r="I36" s="134">
        <f t="shared" si="3"/>
        <v>56.990507089641916</v>
      </c>
      <c r="J36" s="134">
        <f t="shared" si="2"/>
        <v>189.71</v>
      </c>
      <c r="K36" s="132">
        <f t="shared" si="6"/>
        <v>1.05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27</v>
      </c>
      <c r="C42" s="145"/>
      <c r="D42" s="145"/>
      <c r="E42" s="145"/>
      <c r="F42" s="145"/>
      <c r="G42" s="145"/>
      <c r="H42" s="145"/>
    </row>
    <row r="44" spans="2:16">
      <c r="B44" s="121" t="s">
        <v>72</v>
      </c>
      <c r="C44" s="146" t="s">
        <v>73</v>
      </c>
      <c r="D44" s="147" t="s">
        <v>117</v>
      </c>
    </row>
    <row r="45" spans="2:16">
      <c r="C45" s="146" t="str">
        <f>C7</f>
        <v>(a)</v>
      </c>
      <c r="D45" s="121" t="s">
        <v>74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75</v>
      </c>
      <c r="D53" s="152" t="s">
        <v>76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124</v>
      </c>
      <c r="C55" s="185">
        <v>1420.0408201737057</v>
      </c>
      <c r="D55" s="121" t="s">
        <v>74</v>
      </c>
      <c r="H55" s="121" t="s">
        <v>9</v>
      </c>
    </row>
    <row r="56" spans="2:24">
      <c r="B56" s="85" t="s">
        <v>111</v>
      </c>
      <c r="C56" s="154">
        <v>37.570551305416139</v>
      </c>
      <c r="D56" s="121" t="s">
        <v>77</v>
      </c>
      <c r="H56" s="121" t="s">
        <v>9</v>
      </c>
    </row>
    <row r="57" spans="2:24">
      <c r="B57" s="85" t="s">
        <v>111</v>
      </c>
      <c r="C57" s="159">
        <v>0.58600709999999989</v>
      </c>
      <c r="D57" s="121" t="s">
        <v>82</v>
      </c>
      <c r="H57" s="121" t="s">
        <v>79</v>
      </c>
    </row>
    <row r="58" spans="2:24">
      <c r="B58" s="85" t="s">
        <v>111</v>
      </c>
      <c r="C58" s="154">
        <v>0</v>
      </c>
      <c r="D58" s="121" t="s">
        <v>78</v>
      </c>
      <c r="H58" s="121" t="s">
        <v>79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111</v>
      </c>
      <c r="C59" s="167"/>
      <c r="D59" s="121" t="s">
        <v>80</v>
      </c>
      <c r="H59" s="121" t="s">
        <v>79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38</v>
      </c>
      <c r="K62" s="163"/>
      <c r="L62" s="164"/>
      <c r="M62" s="164"/>
      <c r="O62" s="165"/>
    </row>
    <row r="63" spans="2:24">
      <c r="C63" s="166">
        <v>0.38</v>
      </c>
      <c r="D63" s="121" t="s">
        <v>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March 29,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2.3E-2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0.02</v>
      </c>
      <c r="E68" s="85"/>
      <c r="F68" s="87">
        <f t="shared" si="10"/>
        <v>2028</v>
      </c>
      <c r="G68" s="41">
        <v>2.4E-2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2.4E-2</v>
      </c>
      <c r="H69" s="85"/>
      <c r="I69" s="87">
        <f t="shared" si="11"/>
        <v>2038</v>
      </c>
      <c r="J69" s="41">
        <v>2.3E-2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2.3E-2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2.3E-2</v>
      </c>
    </row>
    <row r="72" spans="3:11" s="123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2.3E-2</v>
      </c>
    </row>
    <row r="73" spans="3:11" s="123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2.3E-2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58</vt:i4>
      </vt:variant>
    </vt:vector>
  </HeadingPairs>
  <TitlesOfParts>
    <vt:vector size="83" baseType="lpstr"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2'!Study_Cap_Adj</vt:lpstr>
      <vt:lpstr>'Table 3 TransCost D2 '!Study_Cap_Adj</vt:lpstr>
      <vt:lpstr>Study_Cap_Adj</vt:lpstr>
      <vt:lpstr>'Table 2'!Study_CF</vt:lpstr>
      <vt:lpstr>Study_CF</vt:lpstr>
      <vt:lpstr>'Table 2'!Study_MW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2018-02-07T18:22:02Z</cp:lastPrinted>
  <dcterms:created xsi:type="dcterms:W3CDTF">2001-03-19T15:45:46Z</dcterms:created>
  <dcterms:modified xsi:type="dcterms:W3CDTF">2019-10-10T20:24:29Z</dcterms:modified>
</cp:coreProperties>
</file>