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38\"/>
    </mc:Choice>
  </mc:AlternateContent>
  <bookViews>
    <workbookView xWindow="0" yWindow="0" windowWidth="19125" windowHeight="11520"/>
  </bookViews>
  <sheets>
    <sheet name="Table 1" sheetId="25" r:id="rId1"/>
    <sheet name="Table 2" sheetId="66" r:id="rId2"/>
    <sheet name="Table 4" sheetId="28" r:id="rId3"/>
    <sheet name="Table 5" sheetId="31" r:id="rId4"/>
    <sheet name="Table 3 TransCost D2 " sheetId="47" state="hidden" r:id="rId5"/>
    <sheet name="Table 3 UT Wind 2030" sheetId="63" state="hidden" r:id="rId6"/>
    <sheet name="Table 3 DJ Wind 2030" sheetId="42" state="hidden" r:id="rId7"/>
    <sheet name="Table 3 ID Wind 2030" sheetId="64" state="hidden" r:id="rId8"/>
    <sheet name="Table 3 ID Wind 2033" sheetId="44" state="hidden" r:id="rId9"/>
    <sheet name="Table 3 UT Wind 2036" sheetId="50" state="hidden" r:id="rId10"/>
    <sheet name="Table 3 WW Wind 2035" sheetId="52" state="hidden" r:id="rId11"/>
    <sheet name="Table 3 YK Wind 2035" sheetId="53" state="hidden" r:id="rId12"/>
    <sheet name="Table 3 OR Wind 2035" sheetId="54" state="hidden" r:id="rId13"/>
    <sheet name="Table 3 YK Solar 2030" sheetId="41" state="hidden" r:id="rId14"/>
    <sheet name="Table 3 YK Solar 2032" sheetId="56" state="hidden" r:id="rId15"/>
    <sheet name="Table 3 YK Solar 2033" sheetId="57" state="hidden" r:id="rId16"/>
    <sheet name="Table 3 UT Solar 2033 ST" sheetId="40" state="hidden" r:id="rId17"/>
    <sheet name="Table 3 UT Solar 2035 ST" sheetId="62" state="hidden" r:id="rId18"/>
    <sheet name="Table 3 UT Solar 2035 FT" sheetId="55" state="hidden" r:id="rId19"/>
    <sheet name="Table 3 OR Solar 2030" sheetId="58" state="hidden" r:id="rId20"/>
    <sheet name="Table 3 OR Solar 2031" sheetId="59" state="hidden" r:id="rId21"/>
    <sheet name="Table 3 OR Solar 2032" sheetId="60" state="hidden" r:id="rId22"/>
    <sheet name="Table 3 OR Solar 2033" sheetId="61" state="hidden" r:id="rId23"/>
    <sheet name="Table 3 EV2020 Wind_2020" sheetId="43" state="hidden" r:id="rId24"/>
    <sheet name="Table 3 EV2020 Wind_2021" sheetId="49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00_SCCT_UtahN" localSheetId="1">'[1]Table 1'!$I$19</definedName>
    <definedName name="_200_SCCT_UtahN">'Table 1'!$I$19</definedName>
    <definedName name="_200_SCCT_WYNE">'Table 1'!$I$21</definedName>
    <definedName name="_30_Geo_West" localSheetId="1">'[1]Table 1'!$I$17</definedName>
    <definedName name="_30_Geo_West" localSheetId="4">'Table 1'!$I$17</definedName>
    <definedName name="_30_Geo_West">'Table 1'!$I$17</definedName>
    <definedName name="_436_CCCT_WestMain" localSheetId="1">'[1]Table 1'!$I$18</definedName>
    <definedName name="_436_CCCT_WestMain" localSheetId="4">'Table 1'!$I$18</definedName>
    <definedName name="_436_CCCT_WestMain">'Table 1'!$I$18</definedName>
    <definedName name="_477_CCCT_WestMain" localSheetId="1">'Table 1'!$I$18</definedName>
    <definedName name="_477_CCCT_WestMain">'[2]Table 1'!$I$18</definedName>
    <definedName name="_477_CCCT_WYNE">'Table 1'!$I$20</definedName>
    <definedName name="_635_CCCT_UtahS" localSheetId="1">'Table 1'!$I$19</definedName>
    <definedName name="_635_CCCT_UtahS">'[2]Table 1'!$I$19</definedName>
    <definedName name="_635_CCCT_WyoNE" localSheetId="1">'Table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">'[1]Table 1'!#REF!</definedName>
    <definedName name="_Percent_Last_CCCT">'[3]Table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>'Table 1'!$I$39</definedName>
    <definedName name="Discount_Rate_2015_IRP" localSheetId="23">'[5]Table 7 to 8'!$AE$43</definedName>
    <definedName name="Discount_Rate_2015_IRP" localSheetId="24">'[5]Table 7 to 8'!$AE$43</definedName>
    <definedName name="Discount_Rate_2015_IRP" localSheetId="7">'[5]Table 7 to 8'!$AE$43</definedName>
    <definedName name="Discount_Rate_2015_IRP" localSheetId="8">'[5]Table 7 to 8'!$AE$43</definedName>
    <definedName name="Discount_Rate_2015_IRP" localSheetId="19">'[5]Table 7 to 8'!$AE$43</definedName>
    <definedName name="Discount_Rate_2015_IRP" localSheetId="20">'[5]Table 7 to 8'!$AE$43</definedName>
    <definedName name="Discount_Rate_2015_IRP" localSheetId="21">'[5]Table 7 to 8'!$AE$43</definedName>
    <definedName name="Discount_Rate_2015_IRP" localSheetId="22">'[5]Table 7 to 8'!$AE$43</definedName>
    <definedName name="Discount_Rate_2015_IRP" localSheetId="12">'[5]Table 7 to 8'!$AE$43</definedName>
    <definedName name="Discount_Rate_2015_IRP" localSheetId="4">'[5]Table 7 to 8'!$AE$43</definedName>
    <definedName name="Discount_Rate_2015_IRP" localSheetId="16">'[5]Table 7 to 8'!$AE$43</definedName>
    <definedName name="Discount_Rate_2015_IRP" localSheetId="18">'[5]Table 7 to 8'!$AE$43</definedName>
    <definedName name="Discount_Rate_2015_IRP" localSheetId="17">'[5]Table 7 to 8'!$AE$43</definedName>
    <definedName name="Discount_Rate_2015_IRP" localSheetId="5">'[5]Table 7 to 8'!$AE$43</definedName>
    <definedName name="Discount_Rate_2015_IRP" localSheetId="9">'[5]Table 7 to 8'!$AE$43</definedName>
    <definedName name="Discount_Rate_2015_IRP" localSheetId="10">'[5]Table 7 to 8'!$AE$43</definedName>
    <definedName name="Discount_Rate_2015_IRP" localSheetId="13">'[5]Table 7 to 8'!$AE$43</definedName>
    <definedName name="Discount_Rate_2015_IRP" localSheetId="14">'[5]Table 7 to 8'!$AE$43</definedName>
    <definedName name="Discount_Rate_2015_IRP" localSheetId="15">'[5]Table 7 to 8'!$AE$43</definedName>
    <definedName name="Discount_Rate_2015_IRP" localSheetId="11">'[5]Table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6">'[7]OFPC Source'!$J$8:$M$295</definedName>
    <definedName name="Market" localSheetId="23">'[7]OFPC Source'!$J$8:$M$295</definedName>
    <definedName name="Market" localSheetId="24">'[7]OFPC Source'!$J$8:$M$295</definedName>
    <definedName name="Market" localSheetId="7">'[7]OFPC Source'!$J$8:$M$295</definedName>
    <definedName name="Market" localSheetId="8">'[7]OFPC Source'!$J$8:$M$295</definedName>
    <definedName name="Market" localSheetId="19">'[7]OFPC Source'!$J$8:$M$295</definedName>
    <definedName name="Market" localSheetId="20">'[7]OFPC Source'!$J$8:$M$295</definedName>
    <definedName name="Market" localSheetId="21">'[7]OFPC Source'!$J$8:$M$295</definedName>
    <definedName name="Market" localSheetId="22">'[7]OFPC Source'!$J$8:$M$295</definedName>
    <definedName name="Market" localSheetId="12">'[7]OFPC Source'!$J$8:$M$295</definedName>
    <definedName name="Market" localSheetId="4">'[7]OFPC Source'!$J$8:$M$295</definedName>
    <definedName name="Market" localSheetId="16">'[7]OFPC Source'!$J$8:$M$295</definedName>
    <definedName name="Market" localSheetId="18">'[7]OFPC Source'!$J$8:$M$295</definedName>
    <definedName name="Market" localSheetId="17">'[7]OFPC Source'!$J$8:$M$295</definedName>
    <definedName name="Market" localSheetId="5">'[7]OFPC Source'!$J$8:$M$295</definedName>
    <definedName name="Market" localSheetId="9">'[7]OFPC Source'!$J$8:$M$295</definedName>
    <definedName name="Market" localSheetId="10">'[7]OFPC Source'!$J$8:$M$295</definedName>
    <definedName name="Market" localSheetId="13">'[7]OFPC Source'!$J$8:$M$295</definedName>
    <definedName name="Market" localSheetId="14">'[7]OFPC Source'!$J$8:$M$295</definedName>
    <definedName name="Market" localSheetId="15">'[7]OFPC Source'!$J$8:$M$295</definedName>
    <definedName name="Market" localSheetId="11">'[7]OFPC Source'!$J$8:$M$295</definedName>
    <definedName name="Market">'[6]OFPC Source'!$J$8:$M$295</definedName>
    <definedName name="MidC_Flat" localSheetId="1">[8]Market_Price!#REF!</definedName>
    <definedName name="MidC_Flat">[8]Market_Price!#REF!</definedName>
    <definedName name="OR_AC_price" localSheetId="1">#REF!</definedName>
    <definedName name="OR_AC_price">#REF!</definedName>
    <definedName name="_xlnm.Print_Area" localSheetId="0">'Table 1'!$A$1:$H$57</definedName>
    <definedName name="_xlnm.Print_Area" localSheetId="1">'Table 2'!$B$1:$P$36</definedName>
    <definedName name="_xlnm.Print_Area" localSheetId="6">'Table 3 DJ Wind 2030'!$A$1:$K$74</definedName>
    <definedName name="_xlnm.Print_Area" localSheetId="23">'Table 3 EV2020 Wind_2020'!$A$1:$M$74</definedName>
    <definedName name="_xlnm.Print_Area" localSheetId="24">'Table 3 EV2020 Wind_2021'!$A$1:$M$74</definedName>
    <definedName name="_xlnm.Print_Area" localSheetId="7">'Table 3 ID Wind 2030'!$A$1:$K$74</definedName>
    <definedName name="_xlnm.Print_Area" localSheetId="8">'Table 3 ID Wind 2033'!$A$1:$K$74</definedName>
    <definedName name="_xlnm.Print_Area" localSheetId="19">'Table 3 OR Solar 2030'!$A$1:$K$74</definedName>
    <definedName name="_xlnm.Print_Area" localSheetId="20">'Table 3 OR Solar 2031'!$A$1:$K$74</definedName>
    <definedName name="_xlnm.Print_Area" localSheetId="21">'Table 3 OR Solar 2032'!$A$1:$K$74</definedName>
    <definedName name="_xlnm.Print_Area" localSheetId="22">'Table 3 OR Solar 2033'!$A$1:$K$74</definedName>
    <definedName name="_xlnm.Print_Area" localSheetId="12">'Table 3 OR Wind 2035'!$A$1:$K$74</definedName>
    <definedName name="_xlnm.Print_Area" localSheetId="4">'Table 3 TransCost D2 '!$A$1:$K$49</definedName>
    <definedName name="_xlnm.Print_Area" localSheetId="16">'Table 3 UT Solar 2033 ST'!$A$1:$K$74</definedName>
    <definedName name="_xlnm.Print_Area" localSheetId="18">'Table 3 UT Solar 2035 FT'!$A$1:$K$74</definedName>
    <definedName name="_xlnm.Print_Area" localSheetId="17">'Table 3 UT Solar 2035 ST'!$A$1:$K$74</definedName>
    <definedName name="_xlnm.Print_Area" localSheetId="5">'Table 3 UT Wind 2030'!$A$1:$K$74</definedName>
    <definedName name="_xlnm.Print_Area" localSheetId="9">'Table 3 UT Wind 2036'!$A$1:$K$74</definedName>
    <definedName name="_xlnm.Print_Area" localSheetId="10">'Table 3 WW Wind 2035'!$A$1:$K$74</definedName>
    <definedName name="_xlnm.Print_Area" localSheetId="13">'Table 3 YK Solar 2030'!$A$1:$K$74</definedName>
    <definedName name="_xlnm.Print_Area" localSheetId="14">'Table 3 YK Solar 2032'!$A$1:$K$74</definedName>
    <definedName name="_xlnm.Print_Area" localSheetId="15">'Table 3 YK Solar 2033'!$A$1:$K$74</definedName>
    <definedName name="_xlnm.Print_Area" localSheetId="11">'Table 3 YK Wind 2035'!$A$1:$K$74</definedName>
    <definedName name="_xlnm.Print_Area" localSheetId="2">'Table 4'!$A$1:$E$44</definedName>
    <definedName name="_xlnm.Print_Area" localSheetId="3">'Table 5'!$A$1:$H$266</definedName>
    <definedName name="_xlnm.Print_Titles" localSheetId="1">'Table 2'!$1:$9</definedName>
    <definedName name="RenewableMarketShape" localSheetId="6">'[7]OFPC Source'!$P$5:$U$28</definedName>
    <definedName name="RenewableMarketShape" localSheetId="23">'[7]OFPC Source'!$P$5:$U$28</definedName>
    <definedName name="RenewableMarketShape" localSheetId="24">'[7]OFPC Source'!$P$5:$U$28</definedName>
    <definedName name="RenewableMarketShape" localSheetId="7">'[7]OFPC Source'!$P$5:$U$28</definedName>
    <definedName name="RenewableMarketShape" localSheetId="8">'[7]OFPC Source'!$P$5:$U$28</definedName>
    <definedName name="RenewableMarketShape" localSheetId="19">'[7]OFPC Source'!$P$5:$U$28</definedName>
    <definedName name="RenewableMarketShape" localSheetId="20">'[7]OFPC Source'!$P$5:$U$28</definedName>
    <definedName name="RenewableMarketShape" localSheetId="21">'[7]OFPC Source'!$P$5:$U$28</definedName>
    <definedName name="RenewableMarketShape" localSheetId="22">'[7]OFPC Source'!$P$5:$U$28</definedName>
    <definedName name="RenewableMarketShape" localSheetId="12">'[7]OFPC Source'!$P$5:$U$28</definedName>
    <definedName name="RenewableMarketShape" localSheetId="4">'[7]OFPC Source'!$P$5:$U$28</definedName>
    <definedName name="RenewableMarketShape" localSheetId="16">'[7]OFPC Source'!$P$5:$U$28</definedName>
    <definedName name="RenewableMarketShape" localSheetId="18">'[7]OFPC Source'!$P$5:$U$28</definedName>
    <definedName name="RenewableMarketShape" localSheetId="17">'[7]OFPC Source'!$P$5:$U$28</definedName>
    <definedName name="RenewableMarketShape" localSheetId="5">'[7]OFPC Source'!$P$5:$U$28</definedName>
    <definedName name="RenewableMarketShape" localSheetId="9">'[7]OFPC Source'!$P$5:$U$28</definedName>
    <definedName name="RenewableMarketShape" localSheetId="10">'[7]OFPC Source'!$P$5:$U$28</definedName>
    <definedName name="RenewableMarketShape" localSheetId="13">'[7]OFPC Source'!$P$5:$U$28</definedName>
    <definedName name="RenewableMarketShape" localSheetId="14">'[7]OFPC Source'!$P$5:$U$28</definedName>
    <definedName name="RenewableMarketShape" localSheetId="15">'[7]OFPC Source'!$P$5:$U$28</definedName>
    <definedName name="RenewableMarketShape" localSheetId="11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6">'[7]OFPC Source'!$U$47</definedName>
    <definedName name="Solar_HLH" localSheetId="23">'[7]OFPC Source'!$U$47</definedName>
    <definedName name="Solar_HLH" localSheetId="24">'[7]OFPC Source'!$U$47</definedName>
    <definedName name="Solar_HLH" localSheetId="7">'[7]OFPC Source'!$U$47</definedName>
    <definedName name="Solar_HLH" localSheetId="8">'[7]OFPC Source'!$U$47</definedName>
    <definedName name="Solar_HLH" localSheetId="19">'[7]OFPC Source'!$U$47</definedName>
    <definedName name="Solar_HLH" localSheetId="20">'[7]OFPC Source'!$U$47</definedName>
    <definedName name="Solar_HLH" localSheetId="21">'[7]OFPC Source'!$U$47</definedName>
    <definedName name="Solar_HLH" localSheetId="22">'[7]OFPC Source'!$U$47</definedName>
    <definedName name="Solar_HLH" localSheetId="12">'[7]OFPC Source'!$U$47</definedName>
    <definedName name="Solar_HLH" localSheetId="4">'[7]OFPC Source'!$U$47</definedName>
    <definedName name="Solar_HLH" localSheetId="16">'[7]OFPC Source'!$U$47</definedName>
    <definedName name="Solar_HLH" localSheetId="18">'[7]OFPC Source'!$U$47</definedName>
    <definedName name="Solar_HLH" localSheetId="17">'[7]OFPC Source'!$U$47</definedName>
    <definedName name="Solar_HLH" localSheetId="5">'[7]OFPC Source'!$U$47</definedName>
    <definedName name="Solar_HLH" localSheetId="9">'[7]OFPC Source'!$U$47</definedName>
    <definedName name="Solar_HLH" localSheetId="10">'[7]OFPC Source'!$U$47</definedName>
    <definedName name="Solar_HLH" localSheetId="13">'[7]OFPC Source'!$U$47</definedName>
    <definedName name="Solar_HLH" localSheetId="14">'[7]OFPC Source'!$U$47</definedName>
    <definedName name="Solar_HLH" localSheetId="15">'[7]OFPC Source'!$U$47</definedName>
    <definedName name="Solar_HLH" localSheetId="11">'[7]OFPC Source'!$U$47</definedName>
    <definedName name="Solar_HLH">'[6]OFPC Source'!$U$48</definedName>
    <definedName name="Solar_LLH" localSheetId="6">'[7]OFPC Source'!$V$47</definedName>
    <definedName name="Solar_LLH" localSheetId="23">'[7]OFPC Source'!$V$47</definedName>
    <definedName name="Solar_LLH" localSheetId="24">'[7]OFPC Source'!$V$47</definedName>
    <definedName name="Solar_LLH" localSheetId="7">'[7]OFPC Source'!$V$47</definedName>
    <definedName name="Solar_LLH" localSheetId="8">'[7]OFPC Source'!$V$47</definedName>
    <definedName name="Solar_LLH" localSheetId="19">'[7]OFPC Source'!$V$47</definedName>
    <definedName name="Solar_LLH" localSheetId="20">'[7]OFPC Source'!$V$47</definedName>
    <definedName name="Solar_LLH" localSheetId="21">'[7]OFPC Source'!$V$47</definedName>
    <definedName name="Solar_LLH" localSheetId="22">'[7]OFPC Source'!$V$47</definedName>
    <definedName name="Solar_LLH" localSheetId="12">'[7]OFPC Source'!$V$47</definedName>
    <definedName name="Solar_LLH" localSheetId="4">'[7]OFPC Source'!$V$47</definedName>
    <definedName name="Solar_LLH" localSheetId="16">'[7]OFPC Source'!$V$47</definedName>
    <definedName name="Solar_LLH" localSheetId="18">'[7]OFPC Source'!$V$47</definedName>
    <definedName name="Solar_LLH" localSheetId="17">'[7]OFPC Source'!$V$47</definedName>
    <definedName name="Solar_LLH" localSheetId="5">'[7]OFPC Source'!$V$47</definedName>
    <definedName name="Solar_LLH" localSheetId="9">'[7]OFPC Source'!$V$47</definedName>
    <definedName name="Solar_LLH" localSheetId="10">'[7]OFPC Source'!$V$47</definedName>
    <definedName name="Solar_LLH" localSheetId="13">'[7]OFPC Source'!$V$47</definedName>
    <definedName name="Solar_LLH" localSheetId="14">'[7]OFPC Source'!$V$47</definedName>
    <definedName name="Solar_LLH" localSheetId="15">'[7]OFPC Source'!$V$47</definedName>
    <definedName name="Solar_LLH" localSheetId="11">'[7]OFPC Source'!$V$47</definedName>
    <definedName name="Solar_LLH">'[6]OFPC Source'!$V$48</definedName>
    <definedName name="Solar_Tracking_integr_cost">'[9]Table 10'!$B$45</definedName>
    <definedName name="Study_Cap_Adj" localSheetId="1">'Table 1'!$I$8</definedName>
    <definedName name="Study_Cap_Adj" localSheetId="4">'Table 1'!$I$8</definedName>
    <definedName name="Study_Cap_Adj">'Table 1'!$I$8</definedName>
    <definedName name="Study_CF" localSheetId="1">'Table 5'!$M$7</definedName>
    <definedName name="Study_CF">'Table 5'!$M$7</definedName>
    <definedName name="Study_MW" localSheetId="1">'Table 5'!$M$6</definedName>
    <definedName name="Study_MW">'Table 5'!$M$6</definedName>
    <definedName name="Study_Name" localSheetId="6">[4]ImportData!$D$7</definedName>
    <definedName name="Study_Name" localSheetId="23">[4]ImportData!$D$7</definedName>
    <definedName name="Study_Name" localSheetId="24">[4]ImportData!$D$7</definedName>
    <definedName name="Study_Name" localSheetId="7">[4]ImportData!$D$7</definedName>
    <definedName name="Study_Name" localSheetId="8">[4]ImportData!$D$7</definedName>
    <definedName name="Study_Name" localSheetId="19">[4]ImportData!$D$7</definedName>
    <definedName name="Study_Name" localSheetId="20">[4]ImportData!$D$7</definedName>
    <definedName name="Study_Name" localSheetId="21">[4]ImportData!$D$7</definedName>
    <definedName name="Study_Name" localSheetId="22">[4]ImportData!$D$7</definedName>
    <definedName name="Study_Name" localSheetId="12">[4]ImportData!$D$7</definedName>
    <definedName name="Study_Name" localSheetId="4">[4]ImportData!$D$7</definedName>
    <definedName name="Study_Name" localSheetId="16">[4]ImportData!$D$7</definedName>
    <definedName name="Study_Name" localSheetId="18">[4]ImportData!$D$7</definedName>
    <definedName name="Study_Name" localSheetId="17">[4]ImportData!$D$7</definedName>
    <definedName name="Study_Name" localSheetId="5">[4]ImportData!$D$7</definedName>
    <definedName name="Study_Name" localSheetId="9">[4]ImportData!$D$7</definedName>
    <definedName name="Study_Name" localSheetId="10">[4]ImportData!$D$7</definedName>
    <definedName name="Study_Name" localSheetId="13">[4]ImportData!$D$7</definedName>
    <definedName name="Study_Name" localSheetId="14">[4]ImportData!$D$7</definedName>
    <definedName name="Study_Name" localSheetId="15">[4]ImportData!$D$7</definedName>
    <definedName name="Study_Name" localSheetId="11">[4]ImportData!$D$7</definedName>
    <definedName name="ValuationDate" localSheetId="1">#REF!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/>
</workbook>
</file>

<file path=xl/calcChain.xml><?xml version="1.0" encoding="utf-8"?>
<calcChain xmlns="http://schemas.openxmlformats.org/spreadsheetml/2006/main">
  <c r="B38" i="25" l="1"/>
  <c r="O9" i="66" l="1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A9" i="31" l="1"/>
  <c r="R6" i="31" l="1"/>
  <c r="H12" i="52" l="1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H12" i="44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K11" i="64"/>
  <c r="K12" i="64" s="1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1" i="64"/>
  <c r="E12" i="64" s="1"/>
  <c r="E13" i="64" s="1"/>
  <c r="E14" i="64" s="1"/>
  <c r="E15" i="64" s="1"/>
  <c r="E16" i="64" s="1"/>
  <c r="E17" i="64" s="1"/>
  <c r="E18" i="64" s="1"/>
  <c r="E19" i="64" s="1"/>
  <c r="E20" i="64" s="1"/>
  <c r="E21" i="64" s="1"/>
  <c r="E22" i="64" s="1"/>
  <c r="E23" i="64" s="1"/>
  <c r="E24" i="64" s="1"/>
  <c r="E25" i="64" s="1"/>
  <c r="E26" i="64" s="1"/>
  <c r="E27" i="64" s="1"/>
  <c r="E28" i="64" s="1"/>
  <c r="E29" i="64" s="1"/>
  <c r="E30" i="64" s="1"/>
  <c r="E31" i="64" s="1"/>
  <c r="E32" i="64" s="1"/>
  <c r="E33" i="64" s="1"/>
  <c r="E34" i="64" s="1"/>
  <c r="E35" i="64" s="1"/>
  <c r="E36" i="64" s="1"/>
  <c r="D49" i="64"/>
  <c r="C49" i="64"/>
  <c r="D48" i="64"/>
  <c r="C48" i="64"/>
  <c r="C47" i="64"/>
  <c r="C46" i="64"/>
  <c r="C45" i="64"/>
  <c r="H11" i="64"/>
  <c r="G11" i="64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D25" i="64" s="1"/>
  <c r="D26" i="64" s="1"/>
  <c r="D27" i="64" s="1"/>
  <c r="D28" i="64" s="1"/>
  <c r="D29" i="64" s="1"/>
  <c r="D30" i="64" s="1"/>
  <c r="D31" i="64" s="1"/>
  <c r="D32" i="64" s="1"/>
  <c r="D33" i="64" s="1"/>
  <c r="D34" i="64" s="1"/>
  <c r="D35" i="64" s="1"/>
  <c r="D36" i="64" s="1"/>
  <c r="P12" i="64"/>
  <c r="P13" i="64" s="1"/>
  <c r="F11" i="64"/>
  <c r="I11" i="64" s="1"/>
  <c r="J11" i="64" s="1"/>
  <c r="B3" i="64"/>
  <c r="C52" i="64" s="1"/>
  <c r="B9" i="64" s="1"/>
  <c r="C69" i="64"/>
  <c r="C70" i="64" l="1"/>
  <c r="F12" i="64"/>
  <c r="I12" i="64" s="1"/>
  <c r="J12" i="64" s="1"/>
  <c r="F13" i="64" l="1"/>
  <c r="I13" i="64" s="1"/>
  <c r="J13" i="64" s="1"/>
  <c r="P14" i="64"/>
  <c r="C71" i="64"/>
  <c r="C72" i="64" l="1"/>
  <c r="P15" i="64"/>
  <c r="F14" i="64"/>
  <c r="I14" i="64" s="1"/>
  <c r="J14" i="64" s="1"/>
  <c r="P16" i="64" l="1"/>
  <c r="F15" i="64"/>
  <c r="I15" i="64" s="1"/>
  <c r="J15" i="64" s="1"/>
  <c r="C73" i="64"/>
  <c r="C74" i="64" l="1"/>
  <c r="F16" i="64"/>
  <c r="I16" i="64" s="1"/>
  <c r="J16" i="64" s="1"/>
  <c r="P17" i="64"/>
  <c r="C67" i="63"/>
  <c r="C68" i="63" s="1"/>
  <c r="H11" i="63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B3" i="63"/>
  <c r="C52" i="63" s="1"/>
  <c r="B9" i="63" s="1"/>
  <c r="G11" i="63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K11" i="63"/>
  <c r="K12" i="63" s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I11" i="63" s="1"/>
  <c r="J11" i="63" s="1"/>
  <c r="E12" i="63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28" i="63" s="1"/>
  <c r="E29" i="63" s="1"/>
  <c r="E30" i="63" s="1"/>
  <c r="E31" i="63" s="1"/>
  <c r="E32" i="63" s="1"/>
  <c r="E33" i="63" s="1"/>
  <c r="E34" i="63" s="1"/>
  <c r="E35" i="63" s="1"/>
  <c r="E36" i="63" s="1"/>
  <c r="D47" i="63"/>
  <c r="P11" i="63"/>
  <c r="D46" i="63"/>
  <c r="D24" i="63"/>
  <c r="D25" i="63" s="1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F17" i="64"/>
  <c r="I17" i="64" s="1"/>
  <c r="J17" i="64" s="1"/>
  <c r="P18" i="64"/>
  <c r="F66" i="64"/>
  <c r="C69" i="63"/>
  <c r="F18" i="64" l="1"/>
  <c r="I18" i="64" s="1"/>
  <c r="J18" i="64" s="1"/>
  <c r="P19" i="64"/>
  <c r="F67" i="64"/>
  <c r="P12" i="63"/>
  <c r="P13" i="63" s="1"/>
  <c r="C70" i="63"/>
  <c r="F68" i="64" l="1"/>
  <c r="F19" i="64"/>
  <c r="I19" i="64" s="1"/>
  <c r="J19" i="64" s="1"/>
  <c r="P20" i="64"/>
  <c r="F12" i="63"/>
  <c r="I12" i="63" s="1"/>
  <c r="J12" i="63" s="1"/>
  <c r="C71" i="63"/>
  <c r="P14" i="63"/>
  <c r="F20" i="64" l="1"/>
  <c r="I20" i="64" s="1"/>
  <c r="J20" i="64" s="1"/>
  <c r="P21" i="64"/>
  <c r="F69" i="64"/>
  <c r="P15" i="63"/>
  <c r="F13" i="63"/>
  <c r="I13" i="63" s="1"/>
  <c r="J13" i="63" s="1"/>
  <c r="C72" i="63"/>
  <c r="P22" i="64" l="1"/>
  <c r="F70" i="64"/>
  <c r="F21" i="64"/>
  <c r="I21" i="64" s="1"/>
  <c r="J21" i="64" s="1"/>
  <c r="P16" i="63"/>
  <c r="C73" i="63"/>
  <c r="F14" i="63"/>
  <c r="I14" i="63" s="1"/>
  <c r="J14" i="63" s="1"/>
  <c r="F22" i="64" l="1"/>
  <c r="I22" i="64" s="1"/>
  <c r="J22" i="64" s="1"/>
  <c r="P23" i="64"/>
  <c r="F71" i="64"/>
  <c r="F15" i="63"/>
  <c r="I15" i="63" s="1"/>
  <c r="J15" i="63" s="1"/>
  <c r="C74" i="63"/>
  <c r="P17" i="63"/>
  <c r="P24" i="64" l="1"/>
  <c r="P18" i="63"/>
  <c r="F72" i="64"/>
  <c r="F23" i="64"/>
  <c r="I23" i="64" s="1"/>
  <c r="J23" i="64" s="1"/>
  <c r="F66" i="63"/>
  <c r="F16" i="63"/>
  <c r="I16" i="63" s="1"/>
  <c r="J16" i="63" s="1"/>
  <c r="P25" i="64" l="1"/>
  <c r="F73" i="64"/>
  <c r="F24" i="64"/>
  <c r="I24" i="64" s="1"/>
  <c r="J24" i="64" s="1"/>
  <c r="F67" i="63"/>
  <c r="F17" i="63"/>
  <c r="I17" i="63" s="1"/>
  <c r="J17" i="63" s="1"/>
  <c r="P19" i="63"/>
  <c r="P20" i="63" l="1"/>
  <c r="F74" i="64"/>
  <c r="P26" i="64"/>
  <c r="F25" i="64"/>
  <c r="I25" i="64" s="1"/>
  <c r="J25" i="64" s="1"/>
  <c r="F68" i="63"/>
  <c r="F18" i="63"/>
  <c r="I18" i="63" s="1"/>
  <c r="J18" i="63" s="1"/>
  <c r="I66" i="64" l="1"/>
  <c r="P27" i="64"/>
  <c r="F26" i="64"/>
  <c r="I26" i="64" s="1"/>
  <c r="J26" i="64" s="1"/>
  <c r="F19" i="63"/>
  <c r="I19" i="63" s="1"/>
  <c r="J19" i="63" s="1"/>
  <c r="P21" i="63"/>
  <c r="F69" i="63"/>
  <c r="F27" i="64" l="1"/>
  <c r="I27" i="64" s="1"/>
  <c r="J27" i="64" s="1"/>
  <c r="P28" i="64"/>
  <c r="I67" i="64"/>
  <c r="F70" i="63"/>
  <c r="P22" i="63"/>
  <c r="F20" i="63"/>
  <c r="I20" i="63" s="1"/>
  <c r="J20" i="63" s="1"/>
  <c r="F28" i="64" l="1"/>
  <c r="I28" i="64" s="1"/>
  <c r="J28" i="64" s="1"/>
  <c r="I68" i="64"/>
  <c r="P29" i="64"/>
  <c r="F71" i="63"/>
  <c r="F21" i="63"/>
  <c r="I21" i="63" s="1"/>
  <c r="J21" i="63" s="1"/>
  <c r="P23" i="63"/>
  <c r="P24" i="63" l="1"/>
  <c r="F29" i="64"/>
  <c r="I29" i="64" s="1"/>
  <c r="J29" i="64" s="1"/>
  <c r="P30" i="64"/>
  <c r="I69" i="64"/>
  <c r="F72" i="63"/>
  <c r="F22" i="63"/>
  <c r="I22" i="63" s="1"/>
  <c r="J22" i="63" s="1"/>
  <c r="F24" i="63" l="1"/>
  <c r="I24" i="63" s="1"/>
  <c r="J24" i="63" s="1"/>
  <c r="F30" i="64"/>
  <c r="I30" i="64" s="1"/>
  <c r="J30" i="64" s="1"/>
  <c r="I70" i="64"/>
  <c r="P31" i="64"/>
  <c r="F23" i="63"/>
  <c r="I23" i="63" s="1"/>
  <c r="J23" i="63" s="1"/>
  <c r="P25" i="63"/>
  <c r="F73" i="63"/>
  <c r="F32" i="64" l="1"/>
  <c r="P32" i="64"/>
  <c r="F25" i="63"/>
  <c r="I25" i="63" s="1"/>
  <c r="J25" i="63" s="1"/>
  <c r="F31" i="64"/>
  <c r="I31" i="64" s="1"/>
  <c r="J31" i="64" s="1"/>
  <c r="I71" i="64"/>
  <c r="F74" i="63"/>
  <c r="P26" i="63"/>
  <c r="F26" i="63" l="1"/>
  <c r="I26" i="63" s="1"/>
  <c r="J26" i="63" s="1"/>
  <c r="P33" i="64"/>
  <c r="I72" i="64"/>
  <c r="I32" i="64"/>
  <c r="J32" i="64" s="1"/>
  <c r="I66" i="63"/>
  <c r="P27" i="63"/>
  <c r="F34" i="64" l="1"/>
  <c r="P34" i="64"/>
  <c r="P28" i="63"/>
  <c r="F27" i="63"/>
  <c r="I27" i="63" s="1"/>
  <c r="J27" i="63" s="1"/>
  <c r="F33" i="64"/>
  <c r="I33" i="64" s="1"/>
  <c r="J33" i="64" s="1"/>
  <c r="I73" i="64"/>
  <c r="I67" i="63"/>
  <c r="P35" i="64" l="1"/>
  <c r="I34" i="64"/>
  <c r="J34" i="64" s="1"/>
  <c r="F28" i="63"/>
  <c r="I28" i="63" s="1"/>
  <c r="J28" i="63" s="1"/>
  <c r="F35" i="64"/>
  <c r="I74" i="64"/>
  <c r="I68" i="63"/>
  <c r="P29" i="63"/>
  <c r="P36" i="64" l="1"/>
  <c r="P30" i="63"/>
  <c r="F36" i="64"/>
  <c r="F29" i="63"/>
  <c r="I29" i="63" s="1"/>
  <c r="J29" i="63" s="1"/>
  <c r="I35" i="64"/>
  <c r="J35" i="64" s="1"/>
  <c r="I69" i="63"/>
  <c r="P31" i="63" l="1"/>
  <c r="I36" i="64"/>
  <c r="J36" i="64" s="1"/>
  <c r="I70" i="63"/>
  <c r="P32" i="63" l="1"/>
  <c r="F30" i="63"/>
  <c r="I30" i="63" s="1"/>
  <c r="J30" i="63" s="1"/>
  <c r="I71" i="63"/>
  <c r="P33" i="63" l="1"/>
  <c r="F31" i="63"/>
  <c r="I31" i="63" s="1"/>
  <c r="J31" i="63" s="1"/>
  <c r="I72" i="63"/>
  <c r="F32" i="63" l="1"/>
  <c r="I32" i="63" s="1"/>
  <c r="J32" i="63" s="1"/>
  <c r="I73" i="63"/>
  <c r="P34" i="63"/>
  <c r="P35" i="63" l="1"/>
  <c r="F33" i="63"/>
  <c r="I33" i="63" s="1"/>
  <c r="J33" i="63" s="1"/>
  <c r="I74" i="63"/>
  <c r="F34" i="63" l="1"/>
  <c r="I34" i="63" s="1"/>
  <c r="J34" i="63" s="1"/>
  <c r="F35" i="63"/>
  <c r="I35" i="63" s="1"/>
  <c r="J35" i="63" s="1"/>
  <c r="P36" i="63"/>
  <c r="F36" i="63" l="1"/>
  <c r="I36" i="63" s="1"/>
  <c r="J36" i="63" s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J264" i="31" l="1"/>
  <c r="D44" i="49"/>
  <c r="C67" i="62" l="1"/>
  <c r="C68" i="62" s="1"/>
  <c r="D11" i="62"/>
  <c r="D29" i="62"/>
  <c r="D30" i="62" s="1"/>
  <c r="D31" i="62" s="1"/>
  <c r="D32" i="62" s="1"/>
  <c r="D33" i="62" s="1"/>
  <c r="D34" i="62" s="1"/>
  <c r="D35" i="62" s="1"/>
  <c r="D36" i="62" s="1"/>
  <c r="K11" i="62"/>
  <c r="K12" i="62" s="1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E11" i="62"/>
  <c r="E12" i="62" s="1"/>
  <c r="E13" i="62" s="1"/>
  <c r="E14" i="62" s="1"/>
  <c r="E15" i="62" s="1"/>
  <c r="E16" i="62" s="1"/>
  <c r="E17" i="62" s="1"/>
  <c r="E18" i="62" s="1"/>
  <c r="E19" i="62" s="1"/>
  <c r="E20" i="62" s="1"/>
  <c r="E21" i="62" s="1"/>
  <c r="E22" i="62" s="1"/>
  <c r="E23" i="62" s="1"/>
  <c r="E24" i="62" s="1"/>
  <c r="E25" i="62" s="1"/>
  <c r="E26" i="62" s="1"/>
  <c r="E27" i="62" s="1"/>
  <c r="E28" i="62" s="1"/>
  <c r="E29" i="62" s="1"/>
  <c r="E30" i="62" s="1"/>
  <c r="E31" i="62" s="1"/>
  <c r="E32" i="62" s="1"/>
  <c r="E33" i="62" s="1"/>
  <c r="E34" i="62" s="1"/>
  <c r="E35" i="62" s="1"/>
  <c r="E36" i="62" s="1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B11" i="62"/>
  <c r="B12" i="62" s="1"/>
  <c r="B3" i="62"/>
  <c r="C52" i="62" s="1"/>
  <c r="B9" i="62" s="1"/>
  <c r="D46" i="62" l="1"/>
  <c r="F11" i="62"/>
  <c r="I11" i="62" s="1"/>
  <c r="J11" i="62" s="1"/>
  <c r="C69" i="62"/>
  <c r="C70" i="62" l="1"/>
  <c r="D12" i="62"/>
  <c r="C71" i="62" l="1"/>
  <c r="D13" i="62"/>
  <c r="F12" i="62"/>
  <c r="I12" i="62" s="1"/>
  <c r="J12" i="62" s="1"/>
  <c r="F13" i="62" l="1"/>
  <c r="I13" i="62" s="1"/>
  <c r="J13" i="62" s="1"/>
  <c r="D14" i="62"/>
  <c r="C72" i="62"/>
  <c r="D15" i="62" l="1"/>
  <c r="F14" i="62"/>
  <c r="I14" i="62" s="1"/>
  <c r="J14" i="62" s="1"/>
  <c r="C73" i="62"/>
  <c r="D16" i="62" l="1"/>
  <c r="F15" i="62"/>
  <c r="I15" i="62" s="1"/>
  <c r="J15" i="62" s="1"/>
  <c r="C74" i="62"/>
  <c r="D17" i="62" l="1"/>
  <c r="F16" i="62"/>
  <c r="I16" i="62" s="1"/>
  <c r="J16" i="62" s="1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F67" i="62" l="1"/>
  <c r="F17" i="62"/>
  <c r="I17" i="62" s="1"/>
  <c r="J17" i="62" s="1"/>
  <c r="D18" i="62"/>
  <c r="F68" i="62" l="1"/>
  <c r="D19" i="62"/>
  <c r="F18" i="62"/>
  <c r="I18" i="62" s="1"/>
  <c r="J18" i="62" s="1"/>
  <c r="C27" i="61"/>
  <c r="C67" i="61"/>
  <c r="B3" i="61"/>
  <c r="C52" i="61" s="1"/>
  <c r="B9" i="61" s="1"/>
  <c r="K11" i="61"/>
  <c r="K12" i="61" s="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1" i="6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E29" i="61" s="1"/>
  <c r="E30" i="61" s="1"/>
  <c r="E31" i="61" s="1"/>
  <c r="E32" i="61" s="1"/>
  <c r="E33" i="61" s="1"/>
  <c r="E34" i="61" s="1"/>
  <c r="E35" i="61" s="1"/>
  <c r="E36" i="61" s="1"/>
  <c r="C49" i="61"/>
  <c r="D48" i="61"/>
  <c r="C48" i="61"/>
  <c r="C47" i="61"/>
  <c r="D46" i="61"/>
  <c r="C46" i="61"/>
  <c r="C45" i="61"/>
  <c r="D49" i="61"/>
  <c r="H11" i="61"/>
  <c r="G11" i="6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K11" i="60"/>
  <c r="K12" i="60" s="1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K12" i="59" s="1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E11" i="59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E29" i="59" s="1"/>
  <c r="E30" i="59" s="1"/>
  <c r="E31" i="59" s="1"/>
  <c r="E32" i="59" s="1"/>
  <c r="E33" i="59" s="1"/>
  <c r="E34" i="59" s="1"/>
  <c r="E35" i="59" s="1"/>
  <c r="E36" i="59" s="1"/>
  <c r="C49" i="59"/>
  <c r="D48" i="59"/>
  <c r="C48" i="59"/>
  <c r="C47" i="59"/>
  <c r="D46" i="59"/>
  <c r="C46" i="59"/>
  <c r="C45" i="59"/>
  <c r="D49" i="59"/>
  <c r="H11" i="59"/>
  <c r="G11" i="59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K12" i="58" s="1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H11" i="58"/>
  <c r="B11" i="58"/>
  <c r="C27" i="57"/>
  <c r="C68" i="57"/>
  <c r="C69" i="57" s="1"/>
  <c r="C67" i="57"/>
  <c r="B3" i="57"/>
  <c r="C52" i="57" s="1"/>
  <c r="B9" i="57" s="1"/>
  <c r="D46" i="57"/>
  <c r="G11" i="57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K11" i="57"/>
  <c r="K12" i="57" s="1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K11" i="56"/>
  <c r="K12" i="56" s="1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K11" i="41"/>
  <c r="K12" i="41" s="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E11" i="41"/>
  <c r="E12" i="41" s="1"/>
  <c r="E13" i="41" s="1"/>
  <c r="E14" i="41" s="1"/>
  <c r="E15" i="41" s="1"/>
  <c r="E16" i="41" s="1"/>
  <c r="E17" i="41" s="1"/>
  <c r="E18" i="41" s="1"/>
  <c r="E19" i="41" s="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  <c r="E36" i="41" s="1"/>
  <c r="C24" i="4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B3" i="55"/>
  <c r="C52" i="55" s="1"/>
  <c r="B9" i="55" s="1"/>
  <c r="D46" i="55"/>
  <c r="G11" i="55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K11" i="55"/>
  <c r="K12" i="55" s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1" i="55"/>
  <c r="E12" i="55" s="1"/>
  <c r="E13" i="55" s="1"/>
  <c r="E14" i="55" s="1"/>
  <c r="E15" i="55" s="1"/>
  <c r="E16" i="55" s="1"/>
  <c r="E17" i="55" s="1"/>
  <c r="E18" i="55" s="1"/>
  <c r="E19" i="55" s="1"/>
  <c r="E20" i="55" s="1"/>
  <c r="E21" i="55" s="1"/>
  <c r="E22" i="55" s="1"/>
  <c r="E23" i="55" s="1"/>
  <c r="E24" i="55" s="1"/>
  <c r="E25" i="55" s="1"/>
  <c r="E26" i="55" s="1"/>
  <c r="E27" i="55" s="1"/>
  <c r="E28" i="55" s="1"/>
  <c r="E29" i="55" s="1"/>
  <c r="E30" i="55" s="1"/>
  <c r="E31" i="55" s="1"/>
  <c r="E32" i="55" s="1"/>
  <c r="E33" i="55" s="1"/>
  <c r="E34" i="55" s="1"/>
  <c r="E35" i="55" s="1"/>
  <c r="E36" i="55" s="1"/>
  <c r="E11" i="40"/>
  <c r="E12" i="40" s="1"/>
  <c r="E13" i="40" s="1"/>
  <c r="E14" i="40" s="1"/>
  <c r="E15" i="40" s="1"/>
  <c r="E16" i="40" s="1"/>
  <c r="E17" i="40" s="1"/>
  <c r="E18" i="40" s="1"/>
  <c r="E19" i="40" s="1"/>
  <c r="E20" i="40" s="1"/>
  <c r="E21" i="40" s="1"/>
  <c r="E22" i="40" s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K11" i="40"/>
  <c r="K12" i="40" s="1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G12" i="40" s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C27" i="40"/>
  <c r="B3" i="54"/>
  <c r="C52" i="54" s="1"/>
  <c r="B9" i="54" s="1"/>
  <c r="D46" i="54"/>
  <c r="G11" i="54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K11" i="54"/>
  <c r="K12" i="54" s="1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1" i="54"/>
  <c r="E12" i="54" s="1"/>
  <c r="E13" i="54" s="1"/>
  <c r="E14" i="54" s="1"/>
  <c r="E15" i="54" s="1"/>
  <c r="E16" i="54" s="1"/>
  <c r="E17" i="54" s="1"/>
  <c r="E18" i="54" s="1"/>
  <c r="E19" i="54" s="1"/>
  <c r="E20" i="54" s="1"/>
  <c r="E21" i="54" s="1"/>
  <c r="E22" i="54" s="1"/>
  <c r="E23" i="54" s="1"/>
  <c r="E24" i="54" s="1"/>
  <c r="E25" i="54" s="1"/>
  <c r="E26" i="54" s="1"/>
  <c r="E27" i="54" s="1"/>
  <c r="E28" i="54" s="1"/>
  <c r="E29" i="54" s="1"/>
  <c r="E30" i="54" s="1"/>
  <c r="E31" i="54" s="1"/>
  <c r="E32" i="54" s="1"/>
  <c r="E33" i="54" s="1"/>
  <c r="E34" i="54" s="1"/>
  <c r="E35" i="54" s="1"/>
  <c r="E36" i="54" s="1"/>
  <c r="C29" i="54"/>
  <c r="D29" i="54" s="1"/>
  <c r="D30" i="54" s="1"/>
  <c r="D31" i="54" s="1"/>
  <c r="D32" i="54" s="1"/>
  <c r="D33" i="54" s="1"/>
  <c r="D34" i="54" s="1"/>
  <c r="D35" i="54" s="1"/>
  <c r="D36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K11" i="53"/>
  <c r="K12" i="53" s="1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K11" i="52"/>
  <c r="K12" i="52" s="1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1" i="52"/>
  <c r="E12" i="52" s="1"/>
  <c r="E13" i="52" s="1"/>
  <c r="E14" i="52" s="1"/>
  <c r="E15" i="52" s="1"/>
  <c r="E16" i="52" s="1"/>
  <c r="E17" i="52" s="1"/>
  <c r="E18" i="52" s="1"/>
  <c r="E19" i="52" s="1"/>
  <c r="E20" i="52" s="1"/>
  <c r="E21" i="52" s="1"/>
  <c r="E22" i="52" s="1"/>
  <c r="E23" i="52" s="1"/>
  <c r="E24" i="52" s="1"/>
  <c r="E25" i="52" s="1"/>
  <c r="E26" i="52" s="1"/>
  <c r="E27" i="52" s="1"/>
  <c r="E28" i="52" s="1"/>
  <c r="E29" i="52" s="1"/>
  <c r="E30" i="52" s="1"/>
  <c r="E31" i="52" s="1"/>
  <c r="E32" i="52" s="1"/>
  <c r="E33" i="52" s="1"/>
  <c r="E34" i="52" s="1"/>
  <c r="E35" i="52" s="1"/>
  <c r="E36" i="52" s="1"/>
  <c r="C29" i="52"/>
  <c r="D29" i="52" s="1"/>
  <c r="D30" i="52" s="1"/>
  <c r="D31" i="52" s="1"/>
  <c r="D32" i="52" s="1"/>
  <c r="D33" i="52" s="1"/>
  <c r="D34" i="52" s="1"/>
  <c r="D35" i="52" s="1"/>
  <c r="D36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1" i="44"/>
  <c r="K12" i="44" s="1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E11" i="44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C27" i="44"/>
  <c r="C30" i="50"/>
  <c r="D47" i="50"/>
  <c r="D46" i="50"/>
  <c r="G11" i="50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1" i="50"/>
  <c r="K12" i="50" s="1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E11" i="50"/>
  <c r="C24" i="42"/>
  <c r="C68" i="50"/>
  <c r="C67" i="50"/>
  <c r="H11" i="50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G12" i="42" s="1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C15" i="49"/>
  <c r="C69" i="49"/>
  <c r="C70" i="49" s="1"/>
  <c r="C67" i="49"/>
  <c r="C68" i="49" s="1"/>
  <c r="D47" i="49"/>
  <c r="D46" i="49"/>
  <c r="H11" i="49"/>
  <c r="H12" i="49" s="1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G11" i="49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L11" i="49"/>
  <c r="L12" i="49" s="1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E11" i="49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E23" i="49" s="1"/>
  <c r="E24" i="49" s="1"/>
  <c r="E25" i="49" s="1"/>
  <c r="E26" i="49" s="1"/>
  <c r="E27" i="49" s="1"/>
  <c r="E28" i="49" s="1"/>
  <c r="E29" i="49" s="1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K12" i="42" s="1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F11" i="58" l="1"/>
  <c r="E12" i="58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F11" i="60"/>
  <c r="E12" i="60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E29" i="60" s="1"/>
  <c r="E30" i="60" s="1"/>
  <c r="E31" i="60" s="1"/>
  <c r="E32" i="60" s="1"/>
  <c r="E33" i="60" s="1"/>
  <c r="E34" i="60" s="1"/>
  <c r="E35" i="60" s="1"/>
  <c r="E36" i="60" s="1"/>
  <c r="F11" i="50"/>
  <c r="E12" i="50"/>
  <c r="E13" i="50" s="1"/>
  <c r="E14" i="50" s="1"/>
  <c r="E15" i="50" s="1"/>
  <c r="E16" i="50" s="1"/>
  <c r="E17" i="50" s="1"/>
  <c r="E18" i="50" s="1"/>
  <c r="E19" i="50" s="1"/>
  <c r="E20" i="50" s="1"/>
  <c r="E21" i="50" s="1"/>
  <c r="E22" i="50" s="1"/>
  <c r="E23" i="50" s="1"/>
  <c r="E24" i="50" s="1"/>
  <c r="E25" i="50" s="1"/>
  <c r="E26" i="50" s="1"/>
  <c r="E27" i="50" s="1"/>
  <c r="E28" i="50" s="1"/>
  <c r="E29" i="50" s="1"/>
  <c r="E30" i="50" s="1"/>
  <c r="E31" i="50" s="1"/>
  <c r="E32" i="50" s="1"/>
  <c r="E33" i="50" s="1"/>
  <c r="E34" i="50" s="1"/>
  <c r="E35" i="50" s="1"/>
  <c r="E36" i="50" s="1"/>
  <c r="F11" i="53"/>
  <c r="E12" i="53"/>
  <c r="E13" i="53" s="1"/>
  <c r="E14" i="53" s="1"/>
  <c r="E15" i="53" s="1"/>
  <c r="E16" i="53" s="1"/>
  <c r="E17" i="53" s="1"/>
  <c r="E18" i="53" s="1"/>
  <c r="E19" i="53" s="1"/>
  <c r="E20" i="53" s="1"/>
  <c r="E21" i="53" s="1"/>
  <c r="E22" i="53" s="1"/>
  <c r="E23" i="53" s="1"/>
  <c r="E24" i="53" s="1"/>
  <c r="E25" i="53" s="1"/>
  <c r="E26" i="53" s="1"/>
  <c r="E27" i="53" s="1"/>
  <c r="E28" i="53" s="1"/>
  <c r="E29" i="53" s="1"/>
  <c r="E30" i="53" s="1"/>
  <c r="E31" i="53" s="1"/>
  <c r="E32" i="53" s="1"/>
  <c r="E33" i="53" s="1"/>
  <c r="E34" i="53" s="1"/>
  <c r="E35" i="53" s="1"/>
  <c r="E36" i="53" s="1"/>
  <c r="F11" i="56"/>
  <c r="E12" i="56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24" i="56" s="1"/>
  <c r="E25" i="56" s="1"/>
  <c r="E26" i="56" s="1"/>
  <c r="E27" i="56" s="1"/>
  <c r="E28" i="56" s="1"/>
  <c r="E29" i="56" s="1"/>
  <c r="E30" i="56" s="1"/>
  <c r="E31" i="56" s="1"/>
  <c r="E32" i="56" s="1"/>
  <c r="E33" i="56" s="1"/>
  <c r="E34" i="56" s="1"/>
  <c r="E35" i="56" s="1"/>
  <c r="E36" i="56" s="1"/>
  <c r="F11" i="57"/>
  <c r="I11" i="57" s="1"/>
  <c r="J11" i="57" s="1"/>
  <c r="E12" i="57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E29" i="57" s="1"/>
  <c r="E30" i="57" s="1"/>
  <c r="E31" i="57" s="1"/>
  <c r="E32" i="57" s="1"/>
  <c r="E33" i="57" s="1"/>
  <c r="E34" i="57" s="1"/>
  <c r="E35" i="57" s="1"/>
  <c r="E36" i="57" s="1"/>
  <c r="D27" i="40"/>
  <c r="D28" i="40" s="1"/>
  <c r="D29" i="40" s="1"/>
  <c r="D30" i="40" s="1"/>
  <c r="D31" i="40" s="1"/>
  <c r="D32" i="40" s="1"/>
  <c r="D33" i="40" s="1"/>
  <c r="D34" i="40" s="1"/>
  <c r="D35" i="40" s="1"/>
  <c r="D36" i="40" s="1"/>
  <c r="B3" i="50"/>
  <c r="C52" i="50" s="1"/>
  <c r="B9" i="50" s="1"/>
  <c r="P12" i="54"/>
  <c r="B3" i="58"/>
  <c r="C52" i="58" s="1"/>
  <c r="B9" i="58" s="1"/>
  <c r="P11" i="52"/>
  <c r="F12" i="59"/>
  <c r="P11" i="50"/>
  <c r="P12" i="50" s="1"/>
  <c r="P11" i="53"/>
  <c r="P12" i="53" s="1"/>
  <c r="P13" i="53" s="1"/>
  <c r="D20" i="62"/>
  <c r="F19" i="62"/>
  <c r="I19" i="62" s="1"/>
  <c r="J19" i="62" s="1"/>
  <c r="F69" i="62"/>
  <c r="F11" i="49"/>
  <c r="J11" i="49" s="1"/>
  <c r="K11" i="49" s="1"/>
  <c r="B3" i="56"/>
  <c r="C52" i="56" s="1"/>
  <c r="B9" i="56" s="1"/>
  <c r="D27" i="61"/>
  <c r="D28" i="61" s="1"/>
  <c r="D29" i="61" s="1"/>
  <c r="D30" i="61" s="1"/>
  <c r="D31" i="61" s="1"/>
  <c r="D32" i="61" s="1"/>
  <c r="D33" i="61" s="1"/>
  <c r="D34" i="61" s="1"/>
  <c r="D35" i="61" s="1"/>
  <c r="D36" i="61" s="1"/>
  <c r="D29" i="53"/>
  <c r="D30" i="53" s="1"/>
  <c r="D31" i="53" s="1"/>
  <c r="D32" i="53" s="1"/>
  <c r="D33" i="53" s="1"/>
  <c r="D34" i="53" s="1"/>
  <c r="D35" i="53" s="1"/>
  <c r="D36" i="53" s="1"/>
  <c r="I11" i="53"/>
  <c r="J11" i="53" s="1"/>
  <c r="D47" i="55"/>
  <c r="B3" i="59"/>
  <c r="C52" i="59" s="1"/>
  <c r="B9" i="59" s="1"/>
  <c r="B3" i="60"/>
  <c r="C52" i="60" s="1"/>
  <c r="B9" i="60" s="1"/>
  <c r="D15" i="49"/>
  <c r="D16" i="49" s="1"/>
  <c r="D17" i="49" s="1"/>
  <c r="D18" i="49" s="1"/>
  <c r="D19" i="49" s="1"/>
  <c r="D20" i="49" s="1"/>
  <c r="D21" i="49" s="1"/>
  <c r="D22" i="49" s="1"/>
  <c r="D23" i="49" s="1"/>
  <c r="D24" i="49" s="1"/>
  <c r="D25" i="49" s="1"/>
  <c r="D26" i="49" s="1"/>
  <c r="D27" i="49" s="1"/>
  <c r="D28" i="49" s="1"/>
  <c r="D29" i="49" s="1"/>
  <c r="B3" i="53"/>
  <c r="C52" i="53" s="1"/>
  <c r="B9" i="53" s="1"/>
  <c r="D24" i="42"/>
  <c r="D25" i="42" s="1"/>
  <c r="D26" i="42" s="1"/>
  <c r="D27" i="42" s="1"/>
  <c r="D28" i="42" s="1"/>
  <c r="D29" i="42" s="1"/>
  <c r="D30" i="42" s="1"/>
  <c r="D31" i="42" s="1"/>
  <c r="D32" i="42" s="1"/>
  <c r="D33" i="42" s="1"/>
  <c r="D34" i="42" s="1"/>
  <c r="D35" i="42" s="1"/>
  <c r="D36" i="42" s="1"/>
  <c r="I11" i="50"/>
  <c r="J11" i="50" s="1"/>
  <c r="B3" i="49"/>
  <c r="C52" i="49" s="1"/>
  <c r="B9" i="49" s="1"/>
  <c r="D30" i="50"/>
  <c r="D31" i="50" s="1"/>
  <c r="D32" i="50" s="1"/>
  <c r="D33" i="50" s="1"/>
  <c r="D34" i="50" s="1"/>
  <c r="D35" i="50" s="1"/>
  <c r="D36" i="50" s="1"/>
  <c r="D27" i="44"/>
  <c r="D28" i="44" s="1"/>
  <c r="D29" i="44" s="1"/>
  <c r="D30" i="44" s="1"/>
  <c r="D31" i="44" s="1"/>
  <c r="D32" i="44" s="1"/>
  <c r="D33" i="44" s="1"/>
  <c r="D34" i="44" s="1"/>
  <c r="D35" i="44" s="1"/>
  <c r="D36" i="44" s="1"/>
  <c r="D47" i="54"/>
  <c r="D27" i="57"/>
  <c r="D28" i="57" s="1"/>
  <c r="D29" i="57" s="1"/>
  <c r="D30" i="57" s="1"/>
  <c r="D31" i="57" s="1"/>
  <c r="D32" i="57" s="1"/>
  <c r="D33" i="57" s="1"/>
  <c r="D34" i="57" s="1"/>
  <c r="D35" i="57" s="1"/>
  <c r="D36" i="57" s="1"/>
  <c r="D29" i="55"/>
  <c r="D30" i="55" s="1"/>
  <c r="D31" i="55" s="1"/>
  <c r="D32" i="55" s="1"/>
  <c r="D33" i="55" s="1"/>
  <c r="D34" i="55" s="1"/>
  <c r="D35" i="55" s="1"/>
  <c r="D36" i="55" s="1"/>
  <c r="D26" i="60"/>
  <c r="D27" i="60" s="1"/>
  <c r="D28" i="60" s="1"/>
  <c r="D29" i="60" s="1"/>
  <c r="D30" i="60" s="1"/>
  <c r="D31" i="60" s="1"/>
  <c r="D32" i="60" s="1"/>
  <c r="D33" i="60" s="1"/>
  <c r="D34" i="60" s="1"/>
  <c r="D35" i="60" s="1"/>
  <c r="D36" i="60" s="1"/>
  <c r="D26" i="56"/>
  <c r="D27" i="56" s="1"/>
  <c r="D28" i="56" s="1"/>
  <c r="D29" i="56" s="1"/>
  <c r="D30" i="56" s="1"/>
  <c r="D31" i="56" s="1"/>
  <c r="D32" i="56" s="1"/>
  <c r="D33" i="56" s="1"/>
  <c r="D34" i="56" s="1"/>
  <c r="D35" i="56" s="1"/>
  <c r="D36" i="56" s="1"/>
  <c r="D25" i="59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F11" i="61"/>
  <c r="I11" i="61" s="1"/>
  <c r="J11" i="61" s="1"/>
  <c r="C68" i="61"/>
  <c r="D47" i="61"/>
  <c r="I11" i="60"/>
  <c r="J11" i="60" s="1"/>
  <c r="C69" i="60"/>
  <c r="C69" i="59"/>
  <c r="F11" i="59"/>
  <c r="I11" i="59" s="1"/>
  <c r="J11" i="59" s="1"/>
  <c r="I11" i="58"/>
  <c r="J11" i="58" s="1"/>
  <c r="C70" i="58"/>
  <c r="C70" i="57"/>
  <c r="C70" i="56"/>
  <c r="F11" i="55"/>
  <c r="I11" i="55" s="1"/>
  <c r="J11" i="55" s="1"/>
  <c r="C69" i="55"/>
  <c r="F12" i="54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F12" i="57" l="1"/>
  <c r="I12" i="57" s="1"/>
  <c r="J12" i="57" s="1"/>
  <c r="I12" i="54"/>
  <c r="J12" i="54" s="1"/>
  <c r="I12" i="59"/>
  <c r="J12" i="59" s="1"/>
  <c r="P13" i="54"/>
  <c r="F12" i="61"/>
  <c r="D21" i="62"/>
  <c r="F20" i="62"/>
  <c r="I20" i="62" s="1"/>
  <c r="J20" i="62" s="1"/>
  <c r="F70" i="62"/>
  <c r="C69" i="61"/>
  <c r="C70" i="60"/>
  <c r="C70" i="59"/>
  <c r="F12" i="58"/>
  <c r="I12" i="58" s="1"/>
  <c r="J12" i="58" s="1"/>
  <c r="C71" i="58"/>
  <c r="C71" i="57"/>
  <c r="F12" i="56"/>
  <c r="I12" i="56" s="1"/>
  <c r="J12" i="56" s="1"/>
  <c r="C71" i="56"/>
  <c r="I11" i="56"/>
  <c r="J11" i="56" s="1"/>
  <c r="D12" i="55"/>
  <c r="C70" i="55"/>
  <c r="C70" i="54"/>
  <c r="C70" i="53"/>
  <c r="F12" i="53"/>
  <c r="I12" i="53" s="1"/>
  <c r="J12" i="53" s="1"/>
  <c r="C69" i="52"/>
  <c r="P12" i="52"/>
  <c r="F12" i="50"/>
  <c r="I12" i="50" s="1"/>
  <c r="J12" i="50" s="1"/>
  <c r="C70" i="50"/>
  <c r="P13" i="50"/>
  <c r="B16" i="49"/>
  <c r="C72" i="49"/>
  <c r="F13" i="57" l="1"/>
  <c r="I13" i="57" s="1"/>
  <c r="J13" i="57" s="1"/>
  <c r="I12" i="61"/>
  <c r="J12" i="61" s="1"/>
  <c r="P14" i="54"/>
  <c r="P14" i="50"/>
  <c r="F21" i="62"/>
  <c r="I21" i="62" s="1"/>
  <c r="J21" i="62" s="1"/>
  <c r="D22" i="62"/>
  <c r="F71" i="62"/>
  <c r="C70" i="61"/>
  <c r="F12" i="60"/>
  <c r="I12" i="60" s="1"/>
  <c r="J12" i="60" s="1"/>
  <c r="C71" i="60"/>
  <c r="C71" i="59"/>
  <c r="F13" i="59"/>
  <c r="I13" i="59" s="1"/>
  <c r="J13" i="59" s="1"/>
  <c r="F13" i="58"/>
  <c r="I13" i="58" s="1"/>
  <c r="J13" i="58" s="1"/>
  <c r="C72" i="58"/>
  <c r="F14" i="57"/>
  <c r="I14" i="57" s="1"/>
  <c r="J14" i="57" s="1"/>
  <c r="C72" i="57"/>
  <c r="C72" i="56"/>
  <c r="F13" i="56"/>
  <c r="I13" i="56" s="1"/>
  <c r="J13" i="56" s="1"/>
  <c r="D13" i="55"/>
  <c r="F12" i="55"/>
  <c r="I12" i="55" s="1"/>
  <c r="J12" i="55" s="1"/>
  <c r="C71" i="55"/>
  <c r="F13" i="54"/>
  <c r="I13" i="54" s="1"/>
  <c r="J13" i="54" s="1"/>
  <c r="C71" i="54"/>
  <c r="P14" i="53"/>
  <c r="F13" i="53"/>
  <c r="I13" i="53" s="1"/>
  <c r="J13" i="53" s="1"/>
  <c r="C71" i="53"/>
  <c r="P13" i="52"/>
  <c r="C70" i="52"/>
  <c r="F12" i="52"/>
  <c r="I12" i="52" s="1"/>
  <c r="J12" i="52" s="1"/>
  <c r="C71" i="50"/>
  <c r="F13" i="50"/>
  <c r="I13" i="50" s="1"/>
  <c r="J13" i="50" s="1"/>
  <c r="F12" i="49"/>
  <c r="J12" i="49" s="1"/>
  <c r="K12" i="49" s="1"/>
  <c r="B17" i="49"/>
  <c r="C73" i="49"/>
  <c r="P15" i="54" l="1"/>
  <c r="F72" i="62"/>
  <c r="D23" i="62"/>
  <c r="F22" i="62"/>
  <c r="I22" i="62" s="1"/>
  <c r="J22" i="62" s="1"/>
  <c r="F13" i="61"/>
  <c r="I13" i="61" s="1"/>
  <c r="J13" i="61" s="1"/>
  <c r="C71" i="61"/>
  <c r="C72" i="60"/>
  <c r="F13" i="60"/>
  <c r="I13" i="60" s="1"/>
  <c r="J13" i="60" s="1"/>
  <c r="C72" i="59"/>
  <c r="F14" i="59"/>
  <c r="I14" i="59" s="1"/>
  <c r="J14" i="59" s="1"/>
  <c r="C24" i="58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D35" i="58" s="1"/>
  <c r="D36" i="58" s="1"/>
  <c r="F14" i="58"/>
  <c r="I14" i="58" s="1"/>
  <c r="J14" i="58" s="1"/>
  <c r="C73" i="58"/>
  <c r="F15" i="57"/>
  <c r="I15" i="57" s="1"/>
  <c r="J15" i="57" s="1"/>
  <c r="C73" i="57"/>
  <c r="C73" i="56"/>
  <c r="F14" i="56"/>
  <c r="I14" i="56" s="1"/>
  <c r="J14" i="56" s="1"/>
  <c r="C72" i="55"/>
  <c r="F13" i="55"/>
  <c r="I13" i="55" s="1"/>
  <c r="J13" i="55" s="1"/>
  <c r="D14" i="55"/>
  <c r="F14" i="54"/>
  <c r="I14" i="54" s="1"/>
  <c r="J14" i="54" s="1"/>
  <c r="C72" i="54"/>
  <c r="P15" i="53"/>
  <c r="C72" i="53"/>
  <c r="F14" i="53"/>
  <c r="I14" i="53" s="1"/>
  <c r="J14" i="53" s="1"/>
  <c r="F13" i="52"/>
  <c r="I13" i="52" s="1"/>
  <c r="J13" i="52" s="1"/>
  <c r="P14" i="52"/>
  <c r="C71" i="52"/>
  <c r="C72" i="50"/>
  <c r="P15" i="50"/>
  <c r="F14" i="50"/>
  <c r="I14" i="50" s="1"/>
  <c r="J14" i="50" s="1"/>
  <c r="F13" i="49"/>
  <c r="J13" i="49" s="1"/>
  <c r="K13" i="49" s="1"/>
  <c r="C74" i="49"/>
  <c r="B18" i="49"/>
  <c r="P16" i="54" l="1"/>
  <c r="P16" i="53"/>
  <c r="F73" i="62"/>
  <c r="D24" i="62"/>
  <c r="F23" i="62"/>
  <c r="I23" i="62" s="1"/>
  <c r="J23" i="62" s="1"/>
  <c r="F14" i="61"/>
  <c r="I14" i="61" s="1"/>
  <c r="J14" i="61" s="1"/>
  <c r="C72" i="61"/>
  <c r="F14" i="60"/>
  <c r="I14" i="60" s="1"/>
  <c r="J14" i="60" s="1"/>
  <c r="C73" i="60"/>
  <c r="F15" i="59"/>
  <c r="I15" i="59" s="1"/>
  <c r="J15" i="59" s="1"/>
  <c r="C73" i="59"/>
  <c r="C74" i="58"/>
  <c r="F15" i="58"/>
  <c r="I15" i="58" s="1"/>
  <c r="J15" i="58" s="1"/>
  <c r="F16" i="57"/>
  <c r="I16" i="57" s="1"/>
  <c r="J16" i="57" s="1"/>
  <c r="C74" i="57"/>
  <c r="C74" i="56"/>
  <c r="F15" i="56"/>
  <c r="I15" i="56" s="1"/>
  <c r="J15" i="56" s="1"/>
  <c r="C73" i="55"/>
  <c r="D15" i="55"/>
  <c r="F14" i="55"/>
  <c r="I14" i="55" s="1"/>
  <c r="J14" i="55" s="1"/>
  <c r="C73" i="54"/>
  <c r="F15" i="54"/>
  <c r="I15" i="54" s="1"/>
  <c r="J15" i="54" s="1"/>
  <c r="C73" i="53"/>
  <c r="F15" i="53"/>
  <c r="I15" i="53" s="1"/>
  <c r="J15" i="53" s="1"/>
  <c r="C72" i="52"/>
  <c r="F14" i="52"/>
  <c r="I14" i="52" s="1"/>
  <c r="J14" i="52" s="1"/>
  <c r="P15" i="52"/>
  <c r="F15" i="50"/>
  <c r="I15" i="50" s="1"/>
  <c r="J15" i="50" s="1"/>
  <c r="P16" i="50"/>
  <c r="C73" i="50"/>
  <c r="F66" i="49"/>
  <c r="F14" i="49"/>
  <c r="J14" i="49" s="1"/>
  <c r="K14" i="49" s="1"/>
  <c r="B19" i="49"/>
  <c r="P17" i="54" l="1"/>
  <c r="P17" i="53"/>
  <c r="F74" i="62"/>
  <c r="F24" i="62"/>
  <c r="I24" i="62" s="1"/>
  <c r="J24" i="62" s="1"/>
  <c r="D25" i="62"/>
  <c r="C73" i="61"/>
  <c r="F15" i="61"/>
  <c r="I15" i="61" s="1"/>
  <c r="J15" i="61" s="1"/>
  <c r="F15" i="60"/>
  <c r="I15" i="60" s="1"/>
  <c r="J15" i="60" s="1"/>
  <c r="C74" i="60"/>
  <c r="C74" i="59"/>
  <c r="F16" i="59"/>
  <c r="I16" i="59" s="1"/>
  <c r="J16" i="59" s="1"/>
  <c r="F16" i="58"/>
  <c r="I16" i="58" s="1"/>
  <c r="J16" i="58" s="1"/>
  <c r="F66" i="58"/>
  <c r="F66" i="57"/>
  <c r="F17" i="57"/>
  <c r="I17" i="57" s="1"/>
  <c r="J17" i="57" s="1"/>
  <c r="F66" i="56"/>
  <c r="F16" i="56"/>
  <c r="I16" i="56" s="1"/>
  <c r="J16" i="56" s="1"/>
  <c r="C74" i="55"/>
  <c r="F15" i="55"/>
  <c r="I15" i="55" s="1"/>
  <c r="J15" i="55" s="1"/>
  <c r="D16" i="55"/>
  <c r="C74" i="54"/>
  <c r="F16" i="54"/>
  <c r="I16" i="54" s="1"/>
  <c r="J16" i="54" s="1"/>
  <c r="F16" i="53"/>
  <c r="I16" i="53" s="1"/>
  <c r="J16" i="53" s="1"/>
  <c r="C74" i="53"/>
  <c r="C73" i="52"/>
  <c r="F15" i="52"/>
  <c r="I15" i="52" s="1"/>
  <c r="J15" i="52" s="1"/>
  <c r="P16" i="52"/>
  <c r="C74" i="50"/>
  <c r="F16" i="50"/>
  <c r="I16" i="50" s="1"/>
  <c r="J16" i="50" s="1"/>
  <c r="P17" i="50"/>
  <c r="F67" i="49"/>
  <c r="B20" i="49"/>
  <c r="F15" i="49"/>
  <c r="J15" i="49" s="1"/>
  <c r="K15" i="49" s="1"/>
  <c r="P18" i="54" l="1"/>
  <c r="P19" i="54" s="1"/>
  <c r="P18" i="53"/>
  <c r="P17" i="52"/>
  <c r="F25" i="62"/>
  <c r="I25" i="62" s="1"/>
  <c r="J25" i="62" s="1"/>
  <c r="D26" i="62"/>
  <c r="I66" i="62"/>
  <c r="F16" i="61"/>
  <c r="I16" i="61" s="1"/>
  <c r="J16" i="61" s="1"/>
  <c r="C74" i="61"/>
  <c r="F16" i="60"/>
  <c r="I16" i="60" s="1"/>
  <c r="J16" i="60" s="1"/>
  <c r="F66" i="60"/>
  <c r="F66" i="59"/>
  <c r="F17" i="59"/>
  <c r="I17" i="59" s="1"/>
  <c r="J17" i="59" s="1"/>
  <c r="F17" i="58"/>
  <c r="I17" i="58" s="1"/>
  <c r="J17" i="58" s="1"/>
  <c r="F67" i="58"/>
  <c r="F67" i="57"/>
  <c r="F18" i="57"/>
  <c r="I18" i="57" s="1"/>
  <c r="J18" i="57" s="1"/>
  <c r="F67" i="56"/>
  <c r="F17" i="56"/>
  <c r="I17" i="56" s="1"/>
  <c r="J17" i="56" s="1"/>
  <c r="F66" i="55"/>
  <c r="D17" i="55"/>
  <c r="F16" i="55"/>
  <c r="I16" i="55" s="1"/>
  <c r="J16" i="55" s="1"/>
  <c r="F17" i="54"/>
  <c r="I17" i="54" s="1"/>
  <c r="J17" i="54" s="1"/>
  <c r="F66" i="54"/>
  <c r="F17" i="53"/>
  <c r="I17" i="53" s="1"/>
  <c r="J17" i="53" s="1"/>
  <c r="F66" i="53"/>
  <c r="C74" i="52"/>
  <c r="F16" i="52"/>
  <c r="I16" i="52" s="1"/>
  <c r="J16" i="52" s="1"/>
  <c r="P18" i="50"/>
  <c r="F66" i="50"/>
  <c r="F17" i="50"/>
  <c r="I17" i="50" s="1"/>
  <c r="J17" i="50" s="1"/>
  <c r="B21" i="49"/>
  <c r="F16" i="49"/>
  <c r="J16" i="49" s="1"/>
  <c r="K16" i="49" s="1"/>
  <c r="F68" i="49"/>
  <c r="P19" i="50" l="1"/>
  <c r="F26" i="62"/>
  <c r="I26" i="62" s="1"/>
  <c r="J26" i="62" s="1"/>
  <c r="D27" i="62"/>
  <c r="D28" i="62" s="1"/>
  <c r="I67" i="62"/>
  <c r="F17" i="61"/>
  <c r="I17" i="61" s="1"/>
  <c r="J17" i="61" s="1"/>
  <c r="F66" i="61"/>
  <c r="F17" i="60"/>
  <c r="I17" i="60" s="1"/>
  <c r="J17" i="60" s="1"/>
  <c r="F67" i="60"/>
  <c r="F18" i="59"/>
  <c r="I18" i="59" s="1"/>
  <c r="J18" i="59" s="1"/>
  <c r="F67" i="59"/>
  <c r="F68" i="58"/>
  <c r="F18" i="58"/>
  <c r="I18" i="58" s="1"/>
  <c r="J18" i="58" s="1"/>
  <c r="F19" i="57"/>
  <c r="I19" i="57" s="1"/>
  <c r="J19" i="57" s="1"/>
  <c r="F68" i="57"/>
  <c r="F68" i="56"/>
  <c r="F18" i="56"/>
  <c r="I18" i="56" s="1"/>
  <c r="J18" i="56" s="1"/>
  <c r="F17" i="55"/>
  <c r="I17" i="55" s="1"/>
  <c r="J17" i="55" s="1"/>
  <c r="D18" i="55"/>
  <c r="F67" i="55"/>
  <c r="F18" i="54"/>
  <c r="I18" i="54" s="1"/>
  <c r="J18" i="54" s="1"/>
  <c r="P20" i="54"/>
  <c r="F67" i="54"/>
  <c r="F67" i="53"/>
  <c r="F18" i="53"/>
  <c r="I18" i="53" s="1"/>
  <c r="J18" i="53" s="1"/>
  <c r="P19" i="53"/>
  <c r="F66" i="52"/>
  <c r="F17" i="52"/>
  <c r="I17" i="52" s="1"/>
  <c r="J17" i="52" s="1"/>
  <c r="P18" i="52"/>
  <c r="F18" i="50"/>
  <c r="I18" i="50" s="1"/>
  <c r="J18" i="50" s="1"/>
  <c r="F67" i="50"/>
  <c r="F17" i="49"/>
  <c r="J17" i="49" s="1"/>
  <c r="K17" i="49" s="1"/>
  <c r="F69" i="49"/>
  <c r="B22" i="49"/>
  <c r="F27" i="62" l="1"/>
  <c r="I27" i="62" s="1"/>
  <c r="J27" i="62" s="1"/>
  <c r="P19" i="52"/>
  <c r="I68" i="62"/>
  <c r="F28" i="62"/>
  <c r="I28" i="62" s="1"/>
  <c r="J28" i="62" s="1"/>
  <c r="F18" i="61"/>
  <c r="I18" i="61" s="1"/>
  <c r="J18" i="61" s="1"/>
  <c r="F67" i="61"/>
  <c r="F18" i="60"/>
  <c r="I18" i="60" s="1"/>
  <c r="J18" i="60" s="1"/>
  <c r="F68" i="60"/>
  <c r="F68" i="59"/>
  <c r="F19" i="59"/>
  <c r="I19" i="59" s="1"/>
  <c r="J19" i="59" s="1"/>
  <c r="F69" i="58"/>
  <c r="F19" i="58"/>
  <c r="I19" i="58" s="1"/>
  <c r="J19" i="58" s="1"/>
  <c r="F20" i="57"/>
  <c r="I20" i="57" s="1"/>
  <c r="J20" i="57" s="1"/>
  <c r="F69" i="57"/>
  <c r="F69" i="56"/>
  <c r="F19" i="56"/>
  <c r="I19" i="56" s="1"/>
  <c r="J19" i="56" s="1"/>
  <c r="F68" i="55"/>
  <c r="D19" i="55"/>
  <c r="F18" i="55"/>
  <c r="I18" i="55" s="1"/>
  <c r="J18" i="55" s="1"/>
  <c r="F68" i="54"/>
  <c r="F19" i="54"/>
  <c r="I19" i="54" s="1"/>
  <c r="J19" i="54" s="1"/>
  <c r="F19" i="53"/>
  <c r="I19" i="53" s="1"/>
  <c r="J19" i="53" s="1"/>
  <c r="P20" i="53"/>
  <c r="F68" i="53"/>
  <c r="F18" i="52"/>
  <c r="I18" i="52" s="1"/>
  <c r="J18" i="52" s="1"/>
  <c r="F67" i="52"/>
  <c r="F68" i="50"/>
  <c r="F19" i="50"/>
  <c r="I19" i="50" s="1"/>
  <c r="J19" i="50" s="1"/>
  <c r="P20" i="50"/>
  <c r="F18" i="49"/>
  <c r="J18" i="49" s="1"/>
  <c r="K18" i="49" s="1"/>
  <c r="F70" i="49"/>
  <c r="B23" i="49"/>
  <c r="P20" i="52" l="1"/>
  <c r="P21" i="50"/>
  <c r="I69" i="62"/>
  <c r="F29" i="62"/>
  <c r="I29" i="62" s="1"/>
  <c r="J29" i="62" s="1"/>
  <c r="F19" i="61"/>
  <c r="I19" i="61" s="1"/>
  <c r="J19" i="61" s="1"/>
  <c r="F68" i="61"/>
  <c r="F69" i="60"/>
  <c r="F19" i="60"/>
  <c r="I19" i="60" s="1"/>
  <c r="J19" i="60" s="1"/>
  <c r="F20" i="59"/>
  <c r="I20" i="59" s="1"/>
  <c r="J20" i="59" s="1"/>
  <c r="F69" i="59"/>
  <c r="F70" i="58"/>
  <c r="F20" i="58"/>
  <c r="I20" i="58" s="1"/>
  <c r="J20" i="58" s="1"/>
  <c r="F70" i="57"/>
  <c r="F21" i="57"/>
  <c r="I21" i="57" s="1"/>
  <c r="J21" i="57" s="1"/>
  <c r="F20" i="56"/>
  <c r="I20" i="56" s="1"/>
  <c r="J20" i="56" s="1"/>
  <c r="F70" i="56"/>
  <c r="F19" i="55"/>
  <c r="I19" i="55" s="1"/>
  <c r="J19" i="55" s="1"/>
  <c r="D20" i="55"/>
  <c r="F69" i="55"/>
  <c r="F69" i="54"/>
  <c r="P21" i="54"/>
  <c r="F20" i="54"/>
  <c r="I20" i="54" s="1"/>
  <c r="J20" i="54" s="1"/>
  <c r="F69" i="53"/>
  <c r="F20" i="53"/>
  <c r="I20" i="53" s="1"/>
  <c r="J20" i="53" s="1"/>
  <c r="P21" i="53"/>
  <c r="F19" i="52"/>
  <c r="I19" i="52" s="1"/>
  <c r="J19" i="52" s="1"/>
  <c r="F68" i="52"/>
  <c r="F20" i="50"/>
  <c r="I20" i="50" s="1"/>
  <c r="J20" i="50" s="1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F19" i="49"/>
  <c r="J19" i="49" s="1"/>
  <c r="K19" i="49" s="1"/>
  <c r="P22" i="54" l="1"/>
  <c r="P22" i="50"/>
  <c r="F30" i="62"/>
  <c r="I30" i="62" s="1"/>
  <c r="J30" i="62" s="1"/>
  <c r="I70" i="62"/>
  <c r="F20" i="61"/>
  <c r="I20" i="61" s="1"/>
  <c r="J20" i="61" s="1"/>
  <c r="F69" i="61"/>
  <c r="F70" i="60"/>
  <c r="F20" i="60"/>
  <c r="I20" i="60" s="1"/>
  <c r="J20" i="60" s="1"/>
  <c r="F21" i="59"/>
  <c r="I21" i="59" s="1"/>
  <c r="J21" i="59" s="1"/>
  <c r="F70" i="59"/>
  <c r="F21" i="58"/>
  <c r="I21" i="58" s="1"/>
  <c r="J21" i="58" s="1"/>
  <c r="F71" i="58"/>
  <c r="F22" i="57"/>
  <c r="I22" i="57" s="1"/>
  <c r="J22" i="57" s="1"/>
  <c r="F71" i="57"/>
  <c r="F71" i="56"/>
  <c r="F21" i="56"/>
  <c r="I21" i="56" s="1"/>
  <c r="J21" i="56" s="1"/>
  <c r="D21" i="55"/>
  <c r="F20" i="55"/>
  <c r="I20" i="55" s="1"/>
  <c r="J20" i="55" s="1"/>
  <c r="F70" i="55"/>
  <c r="F21" i="54"/>
  <c r="I21" i="54" s="1"/>
  <c r="J21" i="54" s="1"/>
  <c r="F70" i="54"/>
  <c r="P22" i="53"/>
  <c r="F70" i="53"/>
  <c r="F21" i="53"/>
  <c r="I21" i="53" s="1"/>
  <c r="J21" i="53" s="1"/>
  <c r="F69" i="52"/>
  <c r="F20" i="52"/>
  <c r="I20" i="52" s="1"/>
  <c r="J20" i="52" s="1"/>
  <c r="P21" i="52"/>
  <c r="F70" i="50"/>
  <c r="F21" i="50"/>
  <c r="I21" i="50" s="1"/>
  <c r="J21" i="50" s="1"/>
  <c r="F72" i="49"/>
  <c r="F20" i="49"/>
  <c r="J20" i="49" s="1"/>
  <c r="K20" i="49" s="1"/>
  <c r="P22" i="52" l="1"/>
  <c r="P23" i="53"/>
  <c r="P23" i="54"/>
  <c r="I71" i="62"/>
  <c r="F31" i="62"/>
  <c r="I31" i="62" s="1"/>
  <c r="J31" i="62" s="1"/>
  <c r="F70" i="61"/>
  <c r="F21" i="61"/>
  <c r="I21" i="61" s="1"/>
  <c r="J21" i="61" s="1"/>
  <c r="F21" i="60"/>
  <c r="I21" i="60" s="1"/>
  <c r="J21" i="60" s="1"/>
  <c r="F71" i="60"/>
  <c r="F71" i="59"/>
  <c r="F22" i="59"/>
  <c r="I22" i="59" s="1"/>
  <c r="J22" i="59" s="1"/>
  <c r="F22" i="58"/>
  <c r="I22" i="58" s="1"/>
  <c r="J22" i="58" s="1"/>
  <c r="F72" i="58"/>
  <c r="F23" i="57"/>
  <c r="I23" i="57" s="1"/>
  <c r="J23" i="57" s="1"/>
  <c r="F72" i="57"/>
  <c r="F72" i="56"/>
  <c r="F22" i="56"/>
  <c r="I22" i="56" s="1"/>
  <c r="J22" i="56" s="1"/>
  <c r="F71" i="55"/>
  <c r="F21" i="55"/>
  <c r="I21" i="55" s="1"/>
  <c r="J21" i="55" s="1"/>
  <c r="D22" i="55"/>
  <c r="F71" i="54"/>
  <c r="F22" i="54"/>
  <c r="I22" i="54" s="1"/>
  <c r="J22" i="54" s="1"/>
  <c r="F22" i="53"/>
  <c r="I22" i="53" s="1"/>
  <c r="J22" i="53" s="1"/>
  <c r="F71" i="53"/>
  <c r="F70" i="52"/>
  <c r="F21" i="52"/>
  <c r="I21" i="52" s="1"/>
  <c r="J21" i="52" s="1"/>
  <c r="P23" i="50"/>
  <c r="F71" i="50"/>
  <c r="F22" i="50"/>
  <c r="I22" i="50" s="1"/>
  <c r="J22" i="50" s="1"/>
  <c r="F21" i="49"/>
  <c r="J21" i="49" s="1"/>
  <c r="K21" i="49" s="1"/>
  <c r="F73" i="49"/>
  <c r="P24" i="54" l="1"/>
  <c r="P25" i="54" s="1"/>
  <c r="P24" i="53"/>
  <c r="F33" i="62"/>
  <c r="F32" i="62"/>
  <c r="I32" i="62" s="1"/>
  <c r="J32" i="62" s="1"/>
  <c r="I72" i="62"/>
  <c r="F22" i="61"/>
  <c r="I22" i="61" s="1"/>
  <c r="J22" i="61" s="1"/>
  <c r="F71" i="61"/>
  <c r="F22" i="60"/>
  <c r="I22" i="60" s="1"/>
  <c r="J22" i="60" s="1"/>
  <c r="F72" i="60"/>
  <c r="F23" i="59"/>
  <c r="I23" i="59" s="1"/>
  <c r="J23" i="59" s="1"/>
  <c r="F72" i="59"/>
  <c r="F23" i="58"/>
  <c r="I23" i="58" s="1"/>
  <c r="J23" i="58" s="1"/>
  <c r="F73" i="58"/>
  <c r="F73" i="57"/>
  <c r="F24" i="57"/>
  <c r="I24" i="57" s="1"/>
  <c r="J24" i="57" s="1"/>
  <c r="F73" i="56"/>
  <c r="F23" i="56"/>
  <c r="I23" i="56" s="1"/>
  <c r="J23" i="56" s="1"/>
  <c r="D23" i="55"/>
  <c r="F22" i="55"/>
  <c r="I22" i="55" s="1"/>
  <c r="J22" i="55" s="1"/>
  <c r="F72" i="55"/>
  <c r="F72" i="54"/>
  <c r="F23" i="54"/>
  <c r="I23" i="54" s="1"/>
  <c r="J23" i="54" s="1"/>
  <c r="F72" i="53"/>
  <c r="F23" i="53"/>
  <c r="I23" i="53" s="1"/>
  <c r="J23" i="53" s="1"/>
  <c r="F22" i="52"/>
  <c r="I22" i="52" s="1"/>
  <c r="J22" i="52" s="1"/>
  <c r="P23" i="52"/>
  <c r="F71" i="52"/>
  <c r="F72" i="50"/>
  <c r="F23" i="50"/>
  <c r="I23" i="50" s="1"/>
  <c r="J23" i="50" s="1"/>
  <c r="P24" i="50"/>
  <c r="F74" i="49"/>
  <c r="F22" i="49"/>
  <c r="J22" i="49" s="1"/>
  <c r="K22" i="49" s="1"/>
  <c r="I33" i="62" l="1"/>
  <c r="J33" i="62" s="1"/>
  <c r="P25" i="53"/>
  <c r="I73" i="62"/>
  <c r="F23" i="61"/>
  <c r="I23" i="61" s="1"/>
  <c r="J23" i="61" s="1"/>
  <c r="F72" i="61"/>
  <c r="F23" i="60"/>
  <c r="I23" i="60" s="1"/>
  <c r="J23" i="60" s="1"/>
  <c r="F73" i="60"/>
  <c r="F25" i="59"/>
  <c r="F24" i="59"/>
  <c r="I24" i="59" s="1"/>
  <c r="J24" i="59" s="1"/>
  <c r="F73" i="59"/>
  <c r="F24" i="58"/>
  <c r="I24" i="58" s="1"/>
  <c r="J24" i="58" s="1"/>
  <c r="F74" i="58"/>
  <c r="F74" i="57"/>
  <c r="F25" i="57"/>
  <c r="I25" i="57" s="1"/>
  <c r="J25" i="57" s="1"/>
  <c r="F74" i="56"/>
  <c r="F24" i="56"/>
  <c r="I24" i="56" s="1"/>
  <c r="J24" i="56" s="1"/>
  <c r="F23" i="55"/>
  <c r="I23" i="55" s="1"/>
  <c r="J23" i="55" s="1"/>
  <c r="D24" i="55"/>
  <c r="F73" i="55"/>
  <c r="F73" i="54"/>
  <c r="P26" i="54"/>
  <c r="F24" i="54"/>
  <c r="I24" i="54" s="1"/>
  <c r="J24" i="54" s="1"/>
  <c r="F73" i="53"/>
  <c r="F24" i="53"/>
  <c r="I24" i="53" s="1"/>
  <c r="J24" i="53" s="1"/>
  <c r="F72" i="52"/>
  <c r="P24" i="52"/>
  <c r="F23" i="52"/>
  <c r="I23" i="52" s="1"/>
  <c r="J23" i="52" s="1"/>
  <c r="P25" i="50"/>
  <c r="F73" i="50"/>
  <c r="F24" i="50"/>
  <c r="I24" i="50" s="1"/>
  <c r="J24" i="50" s="1"/>
  <c r="F23" i="49"/>
  <c r="J23" i="49" s="1"/>
  <c r="K23" i="49" s="1"/>
  <c r="I66" i="49"/>
  <c r="I25" i="59" l="1"/>
  <c r="J25" i="59" s="1"/>
  <c r="P25" i="52"/>
  <c r="P26" i="53"/>
  <c r="F34" i="62"/>
  <c r="I34" i="62" s="1"/>
  <c r="J34" i="62" s="1"/>
  <c r="I74" i="62"/>
  <c r="F73" i="61"/>
  <c r="F24" i="61"/>
  <c r="I24" i="61" s="1"/>
  <c r="J24" i="61" s="1"/>
  <c r="F24" i="60"/>
  <c r="I24" i="60" s="1"/>
  <c r="J24" i="60" s="1"/>
  <c r="F74" i="60"/>
  <c r="F74" i="59"/>
  <c r="F25" i="58"/>
  <c r="I25" i="58" s="1"/>
  <c r="J25" i="58" s="1"/>
  <c r="I66" i="58"/>
  <c r="I66" i="57"/>
  <c r="F26" i="57"/>
  <c r="I26" i="57" s="1"/>
  <c r="J26" i="57" s="1"/>
  <c r="F25" i="56"/>
  <c r="I25" i="56" s="1"/>
  <c r="J25" i="56" s="1"/>
  <c r="I66" i="56"/>
  <c r="F74" i="55"/>
  <c r="D25" i="55"/>
  <c r="F24" i="55"/>
  <c r="I24" i="55" s="1"/>
  <c r="J24" i="55" s="1"/>
  <c r="F25" i="54"/>
  <c r="I25" i="54" s="1"/>
  <c r="J25" i="54" s="1"/>
  <c r="F74" i="54"/>
  <c r="F25" i="53"/>
  <c r="I25" i="53" s="1"/>
  <c r="J25" i="53" s="1"/>
  <c r="F74" i="53"/>
  <c r="F73" i="52"/>
  <c r="F24" i="52"/>
  <c r="I24" i="52" s="1"/>
  <c r="J24" i="52" s="1"/>
  <c r="F74" i="50"/>
  <c r="F25" i="50"/>
  <c r="I25" i="50" s="1"/>
  <c r="J25" i="50" s="1"/>
  <c r="P26" i="50"/>
  <c r="F24" i="49"/>
  <c r="J24" i="49" s="1"/>
  <c r="K24" i="49" s="1"/>
  <c r="I67" i="49"/>
  <c r="G30" i="49" l="1"/>
  <c r="E30" i="49"/>
  <c r="L30" i="49"/>
  <c r="H30" i="49"/>
  <c r="D30" i="49"/>
  <c r="F27" i="59"/>
  <c r="P27" i="50"/>
  <c r="F27" i="50"/>
  <c r="P27" i="54"/>
  <c r="F28" i="57"/>
  <c r="F36" i="62"/>
  <c r="F35" i="62"/>
  <c r="I35" i="62" s="1"/>
  <c r="J35" i="62" s="1"/>
  <c r="F27" i="57"/>
  <c r="I27" i="57" s="1"/>
  <c r="J27" i="57" s="1"/>
  <c r="F74" i="61"/>
  <c r="F25" i="61"/>
  <c r="I25" i="61" s="1"/>
  <c r="J25" i="61" s="1"/>
  <c r="I66" i="60"/>
  <c r="F25" i="60"/>
  <c r="I25" i="60" s="1"/>
  <c r="J25" i="60" s="1"/>
  <c r="F26" i="59"/>
  <c r="I26" i="59" s="1"/>
  <c r="J26" i="59" s="1"/>
  <c r="I66" i="59"/>
  <c r="F26" i="58"/>
  <c r="I26" i="58" s="1"/>
  <c r="J26" i="58" s="1"/>
  <c r="I67" i="58"/>
  <c r="F27" i="58"/>
  <c r="I27" i="58" s="1"/>
  <c r="J27" i="58" s="1"/>
  <c r="I67" i="57"/>
  <c r="F27" i="56"/>
  <c r="I27" i="56" s="1"/>
  <c r="J27" i="56" s="1"/>
  <c r="F26" i="56"/>
  <c r="I26" i="56" s="1"/>
  <c r="J26" i="56" s="1"/>
  <c r="I67" i="56"/>
  <c r="F25" i="55"/>
  <c r="I25" i="55" s="1"/>
  <c r="J25" i="55" s="1"/>
  <c r="D26" i="55"/>
  <c r="I66" i="55"/>
  <c r="I66" i="54"/>
  <c r="F26" i="54"/>
  <c r="I26" i="54" s="1"/>
  <c r="J26" i="54" s="1"/>
  <c r="I66" i="53"/>
  <c r="P27" i="53"/>
  <c r="F26" i="53"/>
  <c r="I26" i="53" s="1"/>
  <c r="J26" i="53" s="1"/>
  <c r="F25" i="52"/>
  <c r="I25" i="52" s="1"/>
  <c r="J25" i="52" s="1"/>
  <c r="P26" i="52"/>
  <c r="F74" i="52"/>
  <c r="F26" i="50"/>
  <c r="I26" i="50" s="1"/>
  <c r="J26" i="50" s="1"/>
  <c r="I66" i="50"/>
  <c r="I68" i="49"/>
  <c r="F25" i="49"/>
  <c r="J25" i="49" s="1"/>
  <c r="K25" i="49" s="1"/>
  <c r="H31" i="49" l="1"/>
  <c r="L31" i="49"/>
  <c r="E31" i="49"/>
  <c r="D31" i="49"/>
  <c r="G31" i="49"/>
  <c r="P28" i="54"/>
  <c r="I27" i="50"/>
  <c r="J27" i="50" s="1"/>
  <c r="I36" i="62"/>
  <c r="J36" i="62" s="1"/>
  <c r="I28" i="57"/>
  <c r="J28" i="57" s="1"/>
  <c r="F26" i="55"/>
  <c r="I26" i="55" s="1"/>
  <c r="J26" i="55" s="1"/>
  <c r="D27" i="55"/>
  <c r="D28" i="55" s="1"/>
  <c r="F28" i="59"/>
  <c r="I66" i="61"/>
  <c r="F26" i="61"/>
  <c r="I26" i="61" s="1"/>
  <c r="J26" i="61" s="1"/>
  <c r="I67" i="60"/>
  <c r="F26" i="60"/>
  <c r="I26" i="60" s="1"/>
  <c r="J26" i="60" s="1"/>
  <c r="I67" i="59"/>
  <c r="I27" i="59"/>
  <c r="J27" i="59" s="1"/>
  <c r="F28" i="58"/>
  <c r="I28" i="58" s="1"/>
  <c r="J28" i="58" s="1"/>
  <c r="I68" i="58"/>
  <c r="I68" i="57"/>
  <c r="I68" i="56"/>
  <c r="F28" i="56"/>
  <c r="I28" i="56" s="1"/>
  <c r="J28" i="56" s="1"/>
  <c r="I67" i="55"/>
  <c r="I67" i="54"/>
  <c r="F27" i="54"/>
  <c r="I27" i="54" s="1"/>
  <c r="J27" i="54" s="1"/>
  <c r="F27" i="53"/>
  <c r="I27" i="53" s="1"/>
  <c r="J27" i="53" s="1"/>
  <c r="P28" i="53"/>
  <c r="I67" i="53"/>
  <c r="I66" i="52"/>
  <c r="F26" i="52"/>
  <c r="I26" i="52" s="1"/>
  <c r="J26" i="52" s="1"/>
  <c r="P27" i="52"/>
  <c r="I67" i="50"/>
  <c r="P28" i="50"/>
  <c r="I69" i="49"/>
  <c r="F26" i="49"/>
  <c r="J26" i="49" s="1"/>
  <c r="K26" i="49" s="1"/>
  <c r="D32" i="49" l="1"/>
  <c r="E32" i="49"/>
  <c r="L32" i="49"/>
  <c r="G32" i="49"/>
  <c r="H32" i="49"/>
  <c r="F29" i="57"/>
  <c r="I29" i="57" s="1"/>
  <c r="J29" i="57" s="1"/>
  <c r="F27" i="55"/>
  <c r="I27" i="55" s="1"/>
  <c r="J27" i="55" s="1"/>
  <c r="F28" i="61"/>
  <c r="P29" i="54"/>
  <c r="I28" i="59"/>
  <c r="J28" i="59" s="1"/>
  <c r="I67" i="61"/>
  <c r="F27" i="61"/>
  <c r="I27" i="61" s="1"/>
  <c r="J27" i="61" s="1"/>
  <c r="I68" i="60"/>
  <c r="F27" i="60"/>
  <c r="I27" i="60" s="1"/>
  <c r="J27" i="60" s="1"/>
  <c r="I68" i="59"/>
  <c r="F29" i="58"/>
  <c r="I29" i="58" s="1"/>
  <c r="J29" i="58" s="1"/>
  <c r="I69" i="58"/>
  <c r="I69" i="57"/>
  <c r="F29" i="56"/>
  <c r="I29" i="56" s="1"/>
  <c r="J29" i="56" s="1"/>
  <c r="I69" i="56"/>
  <c r="F29" i="55"/>
  <c r="I68" i="55"/>
  <c r="F28" i="55"/>
  <c r="I28" i="55" s="1"/>
  <c r="J28" i="55" s="1"/>
  <c r="F28" i="54"/>
  <c r="I28" i="54" s="1"/>
  <c r="J28" i="54" s="1"/>
  <c r="I68" i="54"/>
  <c r="I68" i="53"/>
  <c r="F28" i="53"/>
  <c r="I28" i="53" s="1"/>
  <c r="J28" i="53" s="1"/>
  <c r="P29" i="53"/>
  <c r="I67" i="52"/>
  <c r="P28" i="52"/>
  <c r="F27" i="52"/>
  <c r="I27" i="52" s="1"/>
  <c r="J27" i="52" s="1"/>
  <c r="F28" i="50"/>
  <c r="I28" i="50" s="1"/>
  <c r="J28" i="50" s="1"/>
  <c r="I68" i="50"/>
  <c r="P29" i="50"/>
  <c r="I70" i="49"/>
  <c r="F27" i="49"/>
  <c r="J27" i="49" s="1"/>
  <c r="K27" i="49" s="1"/>
  <c r="D33" i="49" l="1"/>
  <c r="G33" i="49"/>
  <c r="L33" i="49"/>
  <c r="H33" i="49"/>
  <c r="E33" i="49"/>
  <c r="F30" i="57"/>
  <c r="I30" i="57" s="1"/>
  <c r="J30" i="57" s="1"/>
  <c r="P29" i="52"/>
  <c r="P30" i="53"/>
  <c r="F29" i="52"/>
  <c r="P30" i="54"/>
  <c r="I68" i="61"/>
  <c r="I28" i="61"/>
  <c r="J28" i="61" s="1"/>
  <c r="F28" i="60"/>
  <c r="I28" i="60" s="1"/>
  <c r="J28" i="60" s="1"/>
  <c r="I69" i="60"/>
  <c r="I69" i="59"/>
  <c r="F29" i="59"/>
  <c r="I29" i="59" s="1"/>
  <c r="J29" i="59" s="1"/>
  <c r="I70" i="58"/>
  <c r="F30" i="58"/>
  <c r="I30" i="58" s="1"/>
  <c r="J30" i="58" s="1"/>
  <c r="I70" i="57"/>
  <c r="I70" i="56"/>
  <c r="F30" i="56"/>
  <c r="I30" i="56" s="1"/>
  <c r="J30" i="56" s="1"/>
  <c r="I69" i="55"/>
  <c r="I29" i="55"/>
  <c r="J29" i="55" s="1"/>
  <c r="F29" i="54"/>
  <c r="I29" i="54" s="1"/>
  <c r="J29" i="54" s="1"/>
  <c r="I69" i="54"/>
  <c r="I69" i="53"/>
  <c r="F29" i="53"/>
  <c r="I29" i="53" s="1"/>
  <c r="J29" i="53" s="1"/>
  <c r="F30" i="53"/>
  <c r="I68" i="52"/>
  <c r="F28" i="52"/>
  <c r="I28" i="52" s="1"/>
  <c r="J28" i="52" s="1"/>
  <c r="F29" i="50"/>
  <c r="I29" i="50" s="1"/>
  <c r="J29" i="50" s="1"/>
  <c r="I69" i="50"/>
  <c r="P30" i="50"/>
  <c r="I71" i="49"/>
  <c r="F28" i="49"/>
  <c r="J28" i="49" s="1"/>
  <c r="K28" i="49" s="1"/>
  <c r="D34" i="49" l="1"/>
  <c r="H34" i="49"/>
  <c r="L34" i="49"/>
  <c r="G34" i="49"/>
  <c r="E34" i="49"/>
  <c r="F31" i="57"/>
  <c r="I31" i="57" s="1"/>
  <c r="J31" i="57" s="1"/>
  <c r="P31" i="53"/>
  <c r="I30" i="53"/>
  <c r="J30" i="53" s="1"/>
  <c r="I29" i="52"/>
  <c r="J29" i="52" s="1"/>
  <c r="P31" i="50"/>
  <c r="F29" i="61"/>
  <c r="I29" i="61" s="1"/>
  <c r="J29" i="61" s="1"/>
  <c r="I69" i="61"/>
  <c r="I70" i="60"/>
  <c r="F29" i="60"/>
  <c r="I29" i="60" s="1"/>
  <c r="J29" i="60" s="1"/>
  <c r="I70" i="59"/>
  <c r="F30" i="59"/>
  <c r="I30" i="59" s="1"/>
  <c r="J30" i="59" s="1"/>
  <c r="I71" i="58"/>
  <c r="F31" i="58"/>
  <c r="I31" i="58" s="1"/>
  <c r="J31" i="58" s="1"/>
  <c r="I71" i="57"/>
  <c r="I71" i="56"/>
  <c r="F31" i="56"/>
  <c r="I31" i="56" s="1"/>
  <c r="J31" i="56" s="1"/>
  <c r="I70" i="55"/>
  <c r="F31" i="55"/>
  <c r="F30" i="55"/>
  <c r="I30" i="55" s="1"/>
  <c r="J30" i="55" s="1"/>
  <c r="I70" i="54"/>
  <c r="F30" i="54"/>
  <c r="I30" i="54" s="1"/>
  <c r="J30" i="54" s="1"/>
  <c r="P31" i="54"/>
  <c r="I70" i="53"/>
  <c r="P30" i="52"/>
  <c r="I69" i="52"/>
  <c r="F30" i="50"/>
  <c r="I30" i="50" s="1"/>
  <c r="J30" i="50" s="1"/>
  <c r="I70" i="50"/>
  <c r="F29" i="49"/>
  <c r="J29" i="49" s="1"/>
  <c r="K29" i="49" s="1"/>
  <c r="I72" i="49"/>
  <c r="D35" i="49" l="1"/>
  <c r="G35" i="49"/>
  <c r="L35" i="49"/>
  <c r="H35" i="49"/>
  <c r="E35" i="49"/>
  <c r="P32" i="53"/>
  <c r="F31" i="53"/>
  <c r="I31" i="53" s="1"/>
  <c r="J31" i="53" s="1"/>
  <c r="P31" i="52"/>
  <c r="F31" i="52"/>
  <c r="I31" i="55"/>
  <c r="J31" i="55" s="1"/>
  <c r="I70" i="61"/>
  <c r="F30" i="61"/>
  <c r="I30" i="61" s="1"/>
  <c r="J30" i="61" s="1"/>
  <c r="I71" i="60"/>
  <c r="F30" i="60"/>
  <c r="I30" i="60" s="1"/>
  <c r="J30" i="60" s="1"/>
  <c r="F31" i="59"/>
  <c r="I31" i="59" s="1"/>
  <c r="J31" i="59" s="1"/>
  <c r="I71" i="59"/>
  <c r="F32" i="58"/>
  <c r="I32" i="58" s="1"/>
  <c r="J32" i="58" s="1"/>
  <c r="I72" i="58"/>
  <c r="F32" i="57"/>
  <c r="I32" i="57" s="1"/>
  <c r="J32" i="57" s="1"/>
  <c r="I72" i="57"/>
  <c r="F32" i="56"/>
  <c r="I32" i="56" s="1"/>
  <c r="J32" i="56" s="1"/>
  <c r="I72" i="56"/>
  <c r="I71" i="55"/>
  <c r="F31" i="54"/>
  <c r="I31" i="54" s="1"/>
  <c r="J31" i="54" s="1"/>
  <c r="P32" i="54"/>
  <c r="I71" i="54"/>
  <c r="I71" i="53"/>
  <c r="I70" i="52"/>
  <c r="F30" i="52"/>
  <c r="I30" i="52" s="1"/>
  <c r="J30" i="52" s="1"/>
  <c r="I71" i="50"/>
  <c r="P32" i="50"/>
  <c r="F31" i="50"/>
  <c r="I31" i="50" s="1"/>
  <c r="J31" i="50" s="1"/>
  <c r="I73" i="49"/>
  <c r="D36" i="49" s="1"/>
  <c r="F30" i="49"/>
  <c r="J30" i="49" s="1"/>
  <c r="K30" i="49" s="1"/>
  <c r="H36" i="49" l="1"/>
  <c r="L36" i="49"/>
  <c r="G36" i="49"/>
  <c r="E36" i="49"/>
  <c r="F33" i="57"/>
  <c r="I33" i="57" s="1"/>
  <c r="J33" i="57" s="1"/>
  <c r="P33" i="53"/>
  <c r="I31" i="52"/>
  <c r="J31" i="52" s="1"/>
  <c r="F32" i="52"/>
  <c r="P32" i="52"/>
  <c r="P33" i="54"/>
  <c r="P33" i="50"/>
  <c r="P34" i="50" s="1"/>
  <c r="F31" i="61"/>
  <c r="I31" i="61" s="1"/>
  <c r="J31" i="61" s="1"/>
  <c r="I71" i="61"/>
  <c r="I72" i="60"/>
  <c r="F31" i="60"/>
  <c r="I31" i="60" s="1"/>
  <c r="J31" i="60" s="1"/>
  <c r="I72" i="59"/>
  <c r="F32" i="59"/>
  <c r="I32" i="59" s="1"/>
  <c r="J32" i="59" s="1"/>
  <c r="F33" i="58"/>
  <c r="I33" i="58" s="1"/>
  <c r="J33" i="58" s="1"/>
  <c r="I73" i="58"/>
  <c r="I73" i="57"/>
  <c r="F33" i="56"/>
  <c r="I33" i="56" s="1"/>
  <c r="J33" i="56" s="1"/>
  <c r="I73" i="56"/>
  <c r="I72" i="55"/>
  <c r="F32" i="55"/>
  <c r="I32" i="55" s="1"/>
  <c r="J32" i="55" s="1"/>
  <c r="F32" i="54"/>
  <c r="I32" i="54" s="1"/>
  <c r="J32" i="54" s="1"/>
  <c r="I72" i="54"/>
  <c r="I72" i="53"/>
  <c r="F32" i="53"/>
  <c r="I32" i="53" s="1"/>
  <c r="J32" i="53" s="1"/>
  <c r="I71" i="52"/>
  <c r="F32" i="50"/>
  <c r="I32" i="50" s="1"/>
  <c r="J32" i="50" s="1"/>
  <c r="I72" i="50"/>
  <c r="F31" i="49"/>
  <c r="J31" i="49" s="1"/>
  <c r="K31" i="49" s="1"/>
  <c r="I74" i="49"/>
  <c r="P34" i="53" l="1"/>
  <c r="F34" i="55"/>
  <c r="P34" i="54"/>
  <c r="F32" i="61"/>
  <c r="I32" i="61" s="1"/>
  <c r="J32" i="61" s="1"/>
  <c r="I72" i="61"/>
  <c r="F32" i="60"/>
  <c r="I32" i="60" s="1"/>
  <c r="J32" i="60" s="1"/>
  <c r="F33" i="60"/>
  <c r="I33" i="60" s="1"/>
  <c r="J33" i="60" s="1"/>
  <c r="I73" i="60"/>
  <c r="F33" i="59"/>
  <c r="I33" i="59" s="1"/>
  <c r="J33" i="59" s="1"/>
  <c r="I73" i="59"/>
  <c r="F34" i="58"/>
  <c r="I34" i="58" s="1"/>
  <c r="J34" i="58" s="1"/>
  <c r="I74" i="58"/>
  <c r="I74" i="57"/>
  <c r="F34" i="57"/>
  <c r="I34" i="57" s="1"/>
  <c r="J34" i="57" s="1"/>
  <c r="F34" i="56"/>
  <c r="I34" i="56" s="1"/>
  <c r="J34" i="56" s="1"/>
  <c r="I74" i="56"/>
  <c r="I73" i="55"/>
  <c r="F33" i="55"/>
  <c r="I33" i="55" s="1"/>
  <c r="J33" i="55" s="1"/>
  <c r="I73" i="54"/>
  <c r="F33" i="54"/>
  <c r="I33" i="54" s="1"/>
  <c r="J33" i="54" s="1"/>
  <c r="F33" i="53"/>
  <c r="I33" i="53" s="1"/>
  <c r="J33" i="53" s="1"/>
  <c r="I73" i="53"/>
  <c r="I32" i="52"/>
  <c r="J32" i="52" s="1"/>
  <c r="P33" i="52"/>
  <c r="I72" i="52"/>
  <c r="P35" i="50"/>
  <c r="I73" i="50"/>
  <c r="F33" i="50"/>
  <c r="I33" i="50" s="1"/>
  <c r="J33" i="50" s="1"/>
  <c r="F32" i="49"/>
  <c r="J32" i="49" s="1"/>
  <c r="K32" i="49" s="1"/>
  <c r="P35" i="53" l="1"/>
  <c r="P36" i="53" s="1"/>
  <c r="P35" i="54"/>
  <c r="I34" i="55"/>
  <c r="J34" i="55" s="1"/>
  <c r="I73" i="61"/>
  <c r="F33" i="61"/>
  <c r="I33" i="61" s="1"/>
  <c r="J33" i="61" s="1"/>
  <c r="F34" i="60"/>
  <c r="I34" i="60" s="1"/>
  <c r="J34" i="60" s="1"/>
  <c r="I74" i="60"/>
  <c r="I74" i="59"/>
  <c r="F34" i="59"/>
  <c r="I34" i="59" s="1"/>
  <c r="J34" i="59" s="1"/>
  <c r="F35" i="58"/>
  <c r="I35" i="58" s="1"/>
  <c r="J35" i="58" s="1"/>
  <c r="F35" i="57"/>
  <c r="I35" i="57" s="1"/>
  <c r="J35" i="57" s="1"/>
  <c r="F35" i="56"/>
  <c r="I35" i="56" s="1"/>
  <c r="J35" i="56" s="1"/>
  <c r="I74" i="55"/>
  <c r="F34" i="54"/>
  <c r="I34" i="54" s="1"/>
  <c r="J34" i="54" s="1"/>
  <c r="I74" i="54"/>
  <c r="I74" i="53"/>
  <c r="F34" i="53"/>
  <c r="I34" i="53" s="1"/>
  <c r="J34" i="53" s="1"/>
  <c r="F34" i="52"/>
  <c r="P34" i="52"/>
  <c r="F33" i="52"/>
  <c r="I33" i="52" s="1"/>
  <c r="J33" i="52" s="1"/>
  <c r="I73" i="52"/>
  <c r="F34" i="50"/>
  <c r="I34" i="50" s="1"/>
  <c r="J34" i="50" s="1"/>
  <c r="P36" i="50"/>
  <c r="I74" i="50"/>
  <c r="F33" i="49"/>
  <c r="J33" i="49" s="1"/>
  <c r="K33" i="49" s="1"/>
  <c r="F36" i="56" l="1"/>
  <c r="I36" i="56" s="1"/>
  <c r="J36" i="56" s="1"/>
  <c r="P36" i="54"/>
  <c r="F36" i="57"/>
  <c r="I36" i="57" s="1"/>
  <c r="J36" i="57" s="1"/>
  <c r="F34" i="61"/>
  <c r="I34" i="61" s="1"/>
  <c r="J34" i="61" s="1"/>
  <c r="I74" i="61"/>
  <c r="F35" i="60"/>
  <c r="I35" i="60" s="1"/>
  <c r="J35" i="60" s="1"/>
  <c r="F35" i="59"/>
  <c r="I35" i="59" s="1"/>
  <c r="J35" i="59" s="1"/>
  <c r="F36" i="58"/>
  <c r="I36" i="58" s="1"/>
  <c r="J36" i="58" s="1"/>
  <c r="F36" i="55"/>
  <c r="F35" i="55"/>
  <c r="I35" i="55" s="1"/>
  <c r="J35" i="55" s="1"/>
  <c r="F36" i="54"/>
  <c r="F35" i="54"/>
  <c r="I35" i="54" s="1"/>
  <c r="J35" i="54" s="1"/>
  <c r="F35" i="53"/>
  <c r="I35" i="53" s="1"/>
  <c r="J35" i="53" s="1"/>
  <c r="I34" i="52"/>
  <c r="J34" i="52" s="1"/>
  <c r="P35" i="52"/>
  <c r="I74" i="52"/>
  <c r="F35" i="50"/>
  <c r="I35" i="50" s="1"/>
  <c r="J35" i="50" s="1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F36" i="61"/>
  <c r="F35" i="61"/>
  <c r="I35" i="61" s="1"/>
  <c r="J35" i="61" s="1"/>
  <c r="F36" i="60"/>
  <c r="I36" i="60" s="1"/>
  <c r="J36" i="60" s="1"/>
  <c r="F36" i="59"/>
  <c r="I36" i="59" s="1"/>
  <c r="J36" i="59" s="1"/>
  <c r="I36" i="55"/>
  <c r="J36" i="55" s="1"/>
  <c r="F36" i="52"/>
  <c r="P36" i="52"/>
  <c r="F35" i="52"/>
  <c r="I35" i="52" s="1"/>
  <c r="J35" i="52" s="1"/>
  <c r="F36" i="49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E12" i="42" s="1"/>
  <c r="E13" i="42" s="1"/>
  <c r="E14" i="42" s="1"/>
  <c r="E15" i="42" s="1"/>
  <c r="E16" i="42" s="1"/>
  <c r="E17" i="42" s="1"/>
  <c r="E18" i="42" s="1"/>
  <c r="E19" i="42" s="1"/>
  <c r="E20" i="42" s="1"/>
  <c r="E21" i="42" s="1"/>
  <c r="E22" i="42" s="1"/>
  <c r="E23" i="42" s="1"/>
  <c r="E24" i="42" s="1"/>
  <c r="E25" i="42" s="1"/>
  <c r="E26" i="42" s="1"/>
  <c r="E27" i="42" s="1"/>
  <c r="E28" i="42" s="1"/>
  <c r="E29" i="42" s="1"/>
  <c r="E30" i="42" s="1"/>
  <c r="E31" i="42" s="1"/>
  <c r="E32" i="42" s="1"/>
  <c r="E33" i="42" s="1"/>
  <c r="E34" i="42" s="1"/>
  <c r="E35" i="42" s="1"/>
  <c r="E36" i="42" s="1"/>
  <c r="C14" i="43"/>
  <c r="B11" i="43" l="1"/>
  <c r="B12" i="43"/>
  <c r="B13" i="43" s="1"/>
  <c r="H11" i="43" l="1"/>
  <c r="H12" i="43" s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D14" i="43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G11" i="43" l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L11" i="43"/>
  <c r="L12" i="43" s="1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E11" i="43"/>
  <c r="E12" i="43" s="1"/>
  <c r="E13" i="43" s="1"/>
  <c r="E14" i="43" s="1"/>
  <c r="E15" i="43" s="1"/>
  <c r="E16" i="43" s="1"/>
  <c r="E17" i="43" s="1"/>
  <c r="E18" i="43" s="1"/>
  <c r="E19" i="43" s="1"/>
  <c r="E20" i="43" s="1"/>
  <c r="E21" i="43" s="1"/>
  <c r="E22" i="43" s="1"/>
  <c r="E23" i="43" s="1"/>
  <c r="E24" i="43" s="1"/>
  <c r="E25" i="43" s="1"/>
  <c r="E26" i="43" s="1"/>
  <c r="E27" i="43" s="1"/>
  <c r="E28" i="43" s="1"/>
  <c r="E29" i="43" s="1"/>
  <c r="C65" i="62" l="1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12" i="47" s="1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X5" i="25"/>
  <c r="B52" i="25" l="1"/>
  <c r="B42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E12" i="47" l="1"/>
  <c r="C48" i="47"/>
  <c r="C10" i="25"/>
  <c r="E13" i="47" l="1"/>
  <c r="C49" i="47"/>
  <c r="E14" i="47" l="1"/>
  <c r="F41" i="47"/>
  <c r="E15" i="47" l="1"/>
  <c r="F42" i="47"/>
  <c r="E16" i="47" l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F45" i="47"/>
  <c r="F11" i="44"/>
  <c r="I11" i="44" s="1"/>
  <c r="J11" i="44" s="1"/>
  <c r="F11" i="43"/>
  <c r="J11" i="43" s="1"/>
  <c r="C71" i="44"/>
  <c r="P12" i="44"/>
  <c r="B16" i="44"/>
  <c r="C70" i="43"/>
  <c r="K11" i="43" l="1"/>
  <c r="E19" i="47"/>
  <c r="F46" i="47"/>
  <c r="F12" i="43"/>
  <c r="J12" i="43" s="1"/>
  <c r="C72" i="44"/>
  <c r="B17" i="44"/>
  <c r="P13" i="44"/>
  <c r="C71" i="43"/>
  <c r="B14" i="43"/>
  <c r="F13" i="43"/>
  <c r="J13" i="43" s="1"/>
  <c r="K12" i="43" l="1"/>
  <c r="E20" i="47"/>
  <c r="F47" i="47"/>
  <c r="F12" i="44"/>
  <c r="I12" i="44" s="1"/>
  <c r="J12" i="44" s="1"/>
  <c r="C73" i="44"/>
  <c r="F13" i="44"/>
  <c r="P14" i="44"/>
  <c r="B18" i="44"/>
  <c r="B15" i="43"/>
  <c r="F14" i="43"/>
  <c r="J14" i="43" s="1"/>
  <c r="C72" i="43"/>
  <c r="K13" i="43"/>
  <c r="K14" i="43" l="1"/>
  <c r="E21" i="47"/>
  <c r="F48" i="47"/>
  <c r="C74" i="44"/>
  <c r="B19" i="44"/>
  <c r="I13" i="44"/>
  <c r="J13" i="44" s="1"/>
  <c r="P15" i="44"/>
  <c r="F14" i="44"/>
  <c r="I14" i="44" s="1"/>
  <c r="J14" i="44" s="1"/>
  <c r="F15" i="43"/>
  <c r="J15" i="43" s="1"/>
  <c r="C73" i="43"/>
  <c r="B16" i="43"/>
  <c r="E22" i="47" l="1"/>
  <c r="F49" i="47"/>
  <c r="F66" i="44"/>
  <c r="F15" i="44"/>
  <c r="B20" i="44"/>
  <c r="P16" i="44"/>
  <c r="B17" i="43"/>
  <c r="C74" i="43"/>
  <c r="F16" i="43"/>
  <c r="J16" i="43" s="1"/>
  <c r="K15" i="43"/>
  <c r="E23" i="47" l="1"/>
  <c r="I41" i="47"/>
  <c r="F67" i="44"/>
  <c r="F16" i="44"/>
  <c r="B21" i="44"/>
  <c r="P17" i="44"/>
  <c r="I15" i="44"/>
  <c r="J15" i="44" s="1"/>
  <c r="F17" i="43"/>
  <c r="J17" i="43" s="1"/>
  <c r="F66" i="43"/>
  <c r="K16" i="43"/>
  <c r="B18" i="43"/>
  <c r="E24" i="47" l="1"/>
  <c r="I42" i="47"/>
  <c r="F68" i="44"/>
  <c r="F17" i="44"/>
  <c r="B22" i="44"/>
  <c r="I16" i="44"/>
  <c r="J16" i="44" s="1"/>
  <c r="P18" i="44"/>
  <c r="F67" i="43"/>
  <c r="F18" i="43"/>
  <c r="J18" i="43" s="1"/>
  <c r="B19" i="43"/>
  <c r="K17" i="43"/>
  <c r="E25" i="47" l="1"/>
  <c r="I43" i="47"/>
  <c r="F69" i="44"/>
  <c r="P19" i="44"/>
  <c r="I17" i="44"/>
  <c r="J17" i="44" s="1"/>
  <c r="F18" i="44"/>
  <c r="B23" i="44"/>
  <c r="F68" i="43"/>
  <c r="F19" i="43"/>
  <c r="J19" i="43" s="1"/>
  <c r="K18" i="43"/>
  <c r="B20" i="43"/>
  <c r="E26" i="47" l="1"/>
  <c r="I44" i="47"/>
  <c r="F70" i="44"/>
  <c r="F19" i="44"/>
  <c r="I19" i="44" s="1"/>
  <c r="J19" i="44" s="1"/>
  <c r="B24" i="44"/>
  <c r="P20" i="44"/>
  <c r="I18" i="44"/>
  <c r="J18" i="44" s="1"/>
  <c r="K19" i="43"/>
  <c r="B21" i="43"/>
  <c r="F20" i="43"/>
  <c r="J20" i="43" s="1"/>
  <c r="F69" i="43"/>
  <c r="E27" i="47" l="1"/>
  <c r="I45" i="47"/>
  <c r="F71" i="44"/>
  <c r="P21" i="44"/>
  <c r="F20" i="44"/>
  <c r="B25" i="44"/>
  <c r="K20" i="43"/>
  <c r="F70" i="43"/>
  <c r="B22" i="43"/>
  <c r="F21" i="43"/>
  <c r="J21" i="43" s="1"/>
  <c r="K21" i="43" l="1"/>
  <c r="E28" i="47"/>
  <c r="I46" i="47"/>
  <c r="F72" i="44"/>
  <c r="B26" i="44"/>
  <c r="F21" i="44"/>
  <c r="I21" i="44" s="1"/>
  <c r="J21" i="44" s="1"/>
  <c r="P22" i="44"/>
  <c r="I20" i="44"/>
  <c r="J20" i="44" s="1"/>
  <c r="B23" i="43"/>
  <c r="F71" i="43"/>
  <c r="F22" i="43"/>
  <c r="J22" i="43" s="1"/>
  <c r="E29" i="47" l="1"/>
  <c r="I47" i="47"/>
  <c r="F73" i="44"/>
  <c r="P23" i="44"/>
  <c r="B27" i="44"/>
  <c r="F22" i="44"/>
  <c r="I22" i="44" s="1"/>
  <c r="J22" i="44" s="1"/>
  <c r="K22" i="43"/>
  <c r="B24" i="43"/>
  <c r="F72" i="43"/>
  <c r="F23" i="43"/>
  <c r="J23" i="43" s="1"/>
  <c r="K23" i="43" l="1"/>
  <c r="E30" i="47"/>
  <c r="I48" i="47"/>
  <c r="F74" i="44"/>
  <c r="B28" i="44"/>
  <c r="P24" i="44"/>
  <c r="F23" i="44"/>
  <c r="I23" i="44" s="1"/>
  <c r="J23" i="44" s="1"/>
  <c r="B25" i="43"/>
  <c r="F73" i="43"/>
  <c r="F24" i="43"/>
  <c r="J24" i="43" s="1"/>
  <c r="K24" i="43" l="1"/>
  <c r="E31" i="47"/>
  <c r="E32" i="47"/>
  <c r="I49" i="47"/>
  <c r="I66" i="44"/>
  <c r="P25" i="44"/>
  <c r="B29" i="44"/>
  <c r="F24" i="44"/>
  <c r="I24" i="44" s="1"/>
  <c r="J24" i="44" s="1"/>
  <c r="F74" i="43"/>
  <c r="F25" i="43"/>
  <c r="J25" i="43" s="1"/>
  <c r="B26" i="43"/>
  <c r="I67" i="44" l="1"/>
  <c r="B30" i="44"/>
  <c r="P26" i="44"/>
  <c r="F25" i="44"/>
  <c r="K25" i="43"/>
  <c r="B27" i="43"/>
  <c r="F26" i="43"/>
  <c r="J26" i="43" s="1"/>
  <c r="I66" i="43"/>
  <c r="I68" i="44" l="1"/>
  <c r="P27" i="44"/>
  <c r="I25" i="44"/>
  <c r="J25" i="44" s="1"/>
  <c r="F26" i="44"/>
  <c r="B31" i="44"/>
  <c r="K26" i="43"/>
  <c r="B28" i="43"/>
  <c r="F27" i="43"/>
  <c r="J27" i="43" s="1"/>
  <c r="I67" i="43"/>
  <c r="K27" i="43" l="1"/>
  <c r="I69" i="44"/>
  <c r="B32" i="44"/>
  <c r="P28" i="44"/>
  <c r="I26" i="44"/>
  <c r="J26" i="44" s="1"/>
  <c r="F27" i="44"/>
  <c r="I27" i="44" s="1"/>
  <c r="J27" i="44" s="1"/>
  <c r="B29" i="43"/>
  <c r="F28" i="43"/>
  <c r="J28" i="43" s="1"/>
  <c r="I68" i="43"/>
  <c r="H30" i="43" l="1"/>
  <c r="E30" i="43"/>
  <c r="L30" i="43"/>
  <c r="G30" i="43"/>
  <c r="D30" i="43"/>
  <c r="I70" i="44"/>
  <c r="B33" i="44"/>
  <c r="F28" i="44"/>
  <c r="P29" i="44"/>
  <c r="K28" i="43"/>
  <c r="B30" i="43"/>
  <c r="F29" i="43"/>
  <c r="J29" i="43" s="1"/>
  <c r="I69" i="43"/>
  <c r="D31" i="43" l="1"/>
  <c r="D32" i="43" s="1"/>
  <c r="G31" i="43"/>
  <c r="L31" i="43"/>
  <c r="E31" i="43"/>
  <c r="H31" i="43"/>
  <c r="I71" i="44"/>
  <c r="B34" i="44"/>
  <c r="F29" i="44"/>
  <c r="P30" i="44"/>
  <c r="I28" i="44"/>
  <c r="J28" i="44" s="1"/>
  <c r="I70" i="43"/>
  <c r="B31" i="43"/>
  <c r="K29" i="43"/>
  <c r="F30" i="43"/>
  <c r="J30" i="43" s="1"/>
  <c r="H32" i="43" l="1"/>
  <c r="E32" i="43"/>
  <c r="L32" i="43"/>
  <c r="G32" i="43"/>
  <c r="D33" i="43"/>
  <c r="I72" i="44"/>
  <c r="B35" i="44"/>
  <c r="I29" i="44"/>
  <c r="J29" i="44" s="1"/>
  <c r="P31" i="44"/>
  <c r="F30" i="44"/>
  <c r="I30" i="44" s="1"/>
  <c r="J30" i="44" s="1"/>
  <c r="B32" i="43"/>
  <c r="K30" i="43"/>
  <c r="I71" i="43"/>
  <c r="F31" i="43"/>
  <c r="J31" i="43" s="1"/>
  <c r="H33" i="43" l="1"/>
  <c r="L33" i="43"/>
  <c r="E33" i="43"/>
  <c r="G33" i="43"/>
  <c r="D34" i="43"/>
  <c r="I73" i="44"/>
  <c r="F31" i="44"/>
  <c r="P32" i="44"/>
  <c r="B36" i="44"/>
  <c r="F32" i="43"/>
  <c r="J32" i="43" s="1"/>
  <c r="I72" i="43"/>
  <c r="K31" i="43"/>
  <c r="B33" i="43"/>
  <c r="E34" i="43" l="1"/>
  <c r="L34" i="43"/>
  <c r="H34" i="43"/>
  <c r="G34" i="43"/>
  <c r="D35" i="43"/>
  <c r="I74" i="44"/>
  <c r="P33" i="44"/>
  <c r="I31" i="44"/>
  <c r="J31" i="44" s="1"/>
  <c r="F32" i="44"/>
  <c r="K32" i="43"/>
  <c r="F33" i="43"/>
  <c r="J33" i="43" s="1"/>
  <c r="B34" i="43"/>
  <c r="I73" i="43"/>
  <c r="H35" i="43" l="1"/>
  <c r="L35" i="43"/>
  <c r="E35" i="43"/>
  <c r="G35" i="43"/>
  <c r="D36" i="43"/>
  <c r="F33" i="44"/>
  <c r="I33" i="44" s="1"/>
  <c r="J33" i="44" s="1"/>
  <c r="I32" i="44"/>
  <c r="J32" i="44" s="1"/>
  <c r="P34" i="44"/>
  <c r="B35" i="43"/>
  <c r="F34" i="43"/>
  <c r="J34" i="43" s="1"/>
  <c r="I74" i="43"/>
  <c r="K33" i="43"/>
  <c r="E36" i="43" l="1"/>
  <c r="L36" i="43"/>
  <c r="H36" i="43"/>
  <c r="G36" i="43"/>
  <c r="P35" i="44"/>
  <c r="F34" i="44"/>
  <c r="I34" i="44" s="1"/>
  <c r="J34" i="44" s="1"/>
  <c r="F35" i="43"/>
  <c r="J35" i="43" s="1"/>
  <c r="K34" i="43"/>
  <c r="B36" i="43"/>
  <c r="F35" i="44" l="1"/>
  <c r="F36" i="44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B26" i="42"/>
  <c r="C69" i="42"/>
  <c r="B3" i="42"/>
  <c r="C52" i="42" s="1"/>
  <c r="B9" i="42" s="1"/>
  <c r="D47" i="42"/>
  <c r="P12" i="42" l="1"/>
  <c r="F11" i="42"/>
  <c r="I11" i="42" s="1"/>
  <c r="C70" i="42"/>
  <c r="B27" i="42"/>
  <c r="J11" i="42" l="1"/>
  <c r="P13" i="42"/>
  <c r="P14" i="42" s="1"/>
  <c r="C71" i="42"/>
  <c r="F12" i="42"/>
  <c r="B28" i="42"/>
  <c r="I12" i="42" l="1"/>
  <c r="C72" i="42"/>
  <c r="F13" i="42"/>
  <c r="I13" i="42" s="1"/>
  <c r="B29" i="42"/>
  <c r="P15" i="42"/>
  <c r="J13" i="42" l="1"/>
  <c r="J12" i="42"/>
  <c r="P16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P17" i="42"/>
  <c r="C74" i="42"/>
  <c r="B31" i="42"/>
  <c r="F15" i="42"/>
  <c r="I15" i="42" s="1"/>
  <c r="B26" i="41"/>
  <c r="B3" i="41"/>
  <c r="C52" i="41" s="1"/>
  <c r="B9" i="41" s="1"/>
  <c r="D47" i="41"/>
  <c r="C69" i="41"/>
  <c r="J15" i="42" l="1"/>
  <c r="F11" i="41"/>
  <c r="P18" i="42"/>
  <c r="F66" i="42"/>
  <c r="F16" i="42"/>
  <c r="I16" i="42" s="1"/>
  <c r="B32" i="42"/>
  <c r="C70" i="41"/>
  <c r="B27" i="41"/>
  <c r="J16" i="42" l="1"/>
  <c r="F12" i="41"/>
  <c r="F67" i="42"/>
  <c r="P19" i="42"/>
  <c r="F17" i="42"/>
  <c r="I17" i="42" s="1"/>
  <c r="B33" i="42"/>
  <c r="C71" i="41"/>
  <c r="B28" i="41"/>
  <c r="J17" i="42" l="1"/>
  <c r="I12" i="41"/>
  <c r="J12" i="41" s="1"/>
  <c r="I11" i="41"/>
  <c r="J11" i="41" s="1"/>
  <c r="F68" i="42"/>
  <c r="F18" i="42"/>
  <c r="I18" i="42" s="1"/>
  <c r="P20" i="42"/>
  <c r="B34" i="42"/>
  <c r="B29" i="41"/>
  <c r="C72" i="41"/>
  <c r="F13" i="41" l="1"/>
  <c r="I13" i="41" s="1"/>
  <c r="J13" i="41" s="1"/>
  <c r="J18" i="42"/>
  <c r="P21" i="42"/>
  <c r="B35" i="42"/>
  <c r="F19" i="42"/>
  <c r="I19" i="42" s="1"/>
  <c r="F69" i="42"/>
  <c r="C73" i="41"/>
  <c r="F14" i="41"/>
  <c r="I14" i="41" s="1"/>
  <c r="J14" i="41" s="1"/>
  <c r="B30" i="41"/>
  <c r="J19" i="42" l="1"/>
  <c r="B36" i="42"/>
  <c r="F70" i="42"/>
  <c r="F23" i="42"/>
  <c r="F20" i="42"/>
  <c r="I20" i="42" s="1"/>
  <c r="P22" i="42"/>
  <c r="C74" i="41"/>
  <c r="F15" i="41"/>
  <c r="I15" i="41" s="1"/>
  <c r="J15" i="41" s="1"/>
  <c r="B31" i="41"/>
  <c r="I23" i="42" l="1"/>
  <c r="J23" i="42" s="1"/>
  <c r="J20" i="42"/>
  <c r="P23" i="42"/>
  <c r="F21" i="42"/>
  <c r="I21" i="42" s="1"/>
  <c r="F71" i="42"/>
  <c r="F66" i="41"/>
  <c r="B32" i="41"/>
  <c r="F16" i="41"/>
  <c r="I16" i="41" s="1"/>
  <c r="J16" i="41" s="1"/>
  <c r="J21" i="42" l="1"/>
  <c r="P24" i="42"/>
  <c r="F72" i="42"/>
  <c r="F22" i="42"/>
  <c r="I22" i="42" s="1"/>
  <c r="F17" i="41"/>
  <c r="I17" i="41" s="1"/>
  <c r="J17" i="41" s="1"/>
  <c r="B33" i="41"/>
  <c r="F67" i="41"/>
  <c r="J22" i="42" l="1"/>
  <c r="F73" i="42"/>
  <c r="P25" i="42"/>
  <c r="B34" i="41"/>
  <c r="F68" i="41"/>
  <c r="F18" i="41"/>
  <c r="I18" i="41" s="1"/>
  <c r="J18" i="41" s="1"/>
  <c r="P26" i="42" l="1"/>
  <c r="F24" i="42"/>
  <c r="I24" i="42" s="1"/>
  <c r="F74" i="42"/>
  <c r="F69" i="41"/>
  <c r="B35" i="41"/>
  <c r="F19" i="41"/>
  <c r="I19" i="41" s="1"/>
  <c r="J19" i="41" s="1"/>
  <c r="J24" i="42" l="1"/>
  <c r="P27" i="42"/>
  <c r="I66" i="42"/>
  <c r="F25" i="42"/>
  <c r="I25" i="42" s="1"/>
  <c r="F70" i="41"/>
  <c r="B36" i="41"/>
  <c r="F20" i="41"/>
  <c r="I20" i="41" s="1"/>
  <c r="J20" i="41" s="1"/>
  <c r="J25" i="42" l="1"/>
  <c r="I67" i="42"/>
  <c r="F26" i="42"/>
  <c r="I26" i="42" s="1"/>
  <c r="P28" i="42"/>
  <c r="F71" i="41"/>
  <c r="F21" i="41"/>
  <c r="I21" i="41" s="1"/>
  <c r="J21" i="41" s="1"/>
  <c r="J26" i="42" l="1"/>
  <c r="P29" i="42"/>
  <c r="I68" i="42"/>
  <c r="F27" i="42"/>
  <c r="I27" i="42" s="1"/>
  <c r="F72" i="41"/>
  <c r="F22" i="41"/>
  <c r="I22" i="41" s="1"/>
  <c r="J22" i="41" s="1"/>
  <c r="J27" i="42" l="1"/>
  <c r="P30" i="42"/>
  <c r="F28" i="42"/>
  <c r="I28" i="42" s="1"/>
  <c r="I69" i="42"/>
  <c r="F73" i="41"/>
  <c r="F23" i="41"/>
  <c r="I23" i="41" s="1"/>
  <c r="J23" i="41" s="1"/>
  <c r="J28" i="42" l="1"/>
  <c r="P31" i="42"/>
  <c r="I70" i="42"/>
  <c r="F29" i="42"/>
  <c r="I29" i="42" s="1"/>
  <c r="F74" i="41"/>
  <c r="F24" i="41"/>
  <c r="I24" i="41" s="1"/>
  <c r="J24" i="41" s="1"/>
  <c r="J29" i="42" l="1"/>
  <c r="F30" i="42"/>
  <c r="I30" i="42" s="1"/>
  <c r="P32" i="42"/>
  <c r="I71" i="42"/>
  <c r="F25" i="41"/>
  <c r="I25" i="41" s="1"/>
  <c r="J25" i="41" s="1"/>
  <c r="I66" i="41"/>
  <c r="J30" i="42" l="1"/>
  <c r="I72" i="42"/>
  <c r="P33" i="42"/>
  <c r="F31" i="42"/>
  <c r="I31" i="42" s="1"/>
  <c r="I67" i="41"/>
  <c r="F26" i="41"/>
  <c r="I26" i="41" s="1"/>
  <c r="J26" i="41" s="1"/>
  <c r="J31" i="42" l="1"/>
  <c r="F32" i="42"/>
  <c r="I32" i="42" s="1"/>
  <c r="P34" i="42"/>
  <c r="I73" i="42"/>
  <c r="I68" i="41"/>
  <c r="F27" i="41"/>
  <c r="I27" i="41" s="1"/>
  <c r="J27" i="41" s="1"/>
  <c r="J32" i="42" l="1"/>
  <c r="F33" i="42"/>
  <c r="I33" i="42" s="1"/>
  <c r="I74" i="42"/>
  <c r="P35" i="42"/>
  <c r="I69" i="41"/>
  <c r="F28" i="41"/>
  <c r="I28" i="41" s="1"/>
  <c r="J28" i="41" s="1"/>
  <c r="J33" i="42" l="1"/>
  <c r="P36" i="42"/>
  <c r="F34" i="42"/>
  <c r="I34" i="42" s="1"/>
  <c r="I70" i="41"/>
  <c r="F29" i="41"/>
  <c r="I29" i="41" s="1"/>
  <c r="J29" i="41" s="1"/>
  <c r="J34" i="42" l="1"/>
  <c r="F35" i="42"/>
  <c r="I35" i="42" s="1"/>
  <c r="F36" i="42"/>
  <c r="I36" i="42" s="1"/>
  <c r="F30" i="41"/>
  <c r="I30" i="41" s="1"/>
  <c r="J30" i="41" s="1"/>
  <c r="I71" i="41"/>
  <c r="J36" i="42" l="1"/>
  <c r="J35" i="42"/>
  <c r="F31" i="41"/>
  <c r="I31" i="41" s="1"/>
  <c r="J31" i="41" s="1"/>
  <c r="I72" i="41"/>
  <c r="I73" i="41" l="1"/>
  <c r="F32" i="41"/>
  <c r="I32" i="41" s="1"/>
  <c r="J32" i="41" s="1"/>
  <c r="F33" i="41" l="1"/>
  <c r="I33" i="41" s="1"/>
  <c r="J33" i="41" s="1"/>
  <c r="I74" i="41"/>
  <c r="F34" i="41" l="1"/>
  <c r="I34" i="41" s="1"/>
  <c r="J34" i="41" s="1"/>
  <c r="F35" i="41" l="1"/>
  <c r="I35" i="41" s="1"/>
  <c r="J35" i="41" s="1"/>
  <c r="F36" i="4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B27" i="40" l="1"/>
  <c r="D12" i="40"/>
  <c r="D13" i="40" s="1"/>
  <c r="F11" i="40"/>
  <c r="C70" i="40"/>
  <c r="F12" i="40" l="1"/>
  <c r="D14" i="40"/>
  <c r="B28" i="40"/>
  <c r="C71" i="40"/>
  <c r="I11" i="40" l="1"/>
  <c r="J11" i="40" s="1"/>
  <c r="I12" i="40"/>
  <c r="J12" i="40" s="1"/>
  <c r="D15" i="40"/>
  <c r="B29" i="40"/>
  <c r="F13" i="40"/>
  <c r="I13" i="40" s="1"/>
  <c r="J13" i="40" s="1"/>
  <c r="C72" i="40"/>
  <c r="F14" i="40"/>
  <c r="I14" i="40" l="1"/>
  <c r="J14" i="40" s="1"/>
  <c r="D16" i="40"/>
  <c r="B30" i="40"/>
  <c r="C73" i="40"/>
  <c r="F15" i="40"/>
  <c r="I15" i="40" s="1"/>
  <c r="J15" i="40" s="1"/>
  <c r="D17" i="40" l="1"/>
  <c r="B31" i="40"/>
  <c r="C74" i="40"/>
  <c r="F16" i="40"/>
  <c r="I16" i="40" l="1"/>
  <c r="J16" i="40" s="1"/>
  <c r="B32" i="40"/>
  <c r="D18" i="40"/>
  <c r="F66" i="40"/>
  <c r="F17" i="40"/>
  <c r="I17" i="40" s="1"/>
  <c r="J17" i="40" s="1"/>
  <c r="B33" i="40" l="1"/>
  <c r="D19" i="40"/>
  <c r="F67" i="40"/>
  <c r="F18" i="40"/>
  <c r="I18" i="40" s="1"/>
  <c r="J18" i="40" s="1"/>
  <c r="D20" i="40" l="1"/>
  <c r="B34" i="40"/>
  <c r="F68" i="40"/>
  <c r="F19" i="40"/>
  <c r="I19" i="40" s="1"/>
  <c r="J19" i="40" s="1"/>
  <c r="D21" i="40" l="1"/>
  <c r="B35" i="40"/>
  <c r="F69" i="40"/>
  <c r="F20" i="40"/>
  <c r="I20" i="40" s="1"/>
  <c r="J20" i="40" s="1"/>
  <c r="B36" i="40" l="1"/>
  <c r="D22" i="40"/>
  <c r="F70" i="40"/>
  <c r="F21" i="40"/>
  <c r="I21" i="40" s="1"/>
  <c r="J21" i="40" s="1"/>
  <c r="D23" i="40" l="1"/>
  <c r="F71" i="40"/>
  <c r="D24" i="40" l="1"/>
  <c r="F72" i="40"/>
  <c r="D25" i="40" l="1"/>
  <c r="F73" i="40"/>
  <c r="D26" i="40" l="1"/>
  <c r="F22" i="40"/>
  <c r="I22" i="40" s="1"/>
  <c r="J22" i="40" s="1"/>
  <c r="F74" i="40"/>
  <c r="I66" i="40" l="1"/>
  <c r="F23" i="40"/>
  <c r="I23" i="40" s="1"/>
  <c r="J23" i="40" s="1"/>
  <c r="F24" i="40" l="1"/>
  <c r="I24" i="40" s="1"/>
  <c r="J24" i="40" s="1"/>
  <c r="I67" i="40"/>
  <c r="I68" i="40" l="1"/>
  <c r="F25" i="40"/>
  <c r="I25" i="40" s="1"/>
  <c r="J25" i="40" s="1"/>
  <c r="F26" i="40" l="1"/>
  <c r="I26" i="40" s="1"/>
  <c r="J26" i="40" s="1"/>
  <c r="I69" i="40"/>
  <c r="I70" i="40" l="1"/>
  <c r="F27" i="40"/>
  <c r="I27" i="40" s="1"/>
  <c r="J27" i="40" s="1"/>
  <c r="I71" i="40" l="1"/>
  <c r="F28" i="40"/>
  <c r="I28" i="40" s="1"/>
  <c r="J28" i="40" s="1"/>
  <c r="F29" i="40" l="1"/>
  <c r="I29" i="40" s="1"/>
  <c r="J29" i="40" s="1"/>
  <c r="I72" i="40"/>
  <c r="I73" i="40" l="1"/>
  <c r="F30" i="40"/>
  <c r="I30" i="40" s="1"/>
  <c r="J30" i="40" s="1"/>
  <c r="F34" i="40" l="1"/>
  <c r="F31" i="40"/>
  <c r="I31" i="40" s="1"/>
  <c r="J31" i="40" s="1"/>
  <c r="I74" i="40"/>
  <c r="I34" i="40" l="1"/>
  <c r="J34" i="40" s="1"/>
  <c r="F35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56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205" i="31" l="1"/>
  <c r="I194" i="31"/>
  <c r="I172" i="31"/>
  <c r="I64" i="31"/>
  <c r="I161" i="31"/>
  <c r="I53" i="31"/>
  <c r="I97" i="31"/>
  <c r="I217" i="31" s="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195" i="31"/>
  <c r="I151" i="31"/>
  <c r="I271" i="31" s="1"/>
  <c r="I43" i="31"/>
  <c r="I87" i="31"/>
  <c r="I162" i="31"/>
  <c r="I54" i="31"/>
  <c r="I109" i="31"/>
  <c r="I229" i="31" s="1"/>
  <c r="I184" i="31"/>
  <c r="I76" i="31"/>
  <c r="I140" i="31"/>
  <c r="I260" i="31" s="1"/>
  <c r="I21" i="31"/>
  <c r="I32" i="31"/>
  <c r="I98" i="31"/>
  <c r="I218" i="31" s="1"/>
  <c r="I173" i="31"/>
  <c r="I65" i="31"/>
  <c r="I207" i="31" l="1"/>
  <c r="I196" i="31"/>
  <c r="I152" i="31"/>
  <c r="I272" i="31" s="1"/>
  <c r="I44" i="31"/>
  <c r="I174" i="31"/>
  <c r="I66" i="31"/>
  <c r="I185" i="31"/>
  <c r="I77" i="31"/>
  <c r="I110" i="31"/>
  <c r="I230" i="31" s="1"/>
  <c r="I141" i="31"/>
  <c r="I261" i="31" s="1"/>
  <c r="I33" i="31"/>
  <c r="I22" i="31"/>
  <c r="I88" i="31"/>
  <c r="I121" i="31"/>
  <c r="I241" i="31" s="1"/>
  <c r="I99" i="31"/>
  <c r="I219" i="31" s="1"/>
  <c r="I163" i="31"/>
  <c r="I55" i="31"/>
  <c r="I197" i="31" l="1"/>
  <c r="I208" i="31"/>
  <c r="I175" i="31"/>
  <c r="I67" i="31"/>
  <c r="I100" i="31"/>
  <c r="I220" i="31" s="1"/>
  <c r="I153" i="31"/>
  <c r="I273" i="31" s="1"/>
  <c r="I45" i="31"/>
  <c r="I122" i="31"/>
  <c r="I242" i="31" s="1"/>
  <c r="I164" i="31"/>
  <c r="I56" i="31"/>
  <c r="I111" i="31"/>
  <c r="I231" i="31" s="1"/>
  <c r="I142" i="31"/>
  <c r="I262" i="31" s="1"/>
  <c r="I23" i="31"/>
  <c r="I34" i="31"/>
  <c r="I89" i="31"/>
  <c r="I186" i="31"/>
  <c r="I78" i="31"/>
  <c r="I209" i="31" l="1"/>
  <c r="I198" i="31"/>
  <c r="I90" i="31"/>
  <c r="I143" i="31"/>
  <c r="I263" i="31" s="1"/>
  <c r="I35" i="31"/>
  <c r="I24" i="31"/>
  <c r="I123" i="31"/>
  <c r="I243" i="31" s="1"/>
  <c r="I187" i="31"/>
  <c r="I79" i="31"/>
  <c r="I101" i="31"/>
  <c r="I221" i="31" s="1"/>
  <c r="I154" i="31"/>
  <c r="I274" i="31" s="1"/>
  <c r="I46" i="31"/>
  <c r="I176" i="31"/>
  <c r="I68" i="31"/>
  <c r="I165" i="31"/>
  <c r="I57" i="31"/>
  <c r="I112" i="31"/>
  <c r="I232" i="31" s="1"/>
  <c r="I199" i="31" l="1"/>
  <c r="I210" i="31"/>
  <c r="I177" i="31"/>
  <c r="I69" i="31"/>
  <c r="I188" i="31"/>
  <c r="I80" i="31"/>
  <c r="I113" i="31"/>
  <c r="I233" i="31" s="1"/>
  <c r="I91" i="31"/>
  <c r="I155" i="31"/>
  <c r="I275" i="31" s="1"/>
  <c r="I47" i="31"/>
  <c r="I124" i="31"/>
  <c r="I244" i="31" s="1"/>
  <c r="I166" i="31"/>
  <c r="I58" i="31"/>
  <c r="I144" i="31"/>
  <c r="I264" i="31" s="1"/>
  <c r="I36" i="31"/>
  <c r="I102" i="31"/>
  <c r="I222" i="31" s="1"/>
  <c r="I211" i="31" l="1"/>
  <c r="I200" i="31"/>
  <c r="I114" i="31"/>
  <c r="I234" i="31" s="1"/>
  <c r="I103" i="31"/>
  <c r="I223" i="31" s="1"/>
  <c r="I189" i="31"/>
  <c r="I81" i="31"/>
  <c r="I156" i="31"/>
  <c r="I276" i="31" s="1"/>
  <c r="I48" i="31"/>
  <c r="I178" i="31"/>
  <c r="I70" i="31"/>
  <c r="I167" i="31"/>
  <c r="I59" i="31"/>
  <c r="I125" i="31"/>
  <c r="I245" i="31" s="1"/>
  <c r="I92" i="31"/>
  <c r="I212" i="31" l="1"/>
  <c r="I201" i="31"/>
  <c r="I104" i="31"/>
  <c r="I224" i="31" s="1"/>
  <c r="I190" i="31"/>
  <c r="I82" i="31"/>
  <c r="I93" i="31"/>
  <c r="I179" i="31"/>
  <c r="I71" i="31"/>
  <c r="I168" i="31"/>
  <c r="I60" i="31"/>
  <c r="I115" i="31"/>
  <c r="I235" i="31" s="1"/>
  <c r="I126" i="31"/>
  <c r="I246" i="31" s="1"/>
  <c r="I202" i="31" l="1"/>
  <c r="I213" i="31"/>
  <c r="I127" i="31"/>
  <c r="I247" i="31" s="1"/>
  <c r="I191" i="31"/>
  <c r="I83" i="31"/>
  <c r="I105" i="31"/>
  <c r="I225" i="31" s="1"/>
  <c r="I94" i="31"/>
  <c r="I180" i="31"/>
  <c r="I72" i="31"/>
  <c r="I116" i="31"/>
  <c r="I236" i="31" s="1"/>
  <c r="I203" i="31" l="1"/>
  <c r="I214" i="31"/>
  <c r="I117" i="31"/>
  <c r="I237" i="31" s="1"/>
  <c r="I95" i="31"/>
  <c r="I128" i="31"/>
  <c r="I248" i="31" s="1"/>
  <c r="I192" i="31"/>
  <c r="I84" i="31"/>
  <c r="I106" i="31"/>
  <c r="I226" i="31" s="1"/>
  <c r="I215" i="31" l="1"/>
  <c r="I204" i="31"/>
  <c r="I118" i="31"/>
  <c r="I238" i="31" s="1"/>
  <c r="I107" i="31"/>
  <c r="I227" i="31" s="1"/>
  <c r="I96" i="31"/>
  <c r="I129" i="31"/>
  <c r="I249" i="31" s="1"/>
  <c r="I216" i="31" l="1"/>
  <c r="I119" i="31"/>
  <c r="I239" i="31" s="1"/>
  <c r="I108" i="31"/>
  <c r="I228" i="31" s="1"/>
  <c r="I130" i="31"/>
  <c r="I250" i="31" s="1"/>
  <c r="I131" i="31" l="1"/>
  <c r="I251" i="31" s="1"/>
  <c r="I120" i="31"/>
  <c r="I240" i="31" s="1"/>
  <c r="I132" i="31" l="1"/>
  <c r="I252" i="31" s="1"/>
  <c r="B59" i="25" l="1"/>
  <c r="B60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3" i="31" l="1"/>
  <c r="J134" i="31" l="1"/>
  <c r="J135" i="31" l="1"/>
  <c r="J136" i="31" l="1"/>
  <c r="J137" i="31" l="1"/>
  <c r="J138" i="31" l="1"/>
  <c r="J139" i="31" l="1"/>
  <c r="J140" i="31" l="1"/>
  <c r="J141" i="31" l="1"/>
  <c r="J142" i="31" l="1"/>
  <c r="J143" i="31" l="1"/>
  <c r="J144" i="31" l="1"/>
  <c r="J145" i="31" l="1"/>
  <c r="J146" i="31" l="1"/>
  <c r="J147" i="31" l="1"/>
  <c r="J148" i="31" l="1"/>
  <c r="J149" i="31" l="1"/>
  <c r="J150" i="31" l="1"/>
  <c r="J151" i="31" l="1"/>
  <c r="J152" i="31" l="1"/>
  <c r="J153" i="31" l="1"/>
  <c r="J154" i="31" l="1"/>
  <c r="J155" i="31" l="1"/>
  <c r="J156" i="31" l="1"/>
  <c r="J157" i="31" l="1"/>
  <c r="J158" i="31" l="1"/>
  <c r="J159" i="31" l="1"/>
  <c r="J160" i="31" l="1"/>
  <c r="J161" i="31" l="1"/>
  <c r="J162" i="31" l="1"/>
  <c r="J163" i="31" l="1"/>
  <c r="J164" i="31" l="1"/>
  <c r="J165" i="31" l="1"/>
  <c r="J166" i="31" l="1"/>
  <c r="J167" i="31" l="1"/>
  <c r="J168" i="31" l="1"/>
  <c r="J169" i="31" l="1"/>
  <c r="J170" i="31" l="1"/>
  <c r="J171" i="31" l="1"/>
  <c r="J172" i="31" l="1"/>
  <c r="J173" i="31" l="1"/>
  <c r="J174" i="31" l="1"/>
  <c r="J175" i="31" l="1"/>
  <c r="J176" i="31" l="1"/>
  <c r="J177" i="31" l="1"/>
  <c r="J178" i="31" l="1"/>
  <c r="J179" i="31" l="1"/>
  <c r="J180" i="31" l="1"/>
  <c r="J181" i="31" l="1"/>
  <c r="J182" i="31" l="1"/>
  <c r="J183" i="31" l="1"/>
  <c r="J184" i="31" l="1"/>
  <c r="J185" i="31" l="1"/>
  <c r="J186" i="31" l="1"/>
  <c r="J187" i="31" l="1"/>
  <c r="J188" i="31" l="1"/>
  <c r="J189" i="31" l="1"/>
  <c r="J190" i="31" l="1"/>
  <c r="J191" i="31" l="1"/>
  <c r="J192" i="31" l="1"/>
  <c r="J193" i="31" l="1"/>
  <c r="J194" i="31" l="1"/>
  <c r="J195" i="31" l="1"/>
  <c r="J196" i="31" l="1"/>
  <c r="J197" i="31" l="1"/>
  <c r="J198" i="31" l="1"/>
  <c r="J199" i="31" l="1"/>
  <c r="J200" i="31" l="1"/>
  <c r="J201" i="31" l="1"/>
  <c r="J202" i="31" l="1"/>
  <c r="J203" i="31" l="1"/>
  <c r="J204" i="31" l="1"/>
  <c r="J205" i="31" l="1"/>
  <c r="J206" i="31" l="1"/>
  <c r="J207" i="31" l="1"/>
  <c r="J208" i="31" l="1"/>
  <c r="J209" i="31" l="1"/>
  <c r="J210" i="31" l="1"/>
  <c r="J211" i="31" l="1"/>
  <c r="J212" i="31" l="1"/>
  <c r="J213" i="31" l="1"/>
  <c r="J214" i="31" l="1"/>
  <c r="J215" i="31" l="1"/>
  <c r="J217" i="31" l="1"/>
  <c r="J216" i="31"/>
  <c r="J218" i="31" l="1"/>
  <c r="J219" i="31" l="1"/>
  <c r="J265" i="31"/>
  <c r="J220" i="31" l="1"/>
  <c r="J266" i="31"/>
  <c r="J221" i="31" l="1"/>
  <c r="J267" i="31"/>
  <c r="J222" i="31" l="1"/>
  <c r="J268" i="31"/>
  <c r="J223" i="31" l="1"/>
  <c r="J269" i="31"/>
  <c r="J224" i="31" l="1"/>
  <c r="J270" i="31"/>
  <c r="J225" i="31" l="1"/>
  <c r="J271" i="31"/>
  <c r="J226" i="31" l="1"/>
  <c r="J272" i="31"/>
  <c r="J227" i="31" l="1"/>
  <c r="J273" i="31"/>
  <c r="J228" i="31" l="1"/>
  <c r="J274" i="31"/>
  <c r="J229" i="31" l="1"/>
  <c r="J275" i="31"/>
  <c r="J276" i="3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 l="1"/>
  <c r="J241" i="31" l="1"/>
  <c r="J242" i="31" l="1"/>
  <c r="K264" i="31"/>
  <c r="J243" i="31" l="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44" i="31" l="1"/>
  <c r="J245" i="31" l="1"/>
  <c r="J246" i="31" l="1"/>
  <c r="J247" i="31" l="1"/>
  <c r="J248" i="31" l="1"/>
  <c r="J249" i="31" l="1"/>
  <c r="J250" i="31" l="1"/>
  <c r="J251" i="31" l="1"/>
  <c r="J252" i="31" l="1"/>
  <c r="J253" i="31" l="1"/>
  <c r="J254" i="31" l="1"/>
  <c r="J255" i="31" l="1"/>
  <c r="J256" i="31" l="1"/>
  <c r="J257" i="31" l="1"/>
  <c r="J258" i="31" l="1"/>
  <c r="J259" i="31" l="1"/>
  <c r="J260" i="31" l="1"/>
  <c r="J261" i="31" l="1"/>
  <c r="J262" i="31" l="1"/>
  <c r="J263" i="31"/>
  <c r="K253" i="31" l="1"/>
  <c r="K259" i="31"/>
  <c r="K262" i="31"/>
  <c r="K261" i="31"/>
  <c r="K260" i="31"/>
  <c r="K254" i="31"/>
  <c r="K258" i="31"/>
  <c r="K255" i="31"/>
  <c r="K257" i="31"/>
  <c r="K263" i="31"/>
  <c r="K256" i="31"/>
  <c r="A37" i="25" l="1"/>
  <c r="A51" i="25" l="1"/>
  <c r="Q6" i="31" l="1"/>
  <c r="K192" i="31" l="1"/>
  <c r="K137" i="31"/>
  <c r="K170" i="31"/>
  <c r="K213" i="31"/>
  <c r="K142" i="31"/>
  <c r="K174" i="31"/>
  <c r="K189" i="31"/>
  <c r="K201" i="31"/>
  <c r="K219" i="31"/>
  <c r="K138" i="31"/>
  <c r="K152" i="31"/>
  <c r="K171" i="31"/>
  <c r="K181" i="31"/>
  <c r="K196" i="31"/>
  <c r="K215" i="31"/>
  <c r="K226" i="31"/>
  <c r="K136" i="31"/>
  <c r="K154" i="31"/>
  <c r="K166" i="31"/>
  <c r="K177" i="31"/>
  <c r="K194" i="31"/>
  <c r="K206" i="31"/>
  <c r="K217" i="31"/>
  <c r="K139" i="31"/>
  <c r="K151" i="31"/>
  <c r="K165" i="31"/>
  <c r="K187" i="31"/>
  <c r="K202" i="31"/>
  <c r="K218" i="31"/>
  <c r="K179" i="31"/>
  <c r="K222" i="31"/>
  <c r="K141" i="31"/>
  <c r="K158" i="31"/>
  <c r="K175" i="31"/>
  <c r="K184" i="31"/>
  <c r="K200" i="31"/>
  <c r="K140" i="31"/>
  <c r="K157" i="31"/>
  <c r="K168" i="31"/>
  <c r="K199" i="31"/>
  <c r="K210" i="31"/>
  <c r="K221" i="31"/>
  <c r="K143" i="31"/>
  <c r="K155" i="31"/>
  <c r="K172" i="31"/>
  <c r="K190" i="31"/>
  <c r="K204" i="31"/>
  <c r="K225" i="31"/>
  <c r="K160" i="31"/>
  <c r="K134" i="31"/>
  <c r="K148" i="31"/>
  <c r="K164" i="31"/>
  <c r="K182" i="31"/>
  <c r="K193" i="31"/>
  <c r="K208" i="31"/>
  <c r="K228" i="31"/>
  <c r="K163" i="31"/>
  <c r="K178" i="31"/>
  <c r="K191" i="31"/>
  <c r="K207" i="31"/>
  <c r="K220" i="31"/>
  <c r="K147" i="31"/>
  <c r="K159" i="31"/>
  <c r="K169" i="31"/>
  <c r="K185" i="31"/>
  <c r="K203" i="31"/>
  <c r="K214" i="31"/>
  <c r="K224" i="31"/>
  <c r="K145" i="31"/>
  <c r="K156" i="31"/>
  <c r="K176" i="31"/>
  <c r="K195" i="31"/>
  <c r="K209" i="31"/>
  <c r="K227" i="31"/>
  <c r="K144" i="31"/>
  <c r="K153" i="31"/>
  <c r="K186" i="31"/>
  <c r="K197" i="31"/>
  <c r="K133" i="31"/>
  <c r="K149" i="31"/>
  <c r="K167" i="31"/>
  <c r="K180" i="31"/>
  <c r="K211" i="31"/>
  <c r="K223" i="31"/>
  <c r="K150" i="31"/>
  <c r="K162" i="31"/>
  <c r="K173" i="31"/>
  <c r="K188" i="31"/>
  <c r="K205" i="31"/>
  <c r="K216" i="31"/>
  <c r="K135" i="31"/>
  <c r="K146" i="31"/>
  <c r="K161" i="31"/>
  <c r="K183" i="31"/>
  <c r="K198" i="31"/>
  <c r="K212" i="31"/>
  <c r="K237" i="31" l="1"/>
  <c r="K230" i="31"/>
  <c r="K229" i="31"/>
  <c r="K235" i="31"/>
  <c r="K239" i="31"/>
  <c r="K232" i="31"/>
  <c r="K233" i="31"/>
  <c r="K236" i="31"/>
  <c r="K240" i="31"/>
  <c r="K234" i="31"/>
  <c r="K238" i="31"/>
  <c r="K231" i="31"/>
  <c r="K247" i="31" l="1"/>
  <c r="K241" i="31"/>
  <c r="K248" i="31"/>
  <c r="K252" i="31"/>
  <c r="K249" i="31"/>
  <c r="K244" i="31"/>
  <c r="K245" i="31"/>
  <c r="K243" i="31"/>
  <c r="K250" i="31"/>
  <c r="K246" i="31"/>
  <c r="K251" i="31"/>
  <c r="K242" i="31"/>
  <c r="E54" i="25" l="1"/>
  <c r="G54" i="25" l="1"/>
  <c r="E44" i="25" l="1"/>
  <c r="G44" i="25" l="1"/>
  <c r="B23" i="66" l="1"/>
  <c r="B24" i="66" l="1"/>
  <c r="B25" i="66" l="1"/>
  <c r="B26" i="66" l="1"/>
  <c r="B27" i="66" l="1"/>
  <c r="B28" i="66" l="1"/>
  <c r="B29" i="66" l="1"/>
  <c r="B30" i="66" l="1"/>
  <c r="G25" i="66" l="1"/>
  <c r="O25" i="66"/>
  <c r="I29" i="66"/>
  <c r="L27" i="66"/>
  <c r="I23" i="66"/>
  <c r="M24" i="66"/>
  <c r="F24" i="66"/>
  <c r="N24" i="66"/>
  <c r="N29" i="66"/>
  <c r="H25" i="66"/>
  <c r="L26" i="66"/>
  <c r="K23" i="66"/>
  <c r="F28" i="66"/>
  <c r="I27" i="66"/>
  <c r="K30" i="66"/>
  <c r="L25" i="66"/>
  <c r="O23" i="66"/>
  <c r="N25" i="66"/>
  <c r="G29" i="66"/>
  <c r="J23" i="66"/>
  <c r="M25" i="66"/>
  <c r="I26" i="66"/>
  <c r="L24" i="66"/>
  <c r="M28" i="66"/>
  <c r="M23" i="66"/>
  <c r="H24" i="66"/>
  <c r="G30" i="66"/>
  <c r="F25" i="66"/>
  <c r="F29" i="66"/>
  <c r="L29" i="66"/>
  <c r="O27" i="66"/>
  <c r="G28" i="66"/>
  <c r="O24" i="66"/>
  <c r="J28" i="66"/>
  <c r="N26" i="66"/>
  <c r="H26" i="66"/>
  <c r="H28" i="66"/>
  <c r="H23" i="66"/>
  <c r="H29" i="66"/>
  <c r="N23" i="66"/>
  <c r="N27" i="66"/>
  <c r="H30" i="66"/>
  <c r="K27" i="66"/>
  <c r="E27" i="66"/>
  <c r="O26" i="66"/>
  <c r="N28" i="66"/>
  <c r="G23" i="66"/>
  <c r="F27" i="66"/>
  <c r="L28" i="66"/>
  <c r="J25" i="66"/>
  <c r="H27" i="66"/>
  <c r="E30" i="66"/>
  <c r="E28" i="66"/>
  <c r="J27" i="66"/>
  <c r="O29" i="66"/>
  <c r="F23" i="66"/>
  <c r="E25" i="66"/>
  <c r="E26" i="66"/>
  <c r="O28" i="66"/>
  <c r="I30" i="66"/>
  <c r="I25" i="66"/>
  <c r="M30" i="66"/>
  <c r="M26" i="66"/>
  <c r="L23" i="66"/>
  <c r="G27" i="66"/>
  <c r="J30" i="66"/>
  <c r="N30" i="66"/>
  <c r="G24" i="66"/>
  <c r="I28" i="66"/>
  <c r="K25" i="66"/>
  <c r="I24" i="66"/>
  <c r="E29" i="66"/>
  <c r="E24" i="66"/>
  <c r="M27" i="66"/>
  <c r="G26" i="66"/>
  <c r="E23" i="66"/>
  <c r="J29" i="66"/>
  <c r="J24" i="66"/>
  <c r="L30" i="66"/>
  <c r="F30" i="66"/>
  <c r="F26" i="66"/>
  <c r="K26" i="66"/>
  <c r="J26" i="66"/>
  <c r="K29" i="66"/>
  <c r="K24" i="66"/>
  <c r="O30" i="66"/>
  <c r="K28" i="66"/>
  <c r="M29" i="66"/>
  <c r="D23" i="66" l="1"/>
  <c r="D24" i="66"/>
  <c r="D26" i="66"/>
  <c r="D25" i="66"/>
  <c r="D28" i="66"/>
  <c r="D29" i="66"/>
  <c r="D27" i="66"/>
  <c r="D30" i="66"/>
  <c r="C24" i="66"/>
  <c r="C26" i="66" l="1"/>
  <c r="C29" i="66"/>
  <c r="C25" i="66"/>
  <c r="C27" i="66"/>
  <c r="C28" i="66"/>
  <c r="C30" i="66"/>
  <c r="C23" i="66"/>
  <c r="M14" i="31" l="1"/>
  <c r="B13" i="31" l="1"/>
  <c r="B14" i="31" l="1"/>
  <c r="J13" i="31"/>
  <c r="B13" i="25" s="1"/>
  <c r="L16" i="31"/>
  <c r="L14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O13" i="25"/>
  <c r="B14" i="25"/>
  <c r="J14" i="31"/>
  <c r="B15" i="31"/>
  <c r="B13" i="66" l="1"/>
  <c r="J15" i="31"/>
  <c r="B16" i="31"/>
  <c r="AL13" i="25"/>
  <c r="AS13" i="25"/>
  <c r="BC13" i="25"/>
  <c r="AV13" i="25"/>
  <c r="AX13" i="25"/>
  <c r="BR13" i="25"/>
  <c r="BY13" i="25"/>
  <c r="BJ13" i="25"/>
  <c r="CW13" i="25"/>
  <c r="CX13" i="25" s="1"/>
  <c r="CY13" i="25" s="1"/>
  <c r="BT13" i="25"/>
  <c r="BK13" i="25"/>
  <c r="BV13" i="25"/>
  <c r="BH13" i="25"/>
  <c r="AZ13" i="25"/>
  <c r="AQ13" i="25"/>
  <c r="AO13" i="25"/>
  <c r="AW13" i="25"/>
  <c r="AM13" i="25"/>
  <c r="BN13" i="25"/>
  <c r="BI13" i="25"/>
  <c r="AU13" i="25"/>
  <c r="BD13" i="25"/>
  <c r="AR13" i="25"/>
  <c r="BB13" i="25"/>
  <c r="BF13" i="25"/>
  <c r="BQ13" i="25"/>
  <c r="BU13" i="25"/>
  <c r="BG13" i="25"/>
  <c r="BP13" i="25"/>
  <c r="BX13" i="25"/>
  <c r="AP13" i="25"/>
  <c r="AY13" i="25"/>
  <c r="BA13" i="25"/>
  <c r="AN13" i="25"/>
  <c r="AT13" i="25"/>
  <c r="BO13" i="25"/>
  <c r="BW13" i="25"/>
  <c r="BS13" i="25"/>
  <c r="BM13" i="25"/>
  <c r="BL13" i="25"/>
  <c r="B15" i="25"/>
  <c r="O14" i="25"/>
  <c r="L27" i="31"/>
  <c r="CJ13" i="25" l="1"/>
  <c r="CF13" i="25"/>
  <c r="CH13" i="25"/>
  <c r="CE13" i="25"/>
  <c r="CL13" i="25"/>
  <c r="B17" i="31"/>
  <c r="J16" i="31"/>
  <c r="L28" i="31"/>
  <c r="CD13" i="25"/>
  <c r="AK13" i="25"/>
  <c r="CG13" i="25"/>
  <c r="CS13" i="25"/>
  <c r="AO14" i="25"/>
  <c r="BC14" i="25"/>
  <c r="AU14" i="25"/>
  <c r="AM14" i="25"/>
  <c r="AX14" i="25"/>
  <c r="BT14" i="25"/>
  <c r="BY14" i="25"/>
  <c r="BN14" i="25"/>
  <c r="BU14" i="25"/>
  <c r="BD14" i="25"/>
  <c r="AK14" i="25"/>
  <c r="AW14" i="25"/>
  <c r="BA14" i="25"/>
  <c r="AP14" i="25"/>
  <c r="BJ14" i="25"/>
  <c r="BG14" i="25"/>
  <c r="BM14" i="25"/>
  <c r="BP14" i="25"/>
  <c r="AY14" i="25"/>
  <c r="CO14" i="25" s="1"/>
  <c r="AZ14" i="25"/>
  <c r="AR14" i="25"/>
  <c r="AV14" i="25"/>
  <c r="AT14" i="25"/>
  <c r="BX14" i="25"/>
  <c r="CS14" i="25" s="1"/>
  <c r="BV14" i="25"/>
  <c r="CQ14" i="25" s="1"/>
  <c r="AS14" i="25"/>
  <c r="AL14" i="25"/>
  <c r="AN14" i="25"/>
  <c r="AQ14" i="25"/>
  <c r="BB14" i="25"/>
  <c r="BQ14" i="25"/>
  <c r="CL14" i="25" s="1"/>
  <c r="BK14" i="25"/>
  <c r="CF14" i="25" s="1"/>
  <c r="BO14" i="25"/>
  <c r="CJ14" i="25" s="1"/>
  <c r="BS14" i="25"/>
  <c r="BF14" i="25"/>
  <c r="BI14" i="25"/>
  <c r="CD14" i="25" s="1"/>
  <c r="BH14" i="25"/>
  <c r="CC14" i="25" s="1"/>
  <c r="BW14" i="25"/>
  <c r="CW14" i="25"/>
  <c r="CX14" i="25" s="1"/>
  <c r="CY14" i="25" s="1"/>
  <c r="BR14" i="25"/>
  <c r="CM14" i="25" s="1"/>
  <c r="BL14" i="25"/>
  <c r="CG14" i="25" s="1"/>
  <c r="CQ13" i="25"/>
  <c r="CT13" i="25"/>
  <c r="CT14" i="25"/>
  <c r="CC13" i="25"/>
  <c r="CP13" i="25"/>
  <c r="CP14" i="25"/>
  <c r="CI13" i="25"/>
  <c r="O15" i="25"/>
  <c r="B16" i="25"/>
  <c r="CO13" i="25"/>
  <c r="CR13" i="25"/>
  <c r="CR14" i="25"/>
  <c r="CK13" i="25"/>
  <c r="CM13" i="25"/>
  <c r="CN13" i="25"/>
  <c r="CN14" i="25"/>
  <c r="CB13" i="25"/>
  <c r="CB14" i="25" l="1"/>
  <c r="CI14" i="25"/>
  <c r="CK14" i="25"/>
  <c r="CH14" i="25"/>
  <c r="CE14" i="25"/>
  <c r="O16" i="25"/>
  <c r="B17" i="25"/>
  <c r="BD15" i="25"/>
  <c r="AN15" i="25"/>
  <c r="AM15" i="25"/>
  <c r="AU15" i="25"/>
  <c r="BS15" i="25"/>
  <c r="BM15" i="25"/>
  <c r="BW15" i="25"/>
  <c r="BF15" i="25"/>
  <c r="BQ15" i="25"/>
  <c r="BX15" i="25"/>
  <c r="BV15" i="25"/>
  <c r="BL15" i="25"/>
  <c r="BI15" i="25"/>
  <c r="CD15" i="25" s="1"/>
  <c r="BC15" i="25"/>
  <c r="BA15" i="25"/>
  <c r="AY15" i="25"/>
  <c r="AP15" i="25"/>
  <c r="AT15" i="25"/>
  <c r="BT15" i="25"/>
  <c r="AW15" i="25"/>
  <c r="AV15" i="25"/>
  <c r="AO15" i="25"/>
  <c r="AL15" i="25"/>
  <c r="AX15" i="25"/>
  <c r="BU15" i="25"/>
  <c r="CP15" i="25" s="1"/>
  <c r="BP15" i="25"/>
  <c r="CK15" i="25" s="1"/>
  <c r="CW15" i="25"/>
  <c r="CX15" i="25" s="1"/>
  <c r="CY15" i="25" s="1"/>
  <c r="BR15" i="25"/>
  <c r="CM15" i="25" s="1"/>
  <c r="BG15" i="25"/>
  <c r="CB15" i="25" s="1"/>
  <c r="AR15" i="25"/>
  <c r="AQ15" i="25"/>
  <c r="AZ15" i="25"/>
  <c r="AS15" i="25"/>
  <c r="BB15" i="25"/>
  <c r="BO15" i="25"/>
  <c r="BY15" i="25"/>
  <c r="CT15" i="25" s="1"/>
  <c r="BJ15" i="25"/>
  <c r="BN15" i="25"/>
  <c r="BH15" i="25"/>
  <c r="BK15" i="25"/>
  <c r="L29" i="31"/>
  <c r="CA13" i="25"/>
  <c r="CU13" i="25" s="1"/>
  <c r="C13" i="25" s="1"/>
  <c r="CA14" i="25"/>
  <c r="CU14" i="25" s="1"/>
  <c r="C14" i="25" s="1"/>
  <c r="J17" i="31"/>
  <c r="B18" i="31"/>
  <c r="CC15" i="25" l="1"/>
  <c r="CJ15" i="25"/>
  <c r="CO15" i="25"/>
  <c r="CE15" i="25"/>
  <c r="CN15" i="25"/>
  <c r="CL15" i="25"/>
  <c r="CF15" i="25"/>
  <c r="CG15" i="25"/>
  <c r="AK15" i="25"/>
  <c r="CA15" i="25" s="1"/>
  <c r="CQ15" i="25"/>
  <c r="CR15" i="25"/>
  <c r="CI15" i="25"/>
  <c r="CS15" i="25"/>
  <c r="CH15" i="25"/>
  <c r="B14" i="66"/>
  <c r="B19" i="31"/>
  <c r="J18" i="31"/>
  <c r="B18" i="25"/>
  <c r="O17" i="25"/>
  <c r="L30" i="31"/>
  <c r="AS16" i="25"/>
  <c r="AW16" i="25"/>
  <c r="AV16" i="25"/>
  <c r="AP16" i="25"/>
  <c r="BW16" i="25"/>
  <c r="BY16" i="25"/>
  <c r="AZ16" i="25"/>
  <c r="BH16" i="25"/>
  <c r="BF16" i="25"/>
  <c r="CA16" i="25" s="1"/>
  <c r="AO16" i="25"/>
  <c r="AR16" i="25"/>
  <c r="AQ16" i="25"/>
  <c r="BK16" i="25"/>
  <c r="CF16" i="25" s="1"/>
  <c r="BT16" i="25"/>
  <c r="BU16" i="25"/>
  <c r="CP16" i="25" s="1"/>
  <c r="BP16" i="25"/>
  <c r="CK16" i="25" s="1"/>
  <c r="BM16" i="25"/>
  <c r="BD16" i="25"/>
  <c r="AK16" i="25"/>
  <c r="AN16" i="25"/>
  <c r="AM16" i="25"/>
  <c r="AU16" i="25"/>
  <c r="BQ16" i="25"/>
  <c r="CL16" i="25" s="1"/>
  <c r="BN16" i="25"/>
  <c r="AY16" i="25"/>
  <c r="BC16" i="25"/>
  <c r="BA16" i="25"/>
  <c r="AL16" i="25"/>
  <c r="AX16" i="25"/>
  <c r="BJ16" i="25"/>
  <c r="CE16" i="25" s="1"/>
  <c r="BS16" i="25"/>
  <c r="BR16" i="25"/>
  <c r="CM16" i="25" s="1"/>
  <c r="CW16" i="25"/>
  <c r="CX16" i="25" s="1"/>
  <c r="CY16" i="25" s="1"/>
  <c r="BI16" i="25"/>
  <c r="BO16" i="25"/>
  <c r="BB16" i="25"/>
  <c r="BL16" i="25"/>
  <c r="CG16" i="25" s="1"/>
  <c r="BV16" i="25"/>
  <c r="BG16" i="25"/>
  <c r="AT16" i="25"/>
  <c r="BX16" i="25"/>
  <c r="CS16" i="25" s="1"/>
  <c r="CR16" i="25" l="1"/>
  <c r="CB16" i="25"/>
  <c r="CJ16" i="25"/>
  <c r="CU15" i="25"/>
  <c r="C15" i="25" s="1"/>
  <c r="CI16" i="25"/>
  <c r="CC16" i="25"/>
  <c r="CH16" i="25"/>
  <c r="CN16" i="25"/>
  <c r="CQ16" i="25"/>
  <c r="CD16" i="25"/>
  <c r="CO16" i="25"/>
  <c r="CT16" i="25"/>
  <c r="B15" i="66"/>
  <c r="AN17" i="25"/>
  <c r="AM17" i="25"/>
  <c r="AL17" i="25"/>
  <c r="AS17" i="25"/>
  <c r="AX17" i="25"/>
  <c r="BC17" i="25"/>
  <c r="BA17" i="25"/>
  <c r="AZ17" i="25"/>
  <c r="BD17" i="25"/>
  <c r="AO17" i="25"/>
  <c r="BU17" i="25"/>
  <c r="CP17" i="25" s="1"/>
  <c r="BX17" i="25"/>
  <c r="BJ17" i="25"/>
  <c r="BS17" i="25"/>
  <c r="CN17" i="25" s="1"/>
  <c r="BG17" i="25"/>
  <c r="CB17" i="25" s="1"/>
  <c r="AW17" i="25"/>
  <c r="AV17" i="25"/>
  <c r="AU17" i="25"/>
  <c r="AK17" i="25"/>
  <c r="BB17" i="25"/>
  <c r="BN17" i="25"/>
  <c r="CI17" i="25" s="1"/>
  <c r="CW17" i="25"/>
  <c r="CX17" i="25" s="1"/>
  <c r="CY17" i="25" s="1"/>
  <c r="BM17" i="25"/>
  <c r="BF17" i="25"/>
  <c r="BH17" i="25"/>
  <c r="BK17" i="25"/>
  <c r="BY17" i="25"/>
  <c r="CT17" i="25" s="1"/>
  <c r="BR17" i="25"/>
  <c r="CM17" i="25" s="1"/>
  <c r="BL17" i="25"/>
  <c r="BW17" i="25"/>
  <c r="CR17" i="25" s="1"/>
  <c r="BT17" i="25"/>
  <c r="CO17" i="25" s="1"/>
  <c r="BP17" i="25"/>
  <c r="AR17" i="25"/>
  <c r="AQ17" i="25"/>
  <c r="AP17" i="25"/>
  <c r="AY17" i="25"/>
  <c r="AT17" i="25"/>
  <c r="BV17" i="25"/>
  <c r="BI17" i="25"/>
  <c r="CD17" i="25" s="1"/>
  <c r="BQ17" i="25"/>
  <c r="BO17" i="25"/>
  <c r="CJ17" i="25" s="1"/>
  <c r="B20" i="31"/>
  <c r="J19" i="31"/>
  <c r="O18" i="25"/>
  <c r="B19" i="25"/>
  <c r="L31" i="31"/>
  <c r="CH17" i="25" l="1"/>
  <c r="CL17" i="25"/>
  <c r="CU16" i="25"/>
  <c r="C16" i="25" s="1"/>
  <c r="CQ17" i="25"/>
  <c r="CG17" i="25"/>
  <c r="CC17" i="25"/>
  <c r="CE17" i="25"/>
  <c r="CF17" i="25"/>
  <c r="CK17" i="25"/>
  <c r="CA17" i="25"/>
  <c r="CS17" i="25"/>
  <c r="O19" i="25"/>
  <c r="B20" i="25"/>
  <c r="L32" i="31"/>
  <c r="BA18" i="25"/>
  <c r="AZ18" i="25"/>
  <c r="BD18" i="25"/>
  <c r="AK18" i="25"/>
  <c r="AR18" i="25"/>
  <c r="BV18" i="25"/>
  <c r="CQ18" i="25" s="1"/>
  <c r="BO18" i="25"/>
  <c r="BF18" i="25"/>
  <c r="CA18" i="25" s="1"/>
  <c r="BX18" i="25"/>
  <c r="BW18" i="25"/>
  <c r="BQ18" i="25"/>
  <c r="BN18" i="25"/>
  <c r="BH18" i="25"/>
  <c r="BG18" i="25"/>
  <c r="BR18" i="25"/>
  <c r="AV18" i="25"/>
  <c r="AU18" i="25"/>
  <c r="AY18" i="25"/>
  <c r="BC18" i="25"/>
  <c r="AT18" i="25"/>
  <c r="BY18" i="25"/>
  <c r="BU18" i="25"/>
  <c r="CP18" i="25" s="1"/>
  <c r="CW18" i="25"/>
  <c r="CX18" i="25" s="1"/>
  <c r="CY18" i="25" s="1"/>
  <c r="AQ18" i="25"/>
  <c r="AP18" i="25"/>
  <c r="AS18" i="25"/>
  <c r="AW18" i="25"/>
  <c r="BB18" i="25"/>
  <c r="BL18" i="25"/>
  <c r="AM18" i="25"/>
  <c r="AL18" i="25"/>
  <c r="AO18" i="25"/>
  <c r="AN18" i="25"/>
  <c r="AX18" i="25"/>
  <c r="BP18" i="25"/>
  <c r="BT18" i="25"/>
  <c r="BI18" i="25"/>
  <c r="BM18" i="25"/>
  <c r="CH18" i="25" s="1"/>
  <c r="BS18" i="25"/>
  <c r="BJ18" i="25"/>
  <c r="CE18" i="25" s="1"/>
  <c r="BK18" i="25"/>
  <c r="CF18" i="25" s="1"/>
  <c r="J20" i="31"/>
  <c r="B21" i="31"/>
  <c r="B16" i="66"/>
  <c r="CB18" i="25" l="1"/>
  <c r="CR18" i="25"/>
  <c r="CG18" i="25"/>
  <c r="CT18" i="25"/>
  <c r="CS18" i="25"/>
  <c r="CC18" i="25"/>
  <c r="CO18" i="25"/>
  <c r="CI18" i="25"/>
  <c r="CU17" i="25"/>
  <c r="C17" i="25" s="1"/>
  <c r="CD18" i="25"/>
  <c r="CN18" i="25"/>
  <c r="CK18" i="25"/>
  <c r="CM18" i="25"/>
  <c r="CL18" i="25"/>
  <c r="CJ18" i="25"/>
  <c r="B22" i="31"/>
  <c r="J21" i="31"/>
  <c r="L33" i="31"/>
  <c r="B17" i="66"/>
  <c r="B21" i="25"/>
  <c r="O20" i="25"/>
  <c r="AZ19" i="25"/>
  <c r="BD19" i="25"/>
  <c r="AK19" i="25"/>
  <c r="AN19" i="25"/>
  <c r="AQ19" i="25"/>
  <c r="BF19" i="25"/>
  <c r="BX19" i="25"/>
  <c r="BQ19" i="25"/>
  <c r="BT19" i="25"/>
  <c r="BS19" i="25"/>
  <c r="BV19" i="25"/>
  <c r="BY19" i="25"/>
  <c r="CT19" i="25" s="1"/>
  <c r="AX19" i="25"/>
  <c r="AU19" i="25"/>
  <c r="AY19" i="25"/>
  <c r="BC19" i="25"/>
  <c r="BA19" i="25"/>
  <c r="AT19" i="25"/>
  <c r="BU19" i="25"/>
  <c r="BL19" i="25"/>
  <c r="BJ19" i="25"/>
  <c r="BH19" i="25"/>
  <c r="BW19" i="25"/>
  <c r="BK19" i="25"/>
  <c r="AP19" i="25"/>
  <c r="AS19" i="25"/>
  <c r="AW19" i="25"/>
  <c r="AM19" i="25"/>
  <c r="AL19" i="25"/>
  <c r="AO19" i="25"/>
  <c r="AR19" i="25"/>
  <c r="AV19" i="25"/>
  <c r="BB19" i="25"/>
  <c r="BN19" i="25"/>
  <c r="CI19" i="25" s="1"/>
  <c r="BR19" i="25"/>
  <c r="CM19" i="25" s="1"/>
  <c r="BO19" i="25"/>
  <c r="CJ19" i="25" s="1"/>
  <c r="BI19" i="25"/>
  <c r="BP19" i="25"/>
  <c r="CK19" i="25" s="1"/>
  <c r="BM19" i="25"/>
  <c r="CH19" i="25" s="1"/>
  <c r="BG19" i="25"/>
  <c r="CW19" i="25"/>
  <c r="CX19" i="25" s="1"/>
  <c r="CY19" i="25" s="1"/>
  <c r="CB19" i="25" l="1"/>
  <c r="CF19" i="25"/>
  <c r="CG19" i="25"/>
  <c r="CR19" i="25"/>
  <c r="CP19" i="25"/>
  <c r="CQ19" i="25"/>
  <c r="CN19" i="25"/>
  <c r="CA19" i="25"/>
  <c r="CU18" i="25"/>
  <c r="C18" i="25" s="1"/>
  <c r="CS19" i="25"/>
  <c r="CL19" i="25"/>
  <c r="CC19" i="25"/>
  <c r="CD19" i="25"/>
  <c r="CE19" i="25"/>
  <c r="CO19" i="25"/>
  <c r="B18" i="66"/>
  <c r="BD20" i="25"/>
  <c r="AK20" i="25"/>
  <c r="AN20" i="25"/>
  <c r="AM20" i="25"/>
  <c r="AL20" i="25"/>
  <c r="BJ20" i="25"/>
  <c r="BR20" i="25"/>
  <c r="BL20" i="25"/>
  <c r="BF20" i="25"/>
  <c r="BN20" i="25"/>
  <c r="BH20" i="25"/>
  <c r="BI20" i="25"/>
  <c r="CD20" i="25" s="1"/>
  <c r="BQ20" i="25"/>
  <c r="BT20" i="25"/>
  <c r="BY20" i="25"/>
  <c r="CW20" i="25"/>
  <c r="CX20" i="25" s="1"/>
  <c r="CY20" i="25" s="1"/>
  <c r="AY20" i="25"/>
  <c r="BC20" i="25"/>
  <c r="BA20" i="25"/>
  <c r="AZ20" i="25"/>
  <c r="AX20" i="25"/>
  <c r="BV20" i="25"/>
  <c r="BK20" i="25"/>
  <c r="BO20" i="25"/>
  <c r="BW20" i="25"/>
  <c r="CR20" i="25" s="1"/>
  <c r="BM20" i="25"/>
  <c r="AS20" i="25"/>
  <c r="AW20" i="25"/>
  <c r="AV20" i="25"/>
  <c r="AU20" i="25"/>
  <c r="BB20" i="25"/>
  <c r="BX20" i="25"/>
  <c r="BG20" i="25"/>
  <c r="CB20" i="25" s="1"/>
  <c r="BU20" i="25"/>
  <c r="CP20" i="25" s="1"/>
  <c r="BP20" i="25"/>
  <c r="BS20" i="25"/>
  <c r="AO20" i="25"/>
  <c r="AR20" i="25"/>
  <c r="AQ20" i="25"/>
  <c r="AP20" i="25"/>
  <c r="AT20" i="25"/>
  <c r="J22" i="31"/>
  <c r="B23" i="31"/>
  <c r="O21" i="25"/>
  <c r="B22" i="25"/>
  <c r="L34" i="31"/>
  <c r="CS20" i="25" l="1"/>
  <c r="CA20" i="25"/>
  <c r="CK20" i="25"/>
  <c r="CC20" i="25"/>
  <c r="CU19" i="25"/>
  <c r="C19" i="25" s="1"/>
  <c r="CF20" i="25"/>
  <c r="CT20" i="25"/>
  <c r="CM20" i="25"/>
  <c r="CH20" i="25"/>
  <c r="CQ20" i="25"/>
  <c r="CO20" i="25"/>
  <c r="CI20" i="25"/>
  <c r="CE20" i="25"/>
  <c r="CL20" i="25"/>
  <c r="CN20" i="25"/>
  <c r="CJ20" i="25"/>
  <c r="CG20" i="25"/>
  <c r="L35" i="31"/>
  <c r="B24" i="31"/>
  <c r="J23" i="31"/>
  <c r="B19" i="66"/>
  <c r="O22" i="25"/>
  <c r="B23" i="25"/>
  <c r="BC21" i="25"/>
  <c r="BA21" i="25"/>
  <c r="AZ21" i="25"/>
  <c r="AY21" i="25"/>
  <c r="AO21" i="25"/>
  <c r="BU21" i="25"/>
  <c r="BI21" i="25"/>
  <c r="BW21" i="25"/>
  <c r="BX21" i="25"/>
  <c r="CS21" i="25" s="1"/>
  <c r="AW21" i="25"/>
  <c r="AV21" i="25"/>
  <c r="AU21" i="25"/>
  <c r="BD21" i="25"/>
  <c r="BB21" i="25"/>
  <c r="BO21" i="25"/>
  <c r="BQ21" i="25"/>
  <c r="BS21" i="25"/>
  <c r="BJ21" i="25"/>
  <c r="CE21" i="25" s="1"/>
  <c r="BM21" i="25"/>
  <c r="BP21" i="25"/>
  <c r="CK21" i="25" s="1"/>
  <c r="CW21" i="25"/>
  <c r="CX21" i="25" s="1"/>
  <c r="CY21" i="25" s="1"/>
  <c r="BT21" i="25"/>
  <c r="CO21" i="25" s="1"/>
  <c r="AR21" i="25"/>
  <c r="AQ21" i="25"/>
  <c r="AP21" i="25"/>
  <c r="AS21" i="25"/>
  <c r="AN21" i="25"/>
  <c r="AM21" i="25"/>
  <c r="AL21" i="25"/>
  <c r="AK21" i="25"/>
  <c r="AT21" i="25"/>
  <c r="BH21" i="25"/>
  <c r="CC21" i="25" s="1"/>
  <c r="BY21" i="25"/>
  <c r="CT21" i="25" s="1"/>
  <c r="BN21" i="25"/>
  <c r="CI21" i="25" s="1"/>
  <c r="BV21" i="25"/>
  <c r="CQ21" i="25" s="1"/>
  <c r="BL21" i="25"/>
  <c r="CG21" i="25" s="1"/>
  <c r="BK21" i="25"/>
  <c r="CF21" i="25" s="1"/>
  <c r="BG21" i="25"/>
  <c r="CB21" i="25" s="1"/>
  <c r="BF21" i="25"/>
  <c r="CA21" i="25" s="1"/>
  <c r="AX21" i="25"/>
  <c r="BR21" i="25"/>
  <c r="CM21" i="25" s="1"/>
  <c r="CP21" i="25" l="1"/>
  <c r="CL21" i="25"/>
  <c r="CU20" i="25"/>
  <c r="C20" i="25" s="1"/>
  <c r="CN21" i="25"/>
  <c r="CR21" i="25"/>
  <c r="CH21" i="25"/>
  <c r="CJ21" i="25"/>
  <c r="CD21" i="25"/>
  <c r="BA22" i="25"/>
  <c r="AZ22" i="25"/>
  <c r="BD22" i="25"/>
  <c r="AK22" i="25"/>
  <c r="BC22" i="25"/>
  <c r="BL22" i="25"/>
  <c r="BU22" i="25"/>
  <c r="BI22" i="25"/>
  <c r="BO22" i="25"/>
  <c r="BX22" i="25"/>
  <c r="BP22" i="25"/>
  <c r="BN22" i="25"/>
  <c r="AT22" i="25"/>
  <c r="BW22" i="25"/>
  <c r="AV22" i="25"/>
  <c r="AU22" i="25"/>
  <c r="AY22" i="25"/>
  <c r="AW22" i="25"/>
  <c r="AX22" i="25"/>
  <c r="BK22" i="25"/>
  <c r="BF22" i="25"/>
  <c r="CA22" i="25" s="1"/>
  <c r="BY22" i="25"/>
  <c r="BS22" i="25"/>
  <c r="BR22" i="25"/>
  <c r="AQ22" i="25"/>
  <c r="AP22" i="25"/>
  <c r="AS22" i="25"/>
  <c r="AR22" i="25"/>
  <c r="BV22" i="25"/>
  <c r="CQ22" i="25" s="1"/>
  <c r="BQ22" i="25"/>
  <c r="BT22" i="25"/>
  <c r="AM22" i="25"/>
  <c r="AL22" i="25"/>
  <c r="AO22" i="25"/>
  <c r="AN22" i="25"/>
  <c r="BB22" i="25"/>
  <c r="BJ22" i="25"/>
  <c r="BM22" i="25"/>
  <c r="BG22" i="25"/>
  <c r="CW22" i="25"/>
  <c r="CX22" i="25" s="1"/>
  <c r="CY22" i="25" s="1"/>
  <c r="BH22" i="25"/>
  <c r="CC22" i="25" s="1"/>
  <c r="B25" i="31"/>
  <c r="J24" i="31"/>
  <c r="L36" i="31"/>
  <c r="B20" i="66"/>
  <c r="B24" i="25"/>
  <c r="O23" i="25"/>
  <c r="CM22" i="25" l="1"/>
  <c r="CF22" i="25"/>
  <c r="CE22" i="25"/>
  <c r="CB22" i="25"/>
  <c r="CO22" i="25"/>
  <c r="CK22" i="25"/>
  <c r="CP22" i="25"/>
  <c r="CU21" i="25"/>
  <c r="C21" i="25" s="1"/>
  <c r="CH22" i="25"/>
  <c r="CL22" i="25"/>
  <c r="CT22" i="25"/>
  <c r="CR22" i="25"/>
  <c r="CS22" i="25"/>
  <c r="CG22" i="25"/>
  <c r="CN22" i="25"/>
  <c r="CJ22" i="25"/>
  <c r="CI22" i="25"/>
  <c r="CD22" i="25"/>
  <c r="B25" i="25"/>
  <c r="O24" i="25"/>
  <c r="L37" i="31"/>
  <c r="B21" i="66"/>
  <c r="B26" i="31"/>
  <c r="J25" i="31"/>
  <c r="AZ23" i="25"/>
  <c r="BD23" i="25"/>
  <c r="AK23" i="25"/>
  <c r="AN23" i="25"/>
  <c r="BA23" i="25"/>
  <c r="BJ23" i="25"/>
  <c r="BW23" i="25"/>
  <c r="BR23" i="25"/>
  <c r="BV23" i="25"/>
  <c r="CQ23" i="25" s="1"/>
  <c r="BH23" i="25"/>
  <c r="BM23" i="25"/>
  <c r="BP23" i="25"/>
  <c r="BU23" i="25"/>
  <c r="CP23" i="25" s="1"/>
  <c r="BK23" i="25"/>
  <c r="BX23" i="25"/>
  <c r="CS23" i="25" s="1"/>
  <c r="BO23" i="25"/>
  <c r="BL23" i="25"/>
  <c r="AU23" i="25"/>
  <c r="AY23" i="25"/>
  <c r="BC23" i="25"/>
  <c r="AV23" i="25"/>
  <c r="AT23" i="25"/>
  <c r="CW23" i="25"/>
  <c r="CX23" i="25" s="1"/>
  <c r="CY23" i="25" s="1"/>
  <c r="BF23" i="25"/>
  <c r="CA23" i="25" s="1"/>
  <c r="BQ23" i="25"/>
  <c r="BG23" i="25"/>
  <c r="BN23" i="25"/>
  <c r="AP23" i="25"/>
  <c r="AS23" i="25"/>
  <c r="AW23" i="25"/>
  <c r="AQ23" i="25"/>
  <c r="AX23" i="25"/>
  <c r="BS23" i="25"/>
  <c r="CN23" i="25" s="1"/>
  <c r="AL23" i="25"/>
  <c r="AO23" i="25"/>
  <c r="AR23" i="25"/>
  <c r="AM23" i="25"/>
  <c r="BB23" i="25"/>
  <c r="BY23" i="25"/>
  <c r="BT23" i="25"/>
  <c r="CO23" i="25" s="1"/>
  <c r="BI23" i="25"/>
  <c r="CD23" i="25" s="1"/>
  <c r="CG23" i="25" l="1"/>
  <c r="CT23" i="25"/>
  <c r="CU22" i="25"/>
  <c r="C22" i="25" s="1"/>
  <c r="CI23" i="25"/>
  <c r="CH23" i="25"/>
  <c r="CR23" i="25"/>
  <c r="CB23" i="25"/>
  <c r="CF23" i="25"/>
  <c r="CC23" i="25"/>
  <c r="CE23" i="25"/>
  <c r="CL23" i="25"/>
  <c r="CJ23" i="25"/>
  <c r="CK23" i="25"/>
  <c r="CM23" i="25"/>
  <c r="B27" i="31"/>
  <c r="J26" i="31"/>
  <c r="B22" i="66"/>
  <c r="BD24" i="25"/>
  <c r="AK24" i="25"/>
  <c r="AN24" i="25"/>
  <c r="AM24" i="25"/>
  <c r="AL24" i="25"/>
  <c r="BJ24" i="25"/>
  <c r="BY24" i="25"/>
  <c r="BI24" i="25"/>
  <c r="BS24" i="25"/>
  <c r="BK24" i="25"/>
  <c r="BH24" i="25"/>
  <c r="CC24" i="25" s="1"/>
  <c r="BR24" i="25"/>
  <c r="BP24" i="25"/>
  <c r="BX24" i="25"/>
  <c r="BG24" i="25"/>
  <c r="BF24" i="25"/>
  <c r="BV24" i="25"/>
  <c r="BL24" i="25"/>
  <c r="BM24" i="25"/>
  <c r="AY24" i="25"/>
  <c r="BC24" i="25"/>
  <c r="BA24" i="25"/>
  <c r="AU24" i="25"/>
  <c r="AX24" i="25"/>
  <c r="BT24" i="25"/>
  <c r="BQ24" i="25"/>
  <c r="CW24" i="25"/>
  <c r="CX24" i="25" s="1"/>
  <c r="CY24" i="25" s="1"/>
  <c r="AS24" i="25"/>
  <c r="AW24" i="25"/>
  <c r="AV24" i="25"/>
  <c r="AP24" i="25"/>
  <c r="BB24" i="25"/>
  <c r="BO24" i="25"/>
  <c r="BW24" i="25"/>
  <c r="BN24" i="25"/>
  <c r="CI24" i="25" s="1"/>
  <c r="AO24" i="25"/>
  <c r="AR24" i="25"/>
  <c r="AQ24" i="25"/>
  <c r="AZ24" i="25"/>
  <c r="AT24" i="25"/>
  <c r="BU24" i="25"/>
  <c r="O25" i="25"/>
  <c r="B26" i="25"/>
  <c r="CA24" i="25" l="1"/>
  <c r="CB24" i="25"/>
  <c r="CT24" i="25"/>
  <c r="CU23" i="25"/>
  <c r="C23" i="25" s="1"/>
  <c r="CP24" i="25"/>
  <c r="CJ24" i="25"/>
  <c r="CO24" i="25"/>
  <c r="CQ24" i="25"/>
  <c r="CK24" i="25"/>
  <c r="CN24" i="25"/>
  <c r="CM24" i="25"/>
  <c r="CD24" i="25"/>
  <c r="CH24" i="25"/>
  <c r="CR24" i="25"/>
  <c r="CL24" i="25"/>
  <c r="CG24" i="25"/>
  <c r="CS24" i="25"/>
  <c r="CF24" i="25"/>
  <c r="CE24" i="25"/>
  <c r="J27" i="31"/>
  <c r="B28" i="31"/>
  <c r="BC25" i="25"/>
  <c r="BA25" i="25"/>
  <c r="AZ25" i="25"/>
  <c r="AS25" i="25"/>
  <c r="AK25" i="25"/>
  <c r="BX25" i="25"/>
  <c r="BF25" i="25"/>
  <c r="AT25" i="25"/>
  <c r="AW25" i="25"/>
  <c r="AV25" i="25"/>
  <c r="AU25" i="25"/>
  <c r="AY25" i="25"/>
  <c r="BB25" i="25"/>
  <c r="BQ25" i="25"/>
  <c r="CL25" i="25" s="1"/>
  <c r="BW25" i="25"/>
  <c r="BI25" i="25"/>
  <c r="BG25" i="25"/>
  <c r="BU25" i="25"/>
  <c r="CP25" i="25" s="1"/>
  <c r="AR25" i="25"/>
  <c r="AQ25" i="25"/>
  <c r="AP25" i="25"/>
  <c r="AO25" i="25"/>
  <c r="BS25" i="25"/>
  <c r="AN25" i="25"/>
  <c r="AM25" i="25"/>
  <c r="AL25" i="25"/>
  <c r="BD25" i="25"/>
  <c r="AX25" i="25"/>
  <c r="BV25" i="25"/>
  <c r="CQ25" i="25" s="1"/>
  <c r="CW25" i="25"/>
  <c r="CX25" i="25" s="1"/>
  <c r="CY25" i="25" s="1"/>
  <c r="BR25" i="25"/>
  <c r="BT25" i="25"/>
  <c r="CO25" i="25" s="1"/>
  <c r="BY25" i="25"/>
  <c r="CT25" i="25" s="1"/>
  <c r="BH25" i="25"/>
  <c r="BN25" i="25"/>
  <c r="CI25" i="25" s="1"/>
  <c r="BO25" i="25"/>
  <c r="CJ25" i="25" s="1"/>
  <c r="BK25" i="25"/>
  <c r="CF25" i="25" s="1"/>
  <c r="BP25" i="25"/>
  <c r="CK25" i="25" s="1"/>
  <c r="BL25" i="25"/>
  <c r="BM25" i="25"/>
  <c r="CH25" i="25" s="1"/>
  <c r="BJ25" i="25"/>
  <c r="CE25" i="25" s="1"/>
  <c r="B27" i="25"/>
  <c r="O26" i="25"/>
  <c r="CM25" i="25" l="1"/>
  <c r="CC25" i="25"/>
  <c r="CS25" i="25"/>
  <c r="CU24" i="25"/>
  <c r="C24" i="25" s="1"/>
  <c r="CB25" i="25"/>
  <c r="CD25" i="25"/>
  <c r="CG25" i="25"/>
  <c r="CN25" i="25"/>
  <c r="CR25" i="25"/>
  <c r="CA25" i="25"/>
  <c r="B29" i="31"/>
  <c r="J28" i="31"/>
  <c r="BA26" i="25"/>
  <c r="AZ26" i="25"/>
  <c r="BD26" i="25"/>
  <c r="AK26" i="25"/>
  <c r="AW26" i="25"/>
  <c r="BR26" i="25"/>
  <c r="BY26" i="25"/>
  <c r="CT26" i="25" s="1"/>
  <c r="BN26" i="25"/>
  <c r="BK26" i="25"/>
  <c r="BI26" i="25"/>
  <c r="AT26" i="25"/>
  <c r="BT26" i="25"/>
  <c r="BQ26" i="25"/>
  <c r="CL26" i="25" s="1"/>
  <c r="BV26" i="25"/>
  <c r="CQ26" i="25" s="1"/>
  <c r="BM26" i="25"/>
  <c r="BU26" i="25"/>
  <c r="CP26" i="25" s="1"/>
  <c r="BX26" i="25"/>
  <c r="AV26" i="25"/>
  <c r="AU26" i="25"/>
  <c r="AY26" i="25"/>
  <c r="AR26" i="25"/>
  <c r="BS26" i="25"/>
  <c r="BW26" i="25"/>
  <c r="BJ26" i="25"/>
  <c r="BL26" i="25"/>
  <c r="CG26" i="25" s="1"/>
  <c r="AQ26" i="25"/>
  <c r="AP26" i="25"/>
  <c r="AS26" i="25"/>
  <c r="AN26" i="25"/>
  <c r="AX26" i="25"/>
  <c r="BP26" i="25"/>
  <c r="CK26" i="25" s="1"/>
  <c r="AM26" i="25"/>
  <c r="AL26" i="25"/>
  <c r="AO26" i="25"/>
  <c r="BC26" i="25"/>
  <c r="BB26" i="25"/>
  <c r="BH26" i="25"/>
  <c r="BO26" i="25"/>
  <c r="CJ26" i="25" s="1"/>
  <c r="BG26" i="25"/>
  <c r="CW26" i="25"/>
  <c r="CX26" i="25" s="1"/>
  <c r="CY26" i="25" s="1"/>
  <c r="BF26" i="25"/>
  <c r="CA26" i="25" s="1"/>
  <c r="O27" i="25"/>
  <c r="B28" i="25"/>
  <c r="CC26" i="25" l="1"/>
  <c r="CE26" i="25"/>
  <c r="CO26" i="25"/>
  <c r="CI26" i="25"/>
  <c r="CB26" i="25"/>
  <c r="CR26" i="25"/>
  <c r="CH26" i="25"/>
  <c r="CN26" i="25"/>
  <c r="CD26" i="25"/>
  <c r="CM26" i="25"/>
  <c r="CU25" i="25"/>
  <c r="C25" i="25" s="1"/>
  <c r="CS26" i="25"/>
  <c r="CF26" i="25"/>
  <c r="O28" i="25"/>
  <c r="B29" i="25"/>
  <c r="AZ27" i="25"/>
  <c r="BD27" i="25"/>
  <c r="AK27" i="25"/>
  <c r="AN27" i="25"/>
  <c r="BA27" i="25"/>
  <c r="BO27" i="25"/>
  <c r="BU27" i="25"/>
  <c r="BK27" i="25"/>
  <c r="BH27" i="25"/>
  <c r="BG27" i="25"/>
  <c r="BV27" i="25"/>
  <c r="BQ27" i="25"/>
  <c r="BF27" i="25"/>
  <c r="CA27" i="25" s="1"/>
  <c r="AU27" i="25"/>
  <c r="AY27" i="25"/>
  <c r="BC27" i="25"/>
  <c r="AQ27" i="25"/>
  <c r="AT27" i="25"/>
  <c r="CW27" i="25"/>
  <c r="CX27" i="25" s="1"/>
  <c r="CY27" i="25" s="1"/>
  <c r="AP27" i="25"/>
  <c r="AS27" i="25"/>
  <c r="AW27" i="25"/>
  <c r="AV27" i="25"/>
  <c r="AX27" i="25"/>
  <c r="BR27" i="25"/>
  <c r="BJ27" i="25"/>
  <c r="BI27" i="25"/>
  <c r="CD27" i="25" s="1"/>
  <c r="AL27" i="25"/>
  <c r="AO27" i="25"/>
  <c r="AR27" i="25"/>
  <c r="AM27" i="25"/>
  <c r="BB27" i="25"/>
  <c r="BS27" i="25"/>
  <c r="CN27" i="25" s="1"/>
  <c r="BL27" i="25"/>
  <c r="BW27" i="25"/>
  <c r="BP27" i="25"/>
  <c r="CK27" i="25" s="1"/>
  <c r="BX27" i="25"/>
  <c r="CS27" i="25" s="1"/>
  <c r="BM27" i="25"/>
  <c r="CH27" i="25" s="1"/>
  <c r="BY27" i="25"/>
  <c r="CT27" i="25" s="1"/>
  <c r="BT27" i="25"/>
  <c r="CO27" i="25" s="1"/>
  <c r="BN27" i="25"/>
  <c r="CI27" i="25" s="1"/>
  <c r="J29" i="31"/>
  <c r="B30" i="31"/>
  <c r="CR27" i="25" l="1"/>
  <c r="CQ27" i="25"/>
  <c r="CP27" i="25"/>
  <c r="CG27" i="25"/>
  <c r="CU26" i="25"/>
  <c r="C26" i="25" s="1"/>
  <c r="CM27" i="25"/>
  <c r="CC27" i="25"/>
  <c r="CL27" i="25"/>
  <c r="CF27" i="25"/>
  <c r="CE27" i="25"/>
  <c r="CB27" i="25"/>
  <c r="CJ27" i="25"/>
  <c r="B31" i="31"/>
  <c r="J30" i="31"/>
  <c r="AN28" i="25"/>
  <c r="AM28" i="25"/>
  <c r="AZ28" i="25"/>
  <c r="BL28" i="25"/>
  <c r="BW28" i="25"/>
  <c r="BF28" i="25"/>
  <c r="BK28" i="25"/>
  <c r="BT28" i="25"/>
  <c r="BN28" i="25"/>
  <c r="BJ28" i="25"/>
  <c r="BO28" i="25"/>
  <c r="BY28" i="25"/>
  <c r="AY28" i="25"/>
  <c r="BC28" i="25"/>
  <c r="BA28" i="25"/>
  <c r="AP28" i="25"/>
  <c r="AX28" i="25"/>
  <c r="BU28" i="25"/>
  <c r="CP28" i="25" s="1"/>
  <c r="BM28" i="25"/>
  <c r="BV28" i="25"/>
  <c r="CW28" i="25"/>
  <c r="CX28" i="25" s="1"/>
  <c r="CY28" i="25" s="1"/>
  <c r="AS28" i="25"/>
  <c r="AW28" i="25"/>
  <c r="AV28" i="25"/>
  <c r="AL28" i="25"/>
  <c r="BB28" i="25"/>
  <c r="BX28" i="25"/>
  <c r="BS28" i="25"/>
  <c r="BI28" i="25"/>
  <c r="CD28" i="25" s="1"/>
  <c r="BR28" i="25"/>
  <c r="CM28" i="25" s="1"/>
  <c r="BQ28" i="25"/>
  <c r="CL28" i="25" s="1"/>
  <c r="BH28" i="25"/>
  <c r="BP28" i="25"/>
  <c r="AO28" i="25"/>
  <c r="AR28" i="25"/>
  <c r="AQ28" i="25"/>
  <c r="AU28" i="25"/>
  <c r="AT28" i="25"/>
  <c r="BG28" i="25"/>
  <c r="O29" i="25"/>
  <c r="B30" i="25"/>
  <c r="CC28" i="25" l="1"/>
  <c r="CN28" i="25"/>
  <c r="CQ28" i="25"/>
  <c r="CB28" i="25"/>
  <c r="CU27" i="25"/>
  <c r="C27" i="25" s="1"/>
  <c r="CO28" i="25"/>
  <c r="CG28" i="25"/>
  <c r="AK28" i="25"/>
  <c r="CA28" i="25" s="1"/>
  <c r="A63" i="25"/>
  <c r="CS28" i="25"/>
  <c r="CH28" i="25"/>
  <c r="CJ28" i="25"/>
  <c r="CF28" i="25"/>
  <c r="BD28" i="25"/>
  <c r="CT28" i="25" s="1"/>
  <c r="A62" i="25"/>
  <c r="CE28" i="25"/>
  <c r="CK28" i="25"/>
  <c r="CI28" i="25"/>
  <c r="CR28" i="25"/>
  <c r="O30" i="25"/>
  <c r="B31" i="25"/>
  <c r="BC29" i="25"/>
  <c r="BA29" i="25"/>
  <c r="AZ29" i="25"/>
  <c r="AO29" i="25"/>
  <c r="AS29" i="25"/>
  <c r="BN29" i="25"/>
  <c r="CI29" i="25" s="1"/>
  <c r="BP29" i="25"/>
  <c r="CW29" i="25"/>
  <c r="CX29" i="25" s="1"/>
  <c r="CY29" i="25" s="1"/>
  <c r="BL29" i="25"/>
  <c r="BV29" i="25"/>
  <c r="CQ29" i="25" s="1"/>
  <c r="BM29" i="25"/>
  <c r="BS29" i="25"/>
  <c r="BR29" i="25"/>
  <c r="BU29" i="25"/>
  <c r="CP29" i="25" s="1"/>
  <c r="AT29" i="25"/>
  <c r="BW29" i="25"/>
  <c r="CR29" i="25" s="1"/>
  <c r="BH29" i="25"/>
  <c r="BF29" i="25"/>
  <c r="BQ29" i="25"/>
  <c r="BT29" i="25"/>
  <c r="AW29" i="25"/>
  <c r="AV29" i="25"/>
  <c r="AU29" i="25"/>
  <c r="BD29" i="25"/>
  <c r="BB29" i="25"/>
  <c r="BO29" i="25"/>
  <c r="CJ29" i="25" s="1"/>
  <c r="BY29" i="25"/>
  <c r="AK29" i="25"/>
  <c r="BG29" i="25"/>
  <c r="BX29" i="25"/>
  <c r="CS29" i="25" s="1"/>
  <c r="BI29" i="25"/>
  <c r="AR29" i="25"/>
  <c r="AQ29" i="25"/>
  <c r="AP29" i="25"/>
  <c r="BK29" i="25"/>
  <c r="AN29" i="25"/>
  <c r="AM29" i="25"/>
  <c r="AL29" i="25"/>
  <c r="AY29" i="25"/>
  <c r="AX29" i="25"/>
  <c r="BJ29" i="25"/>
  <c r="J31" i="31"/>
  <c r="B32" i="31"/>
  <c r="CE29" i="25" l="1"/>
  <c r="CO29" i="25"/>
  <c r="CN29" i="25"/>
  <c r="CF29" i="25"/>
  <c r="CD29" i="25"/>
  <c r="CT29" i="25"/>
  <c r="CL29" i="25"/>
  <c r="CH29" i="25"/>
  <c r="CK29" i="25"/>
  <c r="CU28" i="25"/>
  <c r="C28" i="25" s="1"/>
  <c r="CA29" i="25"/>
  <c r="CB29" i="25"/>
  <c r="CC29" i="25"/>
  <c r="CM29" i="25"/>
  <c r="CG29" i="25"/>
  <c r="B32" i="25"/>
  <c r="O31" i="25"/>
  <c r="BA30" i="25"/>
  <c r="AZ30" i="25"/>
  <c r="BD30" i="25"/>
  <c r="AK30" i="25"/>
  <c r="AW30" i="25"/>
  <c r="CW30" i="25"/>
  <c r="CX30" i="25" s="1"/>
  <c r="CY30" i="25" s="1"/>
  <c r="BM30" i="25"/>
  <c r="BO30" i="25"/>
  <c r="BY30" i="25"/>
  <c r="CT30" i="25" s="1"/>
  <c r="BT30" i="25"/>
  <c r="BN30" i="25"/>
  <c r="BR30" i="25"/>
  <c r="BF30" i="25"/>
  <c r="CA30" i="25" s="1"/>
  <c r="BS30" i="25"/>
  <c r="BX30" i="25"/>
  <c r="AR30" i="25"/>
  <c r="AV30" i="25"/>
  <c r="AU30" i="25"/>
  <c r="AY30" i="25"/>
  <c r="AN30" i="25"/>
  <c r="BH30" i="25"/>
  <c r="AX30" i="25"/>
  <c r="BQ30" i="25"/>
  <c r="BI30" i="25"/>
  <c r="CD30" i="25" s="1"/>
  <c r="AQ30" i="25"/>
  <c r="AP30" i="25"/>
  <c r="AS30" i="25"/>
  <c r="BG30" i="25"/>
  <c r="AM30" i="25"/>
  <c r="AL30" i="25"/>
  <c r="AO30" i="25"/>
  <c r="BC30" i="25"/>
  <c r="BB30" i="25"/>
  <c r="BK30" i="25"/>
  <c r="CF30" i="25" s="1"/>
  <c r="BV30" i="25"/>
  <c r="BP30" i="25"/>
  <c r="CK30" i="25" s="1"/>
  <c r="BU30" i="25"/>
  <c r="CP30" i="25" s="1"/>
  <c r="BW30" i="25"/>
  <c r="AT30" i="25"/>
  <c r="BL30" i="25"/>
  <c r="BJ30" i="25"/>
  <c r="CE30" i="25" s="1"/>
  <c r="J32" i="31"/>
  <c r="B33" i="31"/>
  <c r="CG30" i="25" l="1"/>
  <c r="CM30" i="25"/>
  <c r="CL30" i="25"/>
  <c r="CQ30" i="25"/>
  <c r="CB30" i="25"/>
  <c r="CJ30" i="25"/>
  <c r="CS30" i="25"/>
  <c r="CI30" i="25"/>
  <c r="CH30" i="25"/>
  <c r="CR30" i="25"/>
  <c r="CN30" i="25"/>
  <c r="CO30" i="25"/>
  <c r="CU29" i="25"/>
  <c r="C29" i="25" s="1"/>
  <c r="CC30" i="25"/>
  <c r="B34" i="31"/>
  <c r="J33" i="31"/>
  <c r="AZ31" i="25"/>
  <c r="BD31" i="25"/>
  <c r="AK31" i="25"/>
  <c r="AN31" i="25"/>
  <c r="AV31" i="25"/>
  <c r="BP31" i="25"/>
  <c r="BH31" i="25"/>
  <c r="BF31" i="25"/>
  <c r="BX31" i="25"/>
  <c r="BJ31" i="25"/>
  <c r="AT31" i="25"/>
  <c r="BY31" i="25"/>
  <c r="CT31" i="25" s="1"/>
  <c r="BU31" i="25"/>
  <c r="CP31" i="25" s="1"/>
  <c r="BG31" i="25"/>
  <c r="CW31" i="25"/>
  <c r="CX31" i="25" s="1"/>
  <c r="CY31" i="25" s="1"/>
  <c r="BW31" i="25"/>
  <c r="AU31" i="25"/>
  <c r="AY31" i="25"/>
  <c r="BC31" i="25"/>
  <c r="AM31" i="25"/>
  <c r="BS31" i="25"/>
  <c r="BL31" i="25"/>
  <c r="BN31" i="25"/>
  <c r="BI31" i="25"/>
  <c r="CD31" i="25" s="1"/>
  <c r="BV31" i="25"/>
  <c r="BT31" i="25"/>
  <c r="CO31" i="25" s="1"/>
  <c r="AP31" i="25"/>
  <c r="AS31" i="25"/>
  <c r="AW31" i="25"/>
  <c r="BA31" i="25"/>
  <c r="AX31" i="25"/>
  <c r="BQ31" i="25"/>
  <c r="CL31" i="25" s="1"/>
  <c r="BM31" i="25"/>
  <c r="BR31" i="25"/>
  <c r="CM31" i="25" s="1"/>
  <c r="AL31" i="25"/>
  <c r="AO31" i="25"/>
  <c r="AR31" i="25"/>
  <c r="AQ31" i="25"/>
  <c r="BB31" i="25"/>
  <c r="BO31" i="25"/>
  <c r="CJ31" i="25" s="1"/>
  <c r="BK31" i="25"/>
  <c r="O32" i="25"/>
  <c r="B33" i="25"/>
  <c r="CF31" i="25" l="1"/>
  <c r="CA31" i="25"/>
  <c r="CU30" i="25"/>
  <c r="C30" i="25" s="1"/>
  <c r="CI31" i="25"/>
  <c r="CC31" i="25"/>
  <c r="CG31" i="25"/>
  <c r="CB31" i="25"/>
  <c r="CE31" i="25"/>
  <c r="CK31" i="25"/>
  <c r="CH31" i="25"/>
  <c r="CQ31" i="25"/>
  <c r="CN31" i="25"/>
  <c r="CS31" i="25"/>
  <c r="CR31" i="25"/>
  <c r="O33" i="25"/>
  <c r="B34" i="25"/>
  <c r="BA32" i="25"/>
  <c r="AK32" i="25"/>
  <c r="AR32" i="25"/>
  <c r="AU32" i="25"/>
  <c r="AL32" i="25"/>
  <c r="BV32" i="25"/>
  <c r="BF32" i="25"/>
  <c r="BU32" i="25"/>
  <c r="BN32" i="25"/>
  <c r="BO32" i="25"/>
  <c r="BG32" i="25"/>
  <c r="AW32" i="25"/>
  <c r="BD32" i="25"/>
  <c r="AN32" i="25"/>
  <c r="AQ32" i="25"/>
  <c r="AX32" i="25"/>
  <c r="CW32" i="25"/>
  <c r="CX32" i="25" s="1"/>
  <c r="CY32" i="25" s="1"/>
  <c r="BL32" i="25"/>
  <c r="CG32" i="25" s="1"/>
  <c r="AS32" i="25"/>
  <c r="AZ32" i="25"/>
  <c r="BC32" i="25"/>
  <c r="AM32" i="25"/>
  <c r="AT32" i="25"/>
  <c r="BJ32" i="25"/>
  <c r="AO32" i="25"/>
  <c r="AV32" i="25"/>
  <c r="AY32" i="25"/>
  <c r="BB32" i="25"/>
  <c r="AP32" i="25"/>
  <c r="BM32" i="25"/>
  <c r="CH32" i="25" s="1"/>
  <c r="BP32" i="25"/>
  <c r="CK32" i="25" s="1"/>
  <c r="BR32" i="25"/>
  <c r="CM32" i="25" s="1"/>
  <c r="BK32" i="25"/>
  <c r="BT32" i="25"/>
  <c r="CO32" i="25" s="1"/>
  <c r="BI32" i="25"/>
  <c r="CD32" i="25" s="1"/>
  <c r="BY32" i="25"/>
  <c r="CT32" i="25" s="1"/>
  <c r="BW32" i="25"/>
  <c r="CR32" i="25" s="1"/>
  <c r="BS32" i="25"/>
  <c r="CN32" i="25" s="1"/>
  <c r="BX32" i="25"/>
  <c r="CS32" i="25" s="1"/>
  <c r="BH32" i="25"/>
  <c r="CC32" i="25" s="1"/>
  <c r="BQ32" i="25"/>
  <c r="CL32" i="25" s="1"/>
  <c r="J34" i="31"/>
  <c r="B35" i="31"/>
  <c r="CQ32" i="25" l="1"/>
  <c r="CF32" i="25"/>
  <c r="CE32" i="25"/>
  <c r="CU31" i="25"/>
  <c r="C31" i="25" s="1"/>
  <c r="CJ32" i="25"/>
  <c r="CI32" i="25"/>
  <c r="CP32" i="25"/>
  <c r="CB32" i="25"/>
  <c r="CA32" i="25"/>
  <c r="BA33" i="25"/>
  <c r="AK33" i="25"/>
  <c r="AR33" i="25"/>
  <c r="AU33" i="25"/>
  <c r="BB33" i="25"/>
  <c r="BJ33" i="25"/>
  <c r="BP33" i="25"/>
  <c r="CK33" i="25" s="1"/>
  <c r="BT33" i="25"/>
  <c r="BL33" i="25"/>
  <c r="BY33" i="25"/>
  <c r="AW33" i="25"/>
  <c r="AN33" i="25"/>
  <c r="AQ33" i="25"/>
  <c r="AT33" i="25"/>
  <c r="BW33" i="25"/>
  <c r="AS33" i="25"/>
  <c r="AZ33" i="25"/>
  <c r="BC33" i="25"/>
  <c r="AM33" i="25"/>
  <c r="AL33" i="25"/>
  <c r="BM33" i="25"/>
  <c r="CH33" i="25" s="1"/>
  <c r="BV33" i="25"/>
  <c r="CQ33" i="25" s="1"/>
  <c r="BX33" i="25"/>
  <c r="BQ33" i="25"/>
  <c r="BI33" i="25"/>
  <c r="CD33" i="25" s="1"/>
  <c r="BN33" i="25"/>
  <c r="AO33" i="25"/>
  <c r="AV33" i="25"/>
  <c r="AY33" i="25"/>
  <c r="AX33" i="25"/>
  <c r="AP33" i="25"/>
  <c r="BK33" i="25"/>
  <c r="CF33" i="25" s="1"/>
  <c r="BS33" i="25"/>
  <c r="BU33" i="25"/>
  <c r="CP33" i="25" s="1"/>
  <c r="BF33" i="25"/>
  <c r="CA33" i="25" s="1"/>
  <c r="BR33" i="25"/>
  <c r="CM33" i="25" s="1"/>
  <c r="BO33" i="25"/>
  <c r="CJ33" i="25" s="1"/>
  <c r="BH33" i="25"/>
  <c r="CC33" i="25" s="1"/>
  <c r="BG33" i="25"/>
  <c r="CW33" i="25"/>
  <c r="CX33" i="25" s="1"/>
  <c r="CY33" i="25" s="1"/>
  <c r="J35" i="31"/>
  <c r="B36" i="31"/>
  <c r="O34" i="25"/>
  <c r="CB33" i="25" l="1"/>
  <c r="CR33" i="25"/>
  <c r="CI33" i="25"/>
  <c r="CN33" i="25"/>
  <c r="CL33" i="25"/>
  <c r="CG33" i="25"/>
  <c r="CS33" i="25"/>
  <c r="BD33" i="25"/>
  <c r="CT33" i="25" s="1"/>
  <c r="A64" i="25"/>
  <c r="CO33" i="25"/>
  <c r="CU32" i="25"/>
  <c r="C32" i="25" s="1"/>
  <c r="BC34" i="25"/>
  <c r="AZ34" i="25"/>
  <c r="AQ34" i="25"/>
  <c r="AL34" i="25"/>
  <c r="AX34" i="25"/>
  <c r="BN34" i="25"/>
  <c r="BR34" i="25"/>
  <c r="CW34" i="25"/>
  <c r="CX34" i="25" s="1"/>
  <c r="CY34" i="25" s="1"/>
  <c r="BK34" i="25"/>
  <c r="BW34" i="25"/>
  <c r="BS34" i="25"/>
  <c r="AU34" i="25"/>
  <c r="AR34" i="25"/>
  <c r="AM34" i="25"/>
  <c r="BD34" i="25"/>
  <c r="BU34" i="25"/>
  <c r="BJ34" i="25"/>
  <c r="AO34" i="25"/>
  <c r="AN34" i="25"/>
  <c r="AV34" i="25"/>
  <c r="BB34" i="25"/>
  <c r="AS34" i="25"/>
  <c r="BO34" i="25"/>
  <c r="BT34" i="25"/>
  <c r="BH34" i="25"/>
  <c r="CC34" i="25" s="1"/>
  <c r="BI34" i="25"/>
  <c r="AK34" i="25"/>
  <c r="AY34" i="25"/>
  <c r="AP34" i="25"/>
  <c r="AW34" i="25"/>
  <c r="AT34" i="25"/>
  <c r="BF34" i="25"/>
  <c r="BQ34" i="25"/>
  <c r="CL34" i="25" s="1"/>
  <c r="BL34" i="25"/>
  <c r="BV34" i="25"/>
  <c r="BX34" i="25"/>
  <c r="CS34" i="25" s="1"/>
  <c r="BG34" i="25"/>
  <c r="CB34" i="25" s="1"/>
  <c r="BY34" i="25"/>
  <c r="BP34" i="25"/>
  <c r="CK34" i="25" s="1"/>
  <c r="BA34" i="25"/>
  <c r="BM34" i="25"/>
  <c r="CH34" i="25" s="1"/>
  <c r="B37" i="31"/>
  <c r="J36" i="31"/>
  <c r="CP34" i="25" l="1"/>
  <c r="CQ34" i="25"/>
  <c r="CN34" i="25"/>
  <c r="CM34" i="25"/>
  <c r="CU33" i="25"/>
  <c r="C33" i="25" s="1"/>
  <c r="CJ34" i="25"/>
  <c r="CG34" i="25"/>
  <c r="CD34" i="25"/>
  <c r="CR34" i="25"/>
  <c r="CI34" i="25"/>
  <c r="CF34" i="25"/>
  <c r="CT34" i="25"/>
  <c r="CA34" i="25"/>
  <c r="CU34" i="25" s="1"/>
  <c r="C34" i="25" s="1"/>
  <c r="CO34" i="25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B90" i="31" l="1"/>
  <c r="J89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B130" i="31" l="1"/>
  <c r="J129" i="31"/>
  <c r="B131" i="31" l="1"/>
  <c r="J130" i="31"/>
  <c r="J131" i="31" l="1"/>
  <c r="B132" i="31"/>
  <c r="J132" i="31" s="1"/>
  <c r="O26" i="31" l="1"/>
  <c r="O28" i="31"/>
  <c r="N26" i="31"/>
  <c r="M30" i="31"/>
  <c r="M26" i="31"/>
  <c r="N27" i="31"/>
  <c r="O27" i="31"/>
  <c r="M27" i="31"/>
  <c r="O29" i="31"/>
  <c r="M29" i="31"/>
  <c r="N28" i="31"/>
  <c r="M28" i="31"/>
  <c r="N30" i="31"/>
  <c r="N29" i="31"/>
  <c r="O30" i="31"/>
  <c r="M31" i="31"/>
  <c r="N31" i="31"/>
  <c r="M34" i="31"/>
  <c r="O31" i="31"/>
  <c r="M32" i="31"/>
  <c r="O32" i="31"/>
  <c r="N32" i="31"/>
  <c r="O33" i="31"/>
  <c r="O36" i="31"/>
  <c r="M33" i="31"/>
  <c r="O34" i="31"/>
  <c r="N33" i="31"/>
  <c r="N34" i="31"/>
  <c r="O37" i="31"/>
  <c r="N35" i="31"/>
  <c r="M35" i="31"/>
  <c r="O35" i="31"/>
  <c r="M36" i="31"/>
  <c r="N36" i="31"/>
  <c r="M37" i="31"/>
  <c r="N37" i="31"/>
  <c r="R37" i="31" s="1"/>
  <c r="R36" i="31" l="1"/>
  <c r="Q36" i="31"/>
  <c r="P36" i="31"/>
  <c r="P33" i="31"/>
  <c r="Q33" i="31"/>
  <c r="R31" i="31"/>
  <c r="R30" i="31"/>
  <c r="P26" i="31"/>
  <c r="Q26" i="31"/>
  <c r="R34" i="31"/>
  <c r="P32" i="31"/>
  <c r="Q32" i="31"/>
  <c r="P31" i="31"/>
  <c r="Q31" i="31"/>
  <c r="P28" i="31"/>
  <c r="Q28" i="31"/>
  <c r="Q27" i="31"/>
  <c r="P27" i="31"/>
  <c r="Q30" i="31"/>
  <c r="P30" i="31"/>
  <c r="Q37" i="31"/>
  <c r="P37" i="31"/>
  <c r="Q35" i="31"/>
  <c r="P35" i="31"/>
  <c r="R33" i="31"/>
  <c r="R28" i="31"/>
  <c r="R26" i="31"/>
  <c r="R35" i="31"/>
  <c r="R32" i="31"/>
  <c r="P34" i="31"/>
  <c r="Q34" i="31"/>
  <c r="R29" i="31"/>
  <c r="P29" i="31"/>
  <c r="Q29" i="31"/>
  <c r="R27" i="31"/>
  <c r="L13" i="31"/>
  <c r="F131" i="31" l="1"/>
  <c r="F127" i="31"/>
  <c r="F122" i="31"/>
  <c r="F119" i="31"/>
  <c r="F116" i="31"/>
  <c r="F112" i="31"/>
  <c r="F107" i="31"/>
  <c r="F105" i="31"/>
  <c r="F132" i="31"/>
  <c r="F130" i="31"/>
  <c r="F126" i="31"/>
  <c r="F118" i="31"/>
  <c r="F114" i="31"/>
  <c r="F111" i="31"/>
  <c r="F124" i="31"/>
  <c r="F121" i="31"/>
  <c r="F117" i="31"/>
  <c r="F109" i="31"/>
  <c r="F98" i="31"/>
  <c r="F92" i="31"/>
  <c r="F89" i="31"/>
  <c r="F84" i="31"/>
  <c r="F82" i="31"/>
  <c r="F78" i="31"/>
  <c r="F75" i="31"/>
  <c r="F70" i="31"/>
  <c r="F67" i="31"/>
  <c r="F63" i="31"/>
  <c r="F56" i="31"/>
  <c r="F52" i="31"/>
  <c r="F45" i="31"/>
  <c r="F41" i="31"/>
  <c r="F36" i="31"/>
  <c r="F35" i="31"/>
  <c r="F31" i="31"/>
  <c r="F26" i="31"/>
  <c r="F25" i="31"/>
  <c r="F23" i="31"/>
  <c r="F19" i="31"/>
  <c r="F15" i="31"/>
  <c r="F125" i="31"/>
  <c r="F120" i="31"/>
  <c r="F110" i="31"/>
  <c r="F104" i="31"/>
  <c r="F101" i="31"/>
  <c r="F97" i="31"/>
  <c r="F96" i="31"/>
  <c r="F94" i="31"/>
  <c r="F90" i="31"/>
  <c r="F86" i="31"/>
  <c r="F85" i="31"/>
  <c r="F83" i="31"/>
  <c r="F79" i="31"/>
  <c r="F74" i="31"/>
  <c r="F68" i="31"/>
  <c r="F65" i="31"/>
  <c r="F57" i="31"/>
  <c r="F53" i="31"/>
  <c r="F49" i="31"/>
  <c r="F48" i="31"/>
  <c r="F46" i="31"/>
  <c r="F42" i="31"/>
  <c r="F39" i="31"/>
  <c r="F37" i="31"/>
  <c r="F34" i="31"/>
  <c r="F30" i="31"/>
  <c r="F27" i="31"/>
  <c r="F20" i="31"/>
  <c r="F16" i="31"/>
  <c r="F128" i="31"/>
  <c r="F113" i="31"/>
  <c r="F106" i="31"/>
  <c r="F103" i="31"/>
  <c r="F100" i="31"/>
  <c r="F95" i="31"/>
  <c r="F91" i="31"/>
  <c r="F87" i="31"/>
  <c r="F80" i="31"/>
  <c r="F76" i="31"/>
  <c r="F71" i="31"/>
  <c r="F64" i="31"/>
  <c r="F61" i="31"/>
  <c r="F60" i="31"/>
  <c r="F58" i="31"/>
  <c r="F55" i="31"/>
  <c r="F51" i="31"/>
  <c r="F47" i="31"/>
  <c r="F43" i="31"/>
  <c r="F38" i="31"/>
  <c r="F32" i="31"/>
  <c r="F29" i="31"/>
  <c r="F21" i="31"/>
  <c r="F18" i="31"/>
  <c r="F13" i="31"/>
  <c r="F129" i="31"/>
  <c r="F123" i="31"/>
  <c r="F115" i="31"/>
  <c r="F108" i="31"/>
  <c r="F102" i="31"/>
  <c r="F99" i="31"/>
  <c r="F93" i="31"/>
  <c r="F88" i="31"/>
  <c r="F81" i="31"/>
  <c r="F77" i="31"/>
  <c r="F73" i="31"/>
  <c r="F72" i="31"/>
  <c r="F69" i="31"/>
  <c r="F66" i="31"/>
  <c r="F62" i="31"/>
  <c r="F59" i="31"/>
  <c r="F54" i="31"/>
  <c r="F50" i="31"/>
  <c r="F44" i="31"/>
  <c r="F40" i="31"/>
  <c r="F33" i="31"/>
  <c r="F28" i="31"/>
  <c r="F24" i="31"/>
  <c r="F22" i="31"/>
  <c r="F17" i="31"/>
  <c r="F14" i="31"/>
  <c r="K17" i="31" l="1"/>
  <c r="D17" i="31"/>
  <c r="K22" i="31"/>
  <c r="D22" i="31"/>
  <c r="D54" i="31"/>
  <c r="K54" i="31"/>
  <c r="C54" i="31"/>
  <c r="K69" i="31"/>
  <c r="C69" i="31"/>
  <c r="D69" i="31"/>
  <c r="D81" i="31"/>
  <c r="K81" i="31"/>
  <c r="C81" i="31"/>
  <c r="C99" i="31"/>
  <c r="K99" i="31"/>
  <c r="D99" i="31"/>
  <c r="K123" i="31"/>
  <c r="C123" i="31"/>
  <c r="D123" i="31"/>
  <c r="K18" i="31"/>
  <c r="D18" i="31"/>
  <c r="D32" i="31"/>
  <c r="K32" i="31"/>
  <c r="C32" i="31"/>
  <c r="K51" i="31"/>
  <c r="D51" i="31"/>
  <c r="C51" i="31"/>
  <c r="O20" i="31"/>
  <c r="K61" i="31"/>
  <c r="D61" i="31"/>
  <c r="C61" i="31"/>
  <c r="K76" i="31"/>
  <c r="D76" i="31"/>
  <c r="C76" i="31"/>
  <c r="C95" i="31"/>
  <c r="D95" i="31"/>
  <c r="K95" i="31"/>
  <c r="K106" i="31"/>
  <c r="D106" i="31"/>
  <c r="C106" i="31"/>
  <c r="D16" i="31"/>
  <c r="K16" i="31"/>
  <c r="K34" i="31"/>
  <c r="D34" i="31"/>
  <c r="C34" i="31"/>
  <c r="C46" i="31"/>
  <c r="K46" i="31"/>
  <c r="D46" i="31"/>
  <c r="C57" i="31"/>
  <c r="K57" i="31"/>
  <c r="D57" i="31"/>
  <c r="D74" i="31"/>
  <c r="C74" i="31"/>
  <c r="K74" i="31"/>
  <c r="D86" i="31"/>
  <c r="C86" i="31"/>
  <c r="K86" i="31"/>
  <c r="C97" i="31"/>
  <c r="O23" i="31"/>
  <c r="D97" i="31"/>
  <c r="K97" i="31"/>
  <c r="D120" i="31"/>
  <c r="C120" i="31"/>
  <c r="K120" i="31"/>
  <c r="D19" i="31"/>
  <c r="K19" i="31"/>
  <c r="D31" i="31"/>
  <c r="C31" i="31"/>
  <c r="K31" i="31"/>
  <c r="D45" i="31"/>
  <c r="C45" i="31"/>
  <c r="K45" i="31"/>
  <c r="K67" i="31"/>
  <c r="C67" i="31"/>
  <c r="D67" i="31"/>
  <c r="K82" i="31"/>
  <c r="C82" i="31"/>
  <c r="D82" i="31"/>
  <c r="C98" i="31"/>
  <c r="K98" i="31"/>
  <c r="D98" i="31"/>
  <c r="D124" i="31"/>
  <c r="K124" i="31"/>
  <c r="C124" i="31"/>
  <c r="D126" i="31"/>
  <c r="C126" i="31"/>
  <c r="K126" i="31"/>
  <c r="D116" i="31"/>
  <c r="C116" i="31"/>
  <c r="K116" i="31"/>
  <c r="C131" i="31"/>
  <c r="K131" i="31"/>
  <c r="D131" i="31"/>
  <c r="K24" i="31"/>
  <c r="D24" i="31"/>
  <c r="K40" i="31"/>
  <c r="C40" i="31"/>
  <c r="D40" i="31"/>
  <c r="D59" i="31"/>
  <c r="C59" i="31"/>
  <c r="K59" i="31"/>
  <c r="K72" i="31"/>
  <c r="C72" i="31"/>
  <c r="D72" i="31"/>
  <c r="D102" i="31"/>
  <c r="C102" i="31"/>
  <c r="K102" i="31"/>
  <c r="D129" i="31"/>
  <c r="K129" i="31"/>
  <c r="C129" i="31"/>
  <c r="K21" i="31"/>
  <c r="D21" i="31"/>
  <c r="K38" i="31"/>
  <c r="D38" i="31"/>
  <c r="C38" i="31"/>
  <c r="D55" i="31"/>
  <c r="K55" i="31"/>
  <c r="C55" i="31"/>
  <c r="D64" i="31"/>
  <c r="K64" i="31"/>
  <c r="C64" i="31"/>
  <c r="K80" i="31"/>
  <c r="D80" i="31"/>
  <c r="C80" i="31"/>
  <c r="D113" i="31"/>
  <c r="K113" i="31"/>
  <c r="C113" i="31"/>
  <c r="K20" i="31"/>
  <c r="D20" i="31"/>
  <c r="O18" i="31"/>
  <c r="K37" i="31"/>
  <c r="D37" i="31"/>
  <c r="C37" i="31"/>
  <c r="D48" i="31"/>
  <c r="K48" i="31"/>
  <c r="C48" i="31"/>
  <c r="K79" i="31"/>
  <c r="D79" i="31"/>
  <c r="C79" i="31"/>
  <c r="D90" i="31"/>
  <c r="K90" i="31"/>
  <c r="C90" i="31"/>
  <c r="K101" i="31"/>
  <c r="D101" i="31"/>
  <c r="C101" i="31"/>
  <c r="D125" i="31"/>
  <c r="K125" i="31"/>
  <c r="C125" i="31"/>
  <c r="K23" i="31"/>
  <c r="D23" i="31"/>
  <c r="D35" i="31"/>
  <c r="K35" i="31"/>
  <c r="C35" i="31"/>
  <c r="D52" i="31"/>
  <c r="C52" i="31"/>
  <c r="K52" i="31"/>
  <c r="K70" i="31"/>
  <c r="C70" i="31"/>
  <c r="D70" i="31"/>
  <c r="K84" i="31"/>
  <c r="D84" i="31"/>
  <c r="C84" i="31"/>
  <c r="K109" i="31"/>
  <c r="C109" i="31"/>
  <c r="O24" i="31"/>
  <c r="D109" i="31"/>
  <c r="C111" i="31"/>
  <c r="D111" i="31"/>
  <c r="K111" i="31"/>
  <c r="D130" i="31"/>
  <c r="K130" i="31"/>
  <c r="C130" i="31"/>
  <c r="C105" i="31"/>
  <c r="K105" i="31"/>
  <c r="D105" i="31"/>
  <c r="K119" i="31"/>
  <c r="D119" i="31"/>
  <c r="C119" i="31"/>
  <c r="D14" i="31"/>
  <c r="K14" i="31"/>
  <c r="C28" i="31"/>
  <c r="K28" i="31"/>
  <c r="D28" i="31"/>
  <c r="D44" i="31"/>
  <c r="K44" i="31"/>
  <c r="C44" i="31"/>
  <c r="C62" i="31"/>
  <c r="K62" i="31"/>
  <c r="D62" i="31"/>
  <c r="C73" i="31"/>
  <c r="D73" i="31"/>
  <c r="K73" i="31"/>
  <c r="O21" i="31"/>
  <c r="K88" i="31"/>
  <c r="D88" i="31"/>
  <c r="C88" i="31"/>
  <c r="C108" i="31"/>
  <c r="K108" i="31"/>
  <c r="D108" i="31"/>
  <c r="K43" i="31"/>
  <c r="D43" i="31"/>
  <c r="C43" i="31"/>
  <c r="C58" i="31"/>
  <c r="K58" i="31"/>
  <c r="D58" i="31"/>
  <c r="D71" i="31"/>
  <c r="K71" i="31"/>
  <c r="C71" i="31"/>
  <c r="C87" i="31"/>
  <c r="K87" i="31"/>
  <c r="D87" i="31"/>
  <c r="K100" i="31"/>
  <c r="D100" i="31"/>
  <c r="C100" i="31"/>
  <c r="K27" i="31"/>
  <c r="C27" i="31"/>
  <c r="D27" i="31"/>
  <c r="K39" i="31"/>
  <c r="D39" i="31"/>
  <c r="C39" i="31"/>
  <c r="K49" i="31"/>
  <c r="C49" i="31"/>
  <c r="O19" i="31"/>
  <c r="D49" i="31"/>
  <c r="C65" i="31"/>
  <c r="D65" i="31"/>
  <c r="K65" i="31"/>
  <c r="K83" i="31"/>
  <c r="D83" i="31"/>
  <c r="C83" i="31"/>
  <c r="C94" i="31"/>
  <c r="D94" i="31"/>
  <c r="K94" i="31"/>
  <c r="D104" i="31"/>
  <c r="C104" i="31"/>
  <c r="K104" i="31"/>
  <c r="C25" i="31"/>
  <c r="D25" i="31"/>
  <c r="D12" i="31"/>
  <c r="G12" i="31" s="1"/>
  <c r="K25" i="31"/>
  <c r="O17" i="31"/>
  <c r="D36" i="31"/>
  <c r="K36" i="31"/>
  <c r="C36" i="31"/>
  <c r="K56" i="31"/>
  <c r="C56" i="31"/>
  <c r="D56" i="31"/>
  <c r="K75" i="31"/>
  <c r="C75" i="31"/>
  <c r="D75" i="31"/>
  <c r="K89" i="31"/>
  <c r="D89" i="31"/>
  <c r="C89" i="31"/>
  <c r="K117" i="31"/>
  <c r="D117" i="31"/>
  <c r="C117" i="31"/>
  <c r="C114" i="31"/>
  <c r="D114" i="31"/>
  <c r="K114" i="31"/>
  <c r="K132" i="31"/>
  <c r="D132" i="31"/>
  <c r="C132" i="31"/>
  <c r="C107" i="31"/>
  <c r="D107" i="31"/>
  <c r="K107" i="31"/>
  <c r="K122" i="31"/>
  <c r="C122" i="31"/>
  <c r="D122" i="31"/>
  <c r="C33" i="31"/>
  <c r="D33" i="31"/>
  <c r="K33" i="31"/>
  <c r="D50" i="31"/>
  <c r="C50" i="31"/>
  <c r="K50" i="31"/>
  <c r="C66" i="31"/>
  <c r="D66" i="31"/>
  <c r="K66" i="31"/>
  <c r="K77" i="31"/>
  <c r="D77" i="31"/>
  <c r="C77" i="31"/>
  <c r="D93" i="31"/>
  <c r="C93" i="31"/>
  <c r="K93" i="31"/>
  <c r="C115" i="31"/>
  <c r="D115" i="31"/>
  <c r="K115" i="31"/>
  <c r="K13" i="31"/>
  <c r="D13" i="31"/>
  <c r="O16" i="31"/>
  <c r="D29" i="31"/>
  <c r="C29" i="31"/>
  <c r="K29" i="31"/>
  <c r="D47" i="31"/>
  <c r="C47" i="31"/>
  <c r="K47" i="31"/>
  <c r="C60" i="31"/>
  <c r="D60" i="31"/>
  <c r="K60" i="31"/>
  <c r="C91" i="31"/>
  <c r="D91" i="31"/>
  <c r="K91" i="31"/>
  <c r="D103" i="31"/>
  <c r="K103" i="31"/>
  <c r="C103" i="31"/>
  <c r="D128" i="31"/>
  <c r="K128" i="31"/>
  <c r="C128" i="31"/>
  <c r="K30" i="31"/>
  <c r="C30" i="31"/>
  <c r="D30" i="31"/>
  <c r="C42" i="31"/>
  <c r="K42" i="31"/>
  <c r="D42" i="31"/>
  <c r="D53" i="31"/>
  <c r="C53" i="31"/>
  <c r="K53" i="31"/>
  <c r="D68" i="31"/>
  <c r="C68" i="31"/>
  <c r="K68" i="31"/>
  <c r="D85" i="31"/>
  <c r="O22" i="31"/>
  <c r="K85" i="31"/>
  <c r="C85" i="31"/>
  <c r="D96" i="31"/>
  <c r="K96" i="31"/>
  <c r="C96" i="31"/>
  <c r="D110" i="31"/>
  <c r="C110" i="31"/>
  <c r="K110" i="31"/>
  <c r="K15" i="31"/>
  <c r="D15" i="31"/>
  <c r="K26" i="31"/>
  <c r="C26" i="31"/>
  <c r="D26" i="31"/>
  <c r="C41" i="31"/>
  <c r="D41" i="31"/>
  <c r="K41" i="31"/>
  <c r="C63" i="31"/>
  <c r="D63" i="31"/>
  <c r="K63" i="31"/>
  <c r="C78" i="31"/>
  <c r="D78" i="31"/>
  <c r="K78" i="31"/>
  <c r="K92" i="31"/>
  <c r="D92" i="31"/>
  <c r="C92" i="31"/>
  <c r="C121" i="31"/>
  <c r="K121" i="31"/>
  <c r="D121" i="31"/>
  <c r="O25" i="31"/>
  <c r="C118" i="31"/>
  <c r="K118" i="31"/>
  <c r="D118" i="31"/>
  <c r="C112" i="31"/>
  <c r="D112" i="31"/>
  <c r="K112" i="31"/>
  <c r="D127" i="31"/>
  <c r="K127" i="31"/>
  <c r="C127" i="31"/>
  <c r="E50" i="31" l="1"/>
  <c r="E98" i="31"/>
  <c r="E45" i="31"/>
  <c r="E72" i="31"/>
  <c r="E54" i="31"/>
  <c r="G98" i="31"/>
  <c r="G45" i="31"/>
  <c r="E44" i="31"/>
  <c r="E55" i="31"/>
  <c r="E53" i="31"/>
  <c r="E29" i="31"/>
  <c r="E75" i="31"/>
  <c r="E56" i="31"/>
  <c r="E93" i="31"/>
  <c r="E64" i="31"/>
  <c r="E129" i="31"/>
  <c r="E102" i="31"/>
  <c r="E126" i="31"/>
  <c r="E123" i="31"/>
  <c r="E103" i="31"/>
  <c r="E104" i="31"/>
  <c r="E130" i="31"/>
  <c r="E125" i="31"/>
  <c r="E80" i="31"/>
  <c r="E116" i="31"/>
  <c r="E128" i="31"/>
  <c r="E32" i="31"/>
  <c r="N25" i="31"/>
  <c r="E92" i="31"/>
  <c r="E68" i="31"/>
  <c r="E47" i="31"/>
  <c r="E36" i="31"/>
  <c r="E39" i="31"/>
  <c r="E71" i="31"/>
  <c r="E88" i="31"/>
  <c r="E35" i="31"/>
  <c r="E48" i="31"/>
  <c r="E86" i="31"/>
  <c r="E74" i="31"/>
  <c r="E70" i="31"/>
  <c r="E52" i="31"/>
  <c r="E90" i="31"/>
  <c r="E113" i="31"/>
  <c r="E40" i="31"/>
  <c r="E67" i="31"/>
  <c r="E57" i="31"/>
  <c r="E46" i="31"/>
  <c r="E127" i="31"/>
  <c r="E110" i="31"/>
  <c r="E122" i="31"/>
  <c r="E100" i="31"/>
  <c r="E43" i="31"/>
  <c r="E59" i="31"/>
  <c r="E82" i="31"/>
  <c r="E81" i="31"/>
  <c r="E69" i="31"/>
  <c r="E30" i="31"/>
  <c r="E77" i="31"/>
  <c r="E132" i="31"/>
  <c r="E117" i="31"/>
  <c r="E89" i="31"/>
  <c r="E25" i="31"/>
  <c r="M17" i="31"/>
  <c r="E94" i="31"/>
  <c r="E65" i="31"/>
  <c r="M19" i="31"/>
  <c r="E49" i="31"/>
  <c r="E27" i="31"/>
  <c r="E119" i="31"/>
  <c r="N24" i="31"/>
  <c r="E84" i="31"/>
  <c r="E101" i="31"/>
  <c r="E79" i="31"/>
  <c r="E37" i="31"/>
  <c r="M18" i="31"/>
  <c r="E38" i="31"/>
  <c r="E124" i="31"/>
  <c r="E31" i="31"/>
  <c r="E120" i="31"/>
  <c r="N23" i="31"/>
  <c r="E34" i="31"/>
  <c r="E106" i="31"/>
  <c r="E76" i="31"/>
  <c r="E61" i="31"/>
  <c r="M20" i="31"/>
  <c r="N17" i="31"/>
  <c r="E112" i="31"/>
  <c r="E118" i="31"/>
  <c r="E63" i="31"/>
  <c r="E41" i="31"/>
  <c r="N16" i="31"/>
  <c r="E87" i="31"/>
  <c r="E58" i="31"/>
  <c r="E108" i="31"/>
  <c r="N18" i="31"/>
  <c r="N20" i="31"/>
  <c r="E51" i="31"/>
  <c r="E26" i="31"/>
  <c r="N22" i="31"/>
  <c r="E42" i="31"/>
  <c r="E91" i="31"/>
  <c r="E60" i="31"/>
  <c r="N21" i="31"/>
  <c r="M25" i="31"/>
  <c r="E121" i="31"/>
  <c r="E78" i="31"/>
  <c r="E96" i="31"/>
  <c r="E85" i="31"/>
  <c r="M22" i="31"/>
  <c r="K4" i="31"/>
  <c r="K5" i="31"/>
  <c r="E115" i="31"/>
  <c r="E66" i="31"/>
  <c r="E33" i="31"/>
  <c r="E107" i="31"/>
  <c r="E114" i="31"/>
  <c r="E83" i="31"/>
  <c r="N19" i="31"/>
  <c r="M21" i="31"/>
  <c r="E73" i="31"/>
  <c r="E62" i="31"/>
  <c r="E28" i="31"/>
  <c r="E105" i="31"/>
  <c r="E111" i="31"/>
  <c r="M24" i="31"/>
  <c r="E109" i="31"/>
  <c r="E131" i="31"/>
  <c r="M23" i="31"/>
  <c r="E97" i="31"/>
  <c r="E95" i="31"/>
  <c r="E99" i="31"/>
  <c r="G54" i="31" l="1"/>
  <c r="G50" i="31"/>
  <c r="G72" i="31"/>
  <c r="G99" i="31"/>
  <c r="G131" i="31"/>
  <c r="G105" i="31"/>
  <c r="G107" i="31"/>
  <c r="R18" i="31"/>
  <c r="R16" i="31"/>
  <c r="G112" i="31"/>
  <c r="G76" i="31"/>
  <c r="G120" i="31"/>
  <c r="G84" i="31"/>
  <c r="G49" i="31"/>
  <c r="G132" i="31"/>
  <c r="G81" i="31"/>
  <c r="G100" i="31"/>
  <c r="G46" i="31"/>
  <c r="G113" i="31"/>
  <c r="G74" i="31"/>
  <c r="G88" i="31"/>
  <c r="G47" i="31"/>
  <c r="G32" i="31"/>
  <c r="G125" i="31"/>
  <c r="G123" i="31"/>
  <c r="G64" i="31"/>
  <c r="G29" i="31"/>
  <c r="R22" i="31"/>
  <c r="G95" i="31"/>
  <c r="G109" i="31"/>
  <c r="G28" i="31"/>
  <c r="R17" i="31"/>
  <c r="G106" i="31"/>
  <c r="G31" i="31"/>
  <c r="G37" i="31"/>
  <c r="R24" i="31"/>
  <c r="G25" i="31"/>
  <c r="G77" i="31"/>
  <c r="G82" i="31"/>
  <c r="G122" i="31"/>
  <c r="G57" i="31"/>
  <c r="G90" i="31"/>
  <c r="G86" i="31"/>
  <c r="G71" i="31"/>
  <c r="G68" i="31"/>
  <c r="G128" i="31"/>
  <c r="G130" i="31"/>
  <c r="G126" i="31"/>
  <c r="G93" i="31"/>
  <c r="G53" i="31"/>
  <c r="R21" i="31"/>
  <c r="R19" i="31"/>
  <c r="G33" i="31"/>
  <c r="G78" i="31"/>
  <c r="G60" i="31"/>
  <c r="G26" i="31"/>
  <c r="G108" i="31"/>
  <c r="G41" i="31"/>
  <c r="G97" i="31"/>
  <c r="G62" i="31"/>
  <c r="G83" i="31"/>
  <c r="G66" i="31"/>
  <c r="G121" i="31"/>
  <c r="G91" i="31"/>
  <c r="G51" i="31"/>
  <c r="G58" i="31"/>
  <c r="G63" i="31"/>
  <c r="G34" i="31"/>
  <c r="G124" i="31"/>
  <c r="G79" i="31"/>
  <c r="G119" i="31"/>
  <c r="G65" i="31"/>
  <c r="G89" i="31"/>
  <c r="G30" i="31"/>
  <c r="G59" i="31"/>
  <c r="G110" i="31"/>
  <c r="G67" i="31"/>
  <c r="G52" i="31"/>
  <c r="G48" i="31"/>
  <c r="G39" i="31"/>
  <c r="G92" i="31"/>
  <c r="G116" i="31"/>
  <c r="G104" i="31"/>
  <c r="G102" i="31"/>
  <c r="G56" i="31"/>
  <c r="G55" i="31"/>
  <c r="G96" i="31"/>
  <c r="G111" i="31"/>
  <c r="G73" i="31"/>
  <c r="G114" i="31"/>
  <c r="G115" i="31"/>
  <c r="G85" i="31"/>
  <c r="G42" i="31"/>
  <c r="R20" i="31"/>
  <c r="G87" i="31"/>
  <c r="G118" i="31"/>
  <c r="G61" i="31"/>
  <c r="R23" i="31"/>
  <c r="G38" i="31"/>
  <c r="G101" i="31"/>
  <c r="G27" i="31"/>
  <c r="G94" i="31"/>
  <c r="G117" i="31"/>
  <c r="G69" i="31"/>
  <c r="G43" i="31"/>
  <c r="G127" i="31"/>
  <c r="G40" i="31"/>
  <c r="G70" i="31"/>
  <c r="G35" i="31"/>
  <c r="G36" i="31"/>
  <c r="R25" i="31"/>
  <c r="G80" i="31"/>
  <c r="G103" i="31"/>
  <c r="G129" i="31"/>
  <c r="G75" i="31"/>
  <c r="G44" i="31"/>
  <c r="P21" i="31"/>
  <c r="Q21" i="31"/>
  <c r="K3" i="25"/>
  <c r="M7" i="31"/>
  <c r="P5" i="31"/>
  <c r="K6" i="31"/>
  <c r="B5" i="31" s="1"/>
  <c r="Q18" i="31"/>
  <c r="P18" i="31"/>
  <c r="P17" i="31"/>
  <c r="Q17" i="31"/>
  <c r="Q24" i="31"/>
  <c r="P24" i="31"/>
  <c r="Q19" i="31"/>
  <c r="P19" i="31"/>
  <c r="P22" i="31"/>
  <c r="Q22" i="31"/>
  <c r="P23" i="31"/>
  <c r="Q23" i="31"/>
  <c r="Q25" i="31"/>
  <c r="P25" i="31"/>
  <c r="Q20" i="31"/>
  <c r="P20" i="31"/>
  <c r="C43" i="25" l="1"/>
  <c r="G9" i="25"/>
  <c r="C53" i="25"/>
  <c r="B5" i="25"/>
  <c r="P6" i="31"/>
  <c r="G32" i="25"/>
  <c r="G19" i="25"/>
  <c r="G16" i="25"/>
  <c r="G33" i="25"/>
  <c r="E14" i="25"/>
  <c r="E15" i="25"/>
  <c r="E32" i="25"/>
  <c r="G24" i="25"/>
  <c r="E33" i="25"/>
  <c r="E27" i="25"/>
  <c r="E30" i="25"/>
  <c r="E18" i="25"/>
  <c r="D9" i="31"/>
  <c r="E19" i="25"/>
  <c r="E28" i="25"/>
  <c r="E31" i="25"/>
  <c r="E16" i="25"/>
  <c r="E17" i="25"/>
  <c r="G30" i="25"/>
  <c r="E21" i="25"/>
  <c r="E29" i="25"/>
  <c r="G21" i="25"/>
  <c r="G27" i="25"/>
  <c r="F9" i="31"/>
  <c r="G26" i="25"/>
  <c r="G17" i="25"/>
  <c r="G34" i="25"/>
  <c r="G29" i="25"/>
  <c r="G15" i="25"/>
  <c r="G28" i="25"/>
  <c r="G18" i="25"/>
  <c r="E34" i="25"/>
  <c r="G25" i="25"/>
  <c r="G31" i="25"/>
  <c r="G23" i="25"/>
  <c r="E24" i="25"/>
  <c r="E23" i="25"/>
  <c r="E26" i="25"/>
  <c r="G22" i="25"/>
  <c r="E20" i="25"/>
  <c r="E22" i="25"/>
  <c r="G20" i="25"/>
  <c r="G14" i="25"/>
  <c r="E25" i="25"/>
  <c r="C39" i="25" l="1"/>
  <c r="B5" i="28"/>
  <c r="B4" i="31"/>
  <c r="B5" i="66"/>
  <c r="C23" i="31" l="1"/>
  <c r="E23" i="31" s="1"/>
  <c r="C17" i="31"/>
  <c r="E17" i="31" s="1"/>
  <c r="C14" i="31"/>
  <c r="E14" i="31" s="1"/>
  <c r="C22" i="31"/>
  <c r="E22" i="31" s="1"/>
  <c r="C19" i="31"/>
  <c r="E19" i="31" s="1"/>
  <c r="C21" i="31"/>
  <c r="E21" i="31" s="1"/>
  <c r="C24" i="31"/>
  <c r="E24" i="31" s="1"/>
  <c r="C20" i="31"/>
  <c r="E20" i="31" s="1"/>
  <c r="C15" i="31"/>
  <c r="E15" i="31" s="1"/>
  <c r="C18" i="31"/>
  <c r="E18" i="31" s="1"/>
  <c r="C16" i="31"/>
  <c r="E16" i="31" s="1"/>
  <c r="G19" i="31" l="1"/>
  <c r="G14" i="31"/>
  <c r="G24" i="31"/>
  <c r="G16" i="31"/>
  <c r="G15" i="31"/>
  <c r="G21" i="31"/>
  <c r="G18" i="31"/>
  <c r="G20" i="31"/>
  <c r="G22" i="31"/>
  <c r="G17" i="31"/>
  <c r="G23" i="31"/>
  <c r="C13" i="31"/>
  <c r="C9" i="31"/>
  <c r="E13" i="25"/>
  <c r="G9" i="31" l="1"/>
  <c r="G40" i="25" s="1"/>
  <c r="E40" i="25"/>
  <c r="E13" i="31"/>
  <c r="M16" i="31"/>
  <c r="M19" i="66"/>
  <c r="O20" i="66"/>
  <c r="K19" i="66"/>
  <c r="J16" i="66"/>
  <c r="F16" i="66"/>
  <c r="K22" i="66"/>
  <c r="J14" i="66"/>
  <c r="E13" i="66"/>
  <c r="L21" i="66"/>
  <c r="E14" i="66"/>
  <c r="I14" i="66"/>
  <c r="O22" i="66"/>
  <c r="G21" i="66"/>
  <c r="G14" i="66"/>
  <c r="J20" i="66"/>
  <c r="L13" i="66"/>
  <c r="M20" i="66"/>
  <c r="I20" i="66"/>
  <c r="E16" i="66"/>
  <c r="E15" i="66"/>
  <c r="F13" i="66"/>
  <c r="J17" i="66"/>
  <c r="E20" i="66"/>
  <c r="N21" i="66"/>
  <c r="L18" i="66"/>
  <c r="G13" i="66"/>
  <c r="O16" i="66"/>
  <c r="E17" i="66"/>
  <c r="K17" i="66"/>
  <c r="N17" i="66"/>
  <c r="H19" i="66"/>
  <c r="H13" i="66"/>
  <c r="H16" i="66"/>
  <c r="J18" i="66"/>
  <c r="G22" i="66"/>
  <c r="G18" i="66"/>
  <c r="L19" i="66"/>
  <c r="F19" i="66"/>
  <c r="G20" i="66"/>
  <c r="M13" i="66"/>
  <c r="L14" i="66"/>
  <c r="I16" i="66"/>
  <c r="J13" i="66"/>
  <c r="E21" i="66"/>
  <c r="O13" i="66"/>
  <c r="L15" i="66"/>
  <c r="I17" i="66"/>
  <c r="K13" i="66"/>
  <c r="N22" i="66"/>
  <c r="N19" i="66"/>
  <c r="N14" i="66"/>
  <c r="M22" i="66"/>
  <c r="I13" i="66"/>
  <c r="I19" i="66"/>
  <c r="O15" i="66"/>
  <c r="K18" i="66"/>
  <c r="K14" i="66"/>
  <c r="E22" i="66"/>
  <c r="K16" i="66"/>
  <c r="F20" i="66"/>
  <c r="L20" i="66"/>
  <c r="J19" i="66"/>
  <c r="G16" i="66"/>
  <c r="M17" i="66"/>
  <c r="E19" i="66"/>
  <c r="K15" i="66"/>
  <c r="O21" i="66"/>
  <c r="I18" i="66"/>
  <c r="N20" i="66"/>
  <c r="G17" i="66"/>
  <c r="M16" i="66"/>
  <c r="I15" i="66"/>
  <c r="O18" i="66"/>
  <c r="H21" i="66"/>
  <c r="K21" i="66"/>
  <c r="O19" i="66"/>
  <c r="E18" i="66"/>
  <c r="H17" i="66"/>
  <c r="J15" i="66"/>
  <c r="F17" i="66"/>
  <c r="N18" i="66"/>
  <c r="L22" i="66"/>
  <c r="M21" i="66"/>
  <c r="H20" i="66"/>
  <c r="N13" i="66"/>
  <c r="J21" i="66"/>
  <c r="H18" i="66"/>
  <c r="N16" i="66"/>
  <c r="O14" i="66"/>
  <c r="F22" i="66"/>
  <c r="O17" i="66"/>
  <c r="J22" i="66"/>
  <c r="F15" i="66"/>
  <c r="H14" i="66"/>
  <c r="M18" i="66"/>
  <c r="H22" i="66"/>
  <c r="M15" i="66"/>
  <c r="G19" i="66"/>
  <c r="N15" i="66"/>
  <c r="F21" i="66"/>
  <c r="K20" i="66"/>
  <c r="F18" i="66"/>
  <c r="L16" i="66"/>
  <c r="H15" i="66"/>
  <c r="I21" i="66"/>
  <c r="F14" i="66"/>
  <c r="M14" i="66"/>
  <c r="L17" i="66"/>
  <c r="I22" i="66"/>
  <c r="G15" i="66"/>
  <c r="G13" i="25"/>
  <c r="E9" i="31"/>
  <c r="P16" i="31" l="1"/>
  <c r="Q16" i="31"/>
  <c r="G13" i="31"/>
  <c r="D17" i="66"/>
  <c r="D16" i="66"/>
  <c r="D19" i="66"/>
  <c r="D22" i="66"/>
  <c r="D20" i="66"/>
  <c r="D18" i="66"/>
  <c r="D14" i="66"/>
  <c r="C14" i="66"/>
  <c r="D21" i="66"/>
  <c r="D15" i="66"/>
  <c r="D13" i="66"/>
  <c r="C22" i="66" l="1"/>
  <c r="C19" i="66"/>
  <c r="C13" i="66"/>
  <c r="C18" i="66"/>
  <c r="C21" i="66"/>
  <c r="C17" i="66"/>
  <c r="C16" i="66"/>
  <c r="C20" i="66"/>
  <c r="C15" i="66"/>
</calcChain>
</file>

<file path=xl/comments1.xml><?xml version="1.0" encoding="utf-8"?>
<comments xmlns="http://schemas.openxmlformats.org/spreadsheetml/2006/main">
  <authors>
    <author>PacifiCorp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<sst xmlns="http://schemas.openxmlformats.org/spreadsheetml/2006/main" count="1337" uniqueCount="179">
  <si>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</si>
  <si>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</si>
  <si>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</si>
  <si>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</si>
  <si>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</si>
  <si>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</si>
  <si>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</si>
  <si>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</si>
  <si>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</si>
  <si>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</si>
  <si>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</si>
  <si>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</si>
  <si>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</si>
  <si>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</si>
  <si>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</si>
  <si>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</si>
  <si>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</si>
  <si>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</si>
  <si>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</si>
  <si>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</si>
  <si>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</si>
  <si>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</si>
  <si>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</si>
  <si>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</si>
  <si>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</si>
  <si>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</si>
  <si>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</si>
  <si>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</si>
  <si>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</si>
  <si>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</si>
  <si>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</si>
  <si>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</si>
  <si>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</si>
  <si>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</si>
  <si>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</si>
  <si>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</si>
  <si>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</si>
  <si>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</si>
  <si>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</si>
  <si>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</si>
  <si>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</si>
  <si>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</si>
  <si>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</si>
  <si>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</si>
  <si>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</si>
  <si>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</si>
  <si>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</si>
  <si>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</si>
  <si>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</si>
  <si>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</si>
  <si>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</si>
  <si>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</si>
  <si>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</si>
  <si>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</si>
  <si>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</si>
  <si>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</si>
  <si>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</si>
  <si>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</si>
  <si>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</si>
  <si>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</si>
  <si>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</si>
  <si>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</si>
  <si>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</si>
  <si>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</si>
  <si>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</si>
  <si>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</si>
  <si>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</si>
  <si>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</si>
  <si>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</si>
  <si>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</si>
  <si>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</si>
  <si>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</si>
  <si>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</si>
  <si>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</si>
  <si>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</si>
  <si>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</si>
  <si>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</si>
  <si>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</si>
  <si>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</si>
  <si>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</si>
  <si>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</si>
  <si>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</si>
  <si>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</si>
  <si>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</si>
  <si>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</si>
  <si>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</si>
  <si>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</si>
  <si>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</si>
  <si>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</si>
  <si>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</si>
  <si>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</si>
  <si>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</si>
  <si>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</si>
  <si>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</si>
  <si>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</si>
  <si>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</si>
  <si>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</si>
  <si>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</si>
  <si>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</si>
  <si>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</si>
  <si>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</si>
  <si>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</si>
  <si>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</si>
  <si>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</si>
  <si>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</si>
  <si>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</si>
  <si>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</si>
  <si>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</si>
  <si>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</si>
  <si>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</si>
  <si>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</si>
  <si>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</si>
  <si>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</si>
  <si>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</si>
  <si>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</si>
  <si>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</si>
  <si>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</si>
  <si>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</si>
  <si>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</si>
  <si>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</si>
  <si>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</si>
  <si>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</si>
  <si>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</si>
  <si>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</si>
  <si>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</si>
  <si>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</si>
  <si>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</si>
  <si>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</si>
  <si>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</si>
  <si>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</si>
  <si>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</si>
  <si>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</si>
  <si>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</si>
  <si>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</si>
  <si>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</si>
  <si>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</si>
  <si>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</si>
  <si>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</si>
  <si>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</si>
  <si>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</si>
  <si>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</si>
  <si>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</si>
  <si>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</si>
  <si>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</si>
  <si>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</si>
  <si>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</si>
  <si>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</si>
  <si>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</si>
  <si>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</si>
  <si>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</si>
  <si>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</si>
  <si>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</si>
  <si>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</si>
  <si>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</si>
  <si>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</si>
  <si>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</si>
  <si>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</si>
  <si>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</si>
  <si>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</si>
  <si>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</si>
  <si>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</si>
  <si>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</si>
  <si>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</si>
  <si>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</si>
  <si>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2020</t>
  </si>
  <si>
    <t>Table 2</t>
  </si>
  <si>
    <t>Avoided Energy Costs - Scheduled Hours ($/MWh)</t>
  </si>
  <si>
    <t>Winter Season</t>
  </si>
  <si>
    <t>Summer Season</t>
  </si>
  <si>
    <t>Energy Only</t>
  </si>
  <si>
    <t>2017 IRP Update Yakima Solar Resource-2030</t>
  </si>
  <si>
    <t>2017 IRP Update Yakima Solar Resource-2032</t>
  </si>
  <si>
    <t>2017 IRP Update Yakima Solar Resource-2033</t>
  </si>
  <si>
    <t>2017 IRP Update Oregon Solar Resource-2030</t>
  </si>
  <si>
    <t>2017 IRP Update Oregon Solar Resource-2031</t>
  </si>
  <si>
    <t>2017 IRP Oregon Update Solar Resource-2031</t>
  </si>
  <si>
    <t>20 Year Starting 2019</t>
  </si>
  <si>
    <t>1 Year Starting 2020</t>
  </si>
  <si>
    <t>Tesoro Non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</si>
</sst>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8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305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1" fontId="0" fillId="0" borderId="0" xfId="0" applyAlignment="1">
      <alignment wrapText="1"/>
    </xf>
    <xf numFmtId="174" fontId="5" fillId="0" borderId="0" xfId="8" applyNumberFormat="1" applyFont="1" applyFill="1"/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5" fillId="0" borderId="0" xfId="0" applyFont="1" applyFill="1" applyAlignment="1">
      <alignment horizontal="centerContinuous"/>
    </xf>
    <xf numFmtId="171" fontId="36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5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7" fillId="0" borderId="0" xfId="0" applyNumberFormat="1" applyFont="1" applyFill="1" applyAlignment="1">
      <alignment horizontal="center"/>
    </xf>
    <xf numFmtId="8" fontId="37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1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24%20-%20Tesoro%20-%20UT%20-%202019%20May\Workpapers%20to%20File\024%20-%20Tesoro%20-%201a%20-%20GRID%20AC%20Study%20CONF%20_2019%2004%20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>
        <row r="4">
          <cell r="B4" t="str">
            <v>Year</v>
          </cell>
          <cell r="C4" t="str">
            <v>Annual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2020</v>
          </cell>
          <cell r="C7">
            <v>20.981757494964668</v>
          </cell>
          <cell r="D7">
            <v>19.364333729543013</v>
          </cell>
          <cell r="E7">
            <v>23.708441686196011</v>
          </cell>
          <cell r="F7">
            <v>17.395005827163835</v>
          </cell>
          <cell r="G7">
            <v>16.80974812750528</v>
          </cell>
          <cell r="H7">
            <v>15.80880899765045</v>
          </cell>
          <cell r="I7">
            <v>16.728882758716743</v>
          </cell>
          <cell r="J7">
            <v>31.711026000051014</v>
          </cell>
          <cell r="K7">
            <v>31.468600782535258</v>
          </cell>
          <cell r="L7">
            <v>22.37182767163889</v>
          </cell>
          <cell r="M7">
            <v>17.439515043378517</v>
          </cell>
          <cell r="N7">
            <v>20.987648424429246</v>
          </cell>
          <cell r="O7">
            <v>17.93642654832615</v>
          </cell>
        </row>
        <row r="8">
          <cell r="B8">
            <v>2021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2022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>
            <v>2023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2024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2025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2026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2027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2028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2029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2020-2029</v>
          </cell>
          <cell r="F3">
            <v>43831</v>
          </cell>
          <cell r="G3">
            <v>43862</v>
          </cell>
          <cell r="H3">
            <v>43891</v>
          </cell>
          <cell r="I3">
            <v>43922</v>
          </cell>
          <cell r="J3">
            <v>43952</v>
          </cell>
          <cell r="K3">
            <v>43983</v>
          </cell>
          <cell r="L3">
            <v>44013</v>
          </cell>
          <cell r="M3">
            <v>44044</v>
          </cell>
          <cell r="N3">
            <v>44075</v>
          </cell>
          <cell r="O3">
            <v>44105</v>
          </cell>
          <cell r="P3">
            <v>44136</v>
          </cell>
          <cell r="Q3">
            <v>44166</v>
          </cell>
          <cell r="R3">
            <v>2021</v>
          </cell>
          <cell r="S3">
            <v>44197</v>
          </cell>
          <cell r="T3">
            <v>44228</v>
          </cell>
          <cell r="U3">
            <v>44256</v>
          </cell>
          <cell r="V3">
            <v>44287</v>
          </cell>
          <cell r="W3">
            <v>44317</v>
          </cell>
          <cell r="X3">
            <v>44348</v>
          </cell>
          <cell r="Y3">
            <v>44378</v>
          </cell>
          <cell r="Z3">
            <v>44409</v>
          </cell>
          <cell r="AA3">
            <v>44440</v>
          </cell>
          <cell r="AB3">
            <v>44470</v>
          </cell>
          <cell r="AC3">
            <v>44501</v>
          </cell>
          <cell r="AD3">
            <v>44531</v>
          </cell>
          <cell r="AE3">
            <v>2022</v>
          </cell>
          <cell r="AF3">
            <v>44562</v>
          </cell>
          <cell r="AG3">
            <v>44593</v>
          </cell>
          <cell r="AH3">
            <v>44621</v>
          </cell>
          <cell r="AI3">
            <v>44652</v>
          </cell>
          <cell r="AJ3">
            <v>44682</v>
          </cell>
          <cell r="AK3">
            <v>44713</v>
          </cell>
          <cell r="AL3">
            <v>44743</v>
          </cell>
          <cell r="AM3">
            <v>44774</v>
          </cell>
          <cell r="AN3">
            <v>44805</v>
          </cell>
          <cell r="AO3">
            <v>44835</v>
          </cell>
          <cell r="AP3">
            <v>44866</v>
          </cell>
          <cell r="AQ3">
            <v>44896</v>
          </cell>
          <cell r="AR3">
            <v>2023</v>
          </cell>
          <cell r="AS3">
            <v>44927</v>
          </cell>
          <cell r="AT3">
            <v>44958</v>
          </cell>
          <cell r="AU3">
            <v>44986</v>
          </cell>
          <cell r="AV3">
            <v>45017</v>
          </cell>
          <cell r="AW3">
            <v>45047</v>
          </cell>
          <cell r="AX3">
            <v>45078</v>
          </cell>
          <cell r="AY3">
            <v>45108</v>
          </cell>
          <cell r="AZ3">
            <v>45139</v>
          </cell>
          <cell r="BA3">
            <v>45170</v>
          </cell>
          <cell r="BB3">
            <v>45200</v>
          </cell>
          <cell r="BC3">
            <v>45231</v>
          </cell>
          <cell r="BD3">
            <v>45261</v>
          </cell>
          <cell r="BE3">
            <v>2024</v>
          </cell>
          <cell r="BF3">
            <v>45292</v>
          </cell>
          <cell r="BG3">
            <v>45323</v>
          </cell>
          <cell r="BH3">
            <v>45352</v>
          </cell>
          <cell r="BI3">
            <v>45383</v>
          </cell>
          <cell r="BJ3">
            <v>45413</v>
          </cell>
          <cell r="BK3">
            <v>45444</v>
          </cell>
          <cell r="BL3">
            <v>45474</v>
          </cell>
          <cell r="BM3">
            <v>45505</v>
          </cell>
          <cell r="BN3">
            <v>45536</v>
          </cell>
          <cell r="BO3">
            <v>45566</v>
          </cell>
          <cell r="BP3">
            <v>45597</v>
          </cell>
          <cell r="BQ3">
            <v>45627</v>
          </cell>
          <cell r="BR3">
            <v>2025</v>
          </cell>
          <cell r="BS3">
            <v>45658</v>
          </cell>
          <cell r="BT3">
            <v>45689</v>
          </cell>
          <cell r="BU3">
            <v>45717</v>
          </cell>
          <cell r="BV3">
            <v>45748</v>
          </cell>
          <cell r="BW3">
            <v>45778</v>
          </cell>
          <cell r="BX3">
            <v>45809</v>
          </cell>
          <cell r="BY3">
            <v>45839</v>
          </cell>
          <cell r="BZ3">
            <v>45870</v>
          </cell>
          <cell r="CA3">
            <v>45901</v>
          </cell>
          <cell r="CB3">
            <v>45931</v>
          </cell>
          <cell r="CC3">
            <v>45962</v>
          </cell>
          <cell r="CD3">
            <v>45992</v>
          </cell>
          <cell r="CE3">
            <v>2026</v>
          </cell>
          <cell r="CF3">
            <v>46023</v>
          </cell>
          <cell r="CG3">
            <v>46054</v>
          </cell>
          <cell r="CH3">
            <v>46082</v>
          </cell>
          <cell r="CI3">
            <v>46113</v>
          </cell>
          <cell r="CJ3">
            <v>46143</v>
          </cell>
          <cell r="CK3">
            <v>46174</v>
          </cell>
          <cell r="CL3">
            <v>46204</v>
          </cell>
          <cell r="CM3">
            <v>46235</v>
          </cell>
          <cell r="CN3">
            <v>46266</v>
          </cell>
          <cell r="CO3">
            <v>46296</v>
          </cell>
          <cell r="CP3">
            <v>46327</v>
          </cell>
          <cell r="CQ3">
            <v>46357</v>
          </cell>
          <cell r="CR3">
            <v>2027</v>
          </cell>
          <cell r="CS3">
            <v>46388</v>
          </cell>
          <cell r="CT3">
            <v>46419</v>
          </cell>
          <cell r="CU3">
            <v>46447</v>
          </cell>
          <cell r="CV3">
            <v>46478</v>
          </cell>
          <cell r="CW3">
            <v>46508</v>
          </cell>
          <cell r="CX3">
            <v>46539</v>
          </cell>
          <cell r="CY3">
            <v>46569</v>
          </cell>
          <cell r="CZ3">
            <v>46600</v>
          </cell>
          <cell r="DA3">
            <v>46631</v>
          </cell>
          <cell r="DB3">
            <v>46661</v>
          </cell>
          <cell r="DC3">
            <v>46692</v>
          </cell>
          <cell r="DD3">
            <v>46722</v>
          </cell>
          <cell r="DE3">
            <v>2028</v>
          </cell>
          <cell r="DF3">
            <v>46753</v>
          </cell>
          <cell r="DG3">
            <v>46784</v>
          </cell>
          <cell r="DH3">
            <v>46813</v>
          </cell>
          <cell r="DI3">
            <v>46844</v>
          </cell>
          <cell r="DJ3">
            <v>46874</v>
          </cell>
          <cell r="DK3">
            <v>46905</v>
          </cell>
          <cell r="DL3">
            <v>46935</v>
          </cell>
          <cell r="DM3">
            <v>46966</v>
          </cell>
          <cell r="DN3">
            <v>46997</v>
          </cell>
          <cell r="DO3">
            <v>47027</v>
          </cell>
          <cell r="DP3">
            <v>47058</v>
          </cell>
          <cell r="DQ3">
            <v>47088</v>
          </cell>
          <cell r="DR3">
            <v>2029</v>
          </cell>
          <cell r="DS3">
            <v>47119</v>
          </cell>
          <cell r="DT3">
            <v>47150</v>
          </cell>
          <cell r="DU3">
            <v>47178</v>
          </cell>
          <cell r="DV3">
            <v>47209</v>
          </cell>
          <cell r="DW3">
            <v>47239</v>
          </cell>
          <cell r="DX3">
            <v>47270</v>
          </cell>
          <cell r="DY3">
            <v>47300</v>
          </cell>
          <cell r="DZ3">
            <v>47331</v>
          </cell>
          <cell r="EA3">
            <v>47362</v>
          </cell>
          <cell r="EB3">
            <v>47392</v>
          </cell>
          <cell r="EC3">
            <v>47423</v>
          </cell>
          <cell r="ED3">
            <v>47453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0</v>
          </cell>
          <cell r="H32">
            <v>347.70000000018626</v>
          </cell>
          <cell r="I32">
            <v>152.60000000009313</v>
          </cell>
          <cell r="J32">
            <v>1343.6999999999534</v>
          </cell>
          <cell r="K32">
            <v>11579.700000000186</v>
          </cell>
          <cell r="L32">
            <v>22271.5</v>
          </cell>
          <cell r="M32">
            <v>181.70000000018626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33144</v>
          </cell>
          <cell r="G33">
            <v>50957.700000000186</v>
          </cell>
          <cell r="H33">
            <v>17918.899999999907</v>
          </cell>
          <cell r="I33">
            <v>13991.099999999977</v>
          </cell>
          <cell r="J33">
            <v>4099.8100000000559</v>
          </cell>
          <cell r="K33">
            <v>0</v>
          </cell>
          <cell r="L33">
            <v>1822.5</v>
          </cell>
          <cell r="M33">
            <v>573</v>
          </cell>
          <cell r="N33">
            <v>5736</v>
          </cell>
          <cell r="O33">
            <v>27527.400000000373</v>
          </cell>
          <cell r="P33">
            <v>69801.700000000186</v>
          </cell>
          <cell r="Q33">
            <v>31284.799999999814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1193.7000000001863</v>
          </cell>
          <cell r="G34">
            <v>4563.2000000001863</v>
          </cell>
          <cell r="H34">
            <v>6681.2000000001863</v>
          </cell>
          <cell r="I34">
            <v>36233</v>
          </cell>
          <cell r="J34">
            <v>16477.199999999953</v>
          </cell>
          <cell r="K34">
            <v>21174.800000000047</v>
          </cell>
          <cell r="L34">
            <v>55828</v>
          </cell>
          <cell r="M34">
            <v>9418.5</v>
          </cell>
          <cell r="N34">
            <v>15680.800000000047</v>
          </cell>
          <cell r="O34">
            <v>6353.2000000001863</v>
          </cell>
          <cell r="P34">
            <v>11151.200000000186</v>
          </cell>
          <cell r="Q34">
            <v>1328.5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20890.799999998882</v>
          </cell>
          <cell r="G35">
            <v>13614</v>
          </cell>
          <cell r="H35">
            <v>4909.5999999996275</v>
          </cell>
          <cell r="I35">
            <v>3298.9499999997206</v>
          </cell>
          <cell r="J35">
            <v>8217.1100000001024</v>
          </cell>
          <cell r="K35">
            <v>1862</v>
          </cell>
          <cell r="L35">
            <v>19662</v>
          </cell>
          <cell r="M35">
            <v>653.70000000018626</v>
          </cell>
          <cell r="N35">
            <v>13777.100000000559</v>
          </cell>
          <cell r="O35">
            <v>12394.800000000745</v>
          </cell>
          <cell r="P35">
            <v>17907.800000000745</v>
          </cell>
          <cell r="Q35">
            <v>17274.499999999069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0</v>
          </cell>
          <cell r="G36">
            <v>497.68999999994412</v>
          </cell>
          <cell r="H36">
            <v>0</v>
          </cell>
          <cell r="I36">
            <v>2150.1999999999534</v>
          </cell>
          <cell r="J36">
            <v>758.5</v>
          </cell>
          <cell r="K36">
            <v>546.20000000018626</v>
          </cell>
          <cell r="L36">
            <v>8004</v>
          </cell>
          <cell r="M36">
            <v>11875</v>
          </cell>
          <cell r="N36">
            <v>177</v>
          </cell>
          <cell r="O36">
            <v>7780</v>
          </cell>
          <cell r="P36">
            <v>32440</v>
          </cell>
          <cell r="Q36">
            <v>5360.5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0</v>
          </cell>
          <cell r="H38">
            <v>-119.69430000003194</v>
          </cell>
          <cell r="I38">
            <v>-52.912499999976717</v>
          </cell>
          <cell r="J38">
            <v>-284.02434000000358</v>
          </cell>
          <cell r="K38">
            <v>-2434.96875</v>
          </cell>
          <cell r="L38">
            <v>-1168.3574999999255</v>
          </cell>
          <cell r="M38">
            <v>-16.720000000204891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55228.5</v>
          </cell>
          <cell r="G41">
            <v>69632.590000001714</v>
          </cell>
          <cell r="H41">
            <v>29737.705699998885</v>
          </cell>
          <cell r="I41">
            <v>55772.9375</v>
          </cell>
          <cell r="J41">
            <v>30612.295660000294</v>
          </cell>
          <cell r="K41">
            <v>32727.731250001118</v>
          </cell>
          <cell r="L41">
            <v>106419.64249999076</v>
          </cell>
          <cell r="M41">
            <v>22685.179999995977</v>
          </cell>
          <cell r="N41">
            <v>35370.89999999851</v>
          </cell>
          <cell r="O41">
            <v>54055.400000002235</v>
          </cell>
          <cell r="P41">
            <v>131300.70000000298</v>
          </cell>
          <cell r="Q41">
            <v>55248.29999999702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55228.5</v>
          </cell>
          <cell r="G43">
            <v>69632.589999999851</v>
          </cell>
          <cell r="H43">
            <v>29737.705699998885</v>
          </cell>
          <cell r="I43">
            <v>55772.9375</v>
          </cell>
          <cell r="J43">
            <v>30612.295660000294</v>
          </cell>
          <cell r="K43">
            <v>32727.731249999255</v>
          </cell>
          <cell r="L43">
            <v>106419.64249999076</v>
          </cell>
          <cell r="M43">
            <v>22685.179999992251</v>
          </cell>
          <cell r="N43">
            <v>35370.89999999851</v>
          </cell>
          <cell r="O43">
            <v>54055.400000002235</v>
          </cell>
          <cell r="P43">
            <v>131300.70000000298</v>
          </cell>
          <cell r="Q43">
            <v>55248.29999999702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</row>
        <row r="186">
          <cell r="F186">
            <v>0</v>
          </cell>
          <cell r="G186">
            <v>0</v>
          </cell>
          <cell r="H186">
            <v>-831.51260000000002</v>
          </cell>
          <cell r="I186">
            <v>0</v>
          </cell>
          <cell r="J186">
            <v>-968.83799999999974</v>
          </cell>
          <cell r="K186">
            <v>-7729.3099999999977</v>
          </cell>
          <cell r="L186">
            <v>-24872.939999999944</v>
          </cell>
          <cell r="M186">
            <v>-18146.825999999972</v>
          </cell>
          <cell r="N186">
            <v>-3193.7740000000049</v>
          </cell>
          <cell r="O186">
            <v>0</v>
          </cell>
          <cell r="P186">
            <v>0</v>
          </cell>
          <cell r="Q186">
            <v>-3887.5999999999767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7">
          <cell r="F187">
            <v>-18779.559999999998</v>
          </cell>
          <cell r="G187">
            <v>-52806.399999999907</v>
          </cell>
          <cell r="H187">
            <v>-38705.5</v>
          </cell>
          <cell r="I187">
            <v>-47710.5</v>
          </cell>
          <cell r="J187">
            <v>-48340.09999999986</v>
          </cell>
          <cell r="K187">
            <v>-12317.760000000009</v>
          </cell>
          <cell r="L187">
            <v>-13465.369999999995</v>
          </cell>
          <cell r="M187">
            <v>-2074.2985999999996</v>
          </cell>
          <cell r="N187">
            <v>-3485.6600000000035</v>
          </cell>
          <cell r="O187">
            <v>-32476.199999999953</v>
          </cell>
          <cell r="P187">
            <v>-20628.5</v>
          </cell>
          <cell r="Q187">
            <v>-11937.790000000008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</row>
        <row r="188">
          <cell r="F188">
            <v>0</v>
          </cell>
          <cell r="G188">
            <v>-7720.0999999999767</v>
          </cell>
          <cell r="H188">
            <v>-12957.280000000028</v>
          </cell>
          <cell r="I188">
            <v>-53124</v>
          </cell>
          <cell r="J188">
            <v>-60038.299999999814</v>
          </cell>
          <cell r="K188">
            <v>-60305</v>
          </cell>
          <cell r="L188">
            <v>-199384.5</v>
          </cell>
          <cell r="M188">
            <v>-281305</v>
          </cell>
          <cell r="N188">
            <v>-109634.70000000019</v>
          </cell>
          <cell r="O188">
            <v>-5996.2900000000081</v>
          </cell>
          <cell r="P188">
            <v>-19269.559999999998</v>
          </cell>
          <cell r="Q188">
            <v>-1363.9300000000512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89">
          <cell r="F189">
            <v>-2162.5470000000023</v>
          </cell>
          <cell r="G189">
            <v>-365.63999999999942</v>
          </cell>
          <cell r="H189">
            <v>-462.04000000000087</v>
          </cell>
          <cell r="I189">
            <v>-1693.1290000000008</v>
          </cell>
          <cell r="J189">
            <v>-522.11569999998028</v>
          </cell>
          <cell r="K189">
            <v>0</v>
          </cell>
          <cell r="L189">
            <v>594.88700000000063</v>
          </cell>
          <cell r="M189">
            <v>0</v>
          </cell>
          <cell r="N189">
            <v>-624.34450000000106</v>
          </cell>
          <cell r="O189">
            <v>-1870.9930000000022</v>
          </cell>
          <cell r="P189">
            <v>248.58699999999953</v>
          </cell>
          <cell r="Q189">
            <v>-1354.5310000000027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</row>
        <row r="190">
          <cell r="F190">
            <v>-8847.5</v>
          </cell>
          <cell r="G190">
            <v>-17846.799999999814</v>
          </cell>
          <cell r="H190">
            <v>-7618.2000000001863</v>
          </cell>
          <cell r="I190">
            <v>-5403.9000000001397</v>
          </cell>
          <cell r="J190">
            <v>-4930.6000000000931</v>
          </cell>
          <cell r="K190">
            <v>-967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</row>
        <row r="195">
          <cell r="F195">
            <v>-29789.606999999844</v>
          </cell>
          <cell r="G195">
            <v>-78738.939999999478</v>
          </cell>
          <cell r="H195">
            <v>-60574.532599999569</v>
          </cell>
          <cell r="I195">
            <v>-107931.5290000001</v>
          </cell>
          <cell r="J195">
            <v>-114799.95369999949</v>
          </cell>
          <cell r="K195">
            <v>-81319.070000000298</v>
          </cell>
          <cell r="L195">
            <v>-237127.92299999855</v>
          </cell>
          <cell r="M195">
            <v>-301526.12459999882</v>
          </cell>
          <cell r="N195">
            <v>-116938.4785000002</v>
          </cell>
          <cell r="O195">
            <v>-40343.483000000007</v>
          </cell>
          <cell r="P195">
            <v>-39649.472999999998</v>
          </cell>
          <cell r="Q195">
            <v>-18543.851000000257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7">
          <cell r="A197" t="str">
            <v>Total Purchased Power &amp; Net Interchange</v>
          </cell>
          <cell r="F197">
            <v>-29789.606999993324</v>
          </cell>
          <cell r="G197">
            <v>-78738.940000005066</v>
          </cell>
          <cell r="H197">
            <v>-60574.532600000501</v>
          </cell>
          <cell r="I197">
            <v>-107931.52899999917</v>
          </cell>
          <cell r="J197">
            <v>-114799.95370000601</v>
          </cell>
          <cell r="K197">
            <v>-81319.070000007749</v>
          </cell>
          <cell r="L197">
            <v>-237127.92299999297</v>
          </cell>
          <cell r="M197">
            <v>-301526.12460000068</v>
          </cell>
          <cell r="N197">
            <v>-116938.47849999368</v>
          </cell>
          <cell r="O197">
            <v>-40343.483000002801</v>
          </cell>
          <cell r="P197">
            <v>-39649.473000004888</v>
          </cell>
          <cell r="Q197">
            <v>-18543.851000003517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199">
          <cell r="A199" t="str">
            <v>Wheeling &amp; U. of F. Expense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  <cell r="W201" t="e">
            <v>#N/A</v>
          </cell>
          <cell r="X201" t="e">
            <v>#N/A</v>
          </cell>
          <cell r="Y201" t="e">
            <v>#N/A</v>
          </cell>
          <cell r="Z201" t="e">
            <v>#N/A</v>
          </cell>
          <cell r="AA201" t="e">
            <v>#N/A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 t="e">
            <v>#N/A</v>
          </cell>
          <cell r="AH201" t="e">
            <v>#N/A</v>
          </cell>
          <cell r="AI201" t="e">
            <v>#N/A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e">
            <v>#N/A</v>
          </cell>
          <cell r="AO201" t="e">
            <v>#N/A</v>
          </cell>
          <cell r="AP201" t="e">
            <v>#N/A</v>
          </cell>
          <cell r="AQ201" t="e">
            <v>#N/A</v>
          </cell>
          <cell r="AR201" t="e">
            <v>#N/A</v>
          </cell>
          <cell r="AS201" t="e">
            <v>#N/A</v>
          </cell>
          <cell r="AT201" t="e">
            <v>#N/A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F201" t="e">
            <v>#N/A</v>
          </cell>
          <cell r="CG201" t="e">
            <v>#N/A</v>
          </cell>
          <cell r="CH201" t="e">
            <v>#N/A</v>
          </cell>
          <cell r="CI201" t="e">
            <v>#N/A</v>
          </cell>
          <cell r="CJ201" t="e">
            <v>#N/A</v>
          </cell>
          <cell r="CK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P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CV201" t="e">
            <v>#N/A</v>
          </cell>
          <cell r="CW201" t="e">
            <v>#N/A</v>
          </cell>
          <cell r="CX201" t="e">
            <v>#N/A</v>
          </cell>
          <cell r="CY201" t="e">
            <v>#N/A</v>
          </cell>
          <cell r="CZ201" t="e">
            <v>#N/A</v>
          </cell>
          <cell r="DA201" t="e">
            <v>#N/A</v>
          </cell>
          <cell r="DB201" t="e">
            <v>#N/A</v>
          </cell>
          <cell r="DC201" t="e">
            <v>#N/A</v>
          </cell>
          <cell r="DD201" t="e">
            <v>#N/A</v>
          </cell>
          <cell r="DE201" t="e">
            <v>#N/A</v>
          </cell>
          <cell r="DF201" t="e">
            <v>#N/A</v>
          </cell>
          <cell r="DG201" t="e">
            <v>#N/A</v>
          </cell>
          <cell r="DH201" t="e">
            <v>#N/A</v>
          </cell>
          <cell r="DI201" t="e">
            <v>#N/A</v>
          </cell>
          <cell r="DJ201" t="e">
            <v>#N/A</v>
          </cell>
          <cell r="DK201" t="e">
            <v>#N/A</v>
          </cell>
          <cell r="DL201" t="e">
            <v>#N/A</v>
          </cell>
          <cell r="DM201" t="e">
            <v>#N/A</v>
          </cell>
          <cell r="DN201" t="e">
            <v>#N/A</v>
          </cell>
          <cell r="DO201" t="e">
            <v>#N/A</v>
          </cell>
          <cell r="DP201" t="e">
            <v>#N/A</v>
          </cell>
          <cell r="DQ201" t="e">
            <v>#N/A</v>
          </cell>
          <cell r="DR201" t="e">
            <v>#N/A</v>
          </cell>
          <cell r="DS201" t="e">
            <v>#N/A</v>
          </cell>
          <cell r="DT201" t="e">
            <v>#N/A</v>
          </cell>
          <cell r="DU201" t="e">
            <v>#N/A</v>
          </cell>
          <cell r="DV201" t="e">
            <v>#N/A</v>
          </cell>
          <cell r="DW201" t="e">
            <v>#N/A</v>
          </cell>
          <cell r="DX201" t="e">
            <v>#N/A</v>
          </cell>
          <cell r="DY201" t="e">
            <v>#N/A</v>
          </cell>
          <cell r="DZ201" t="e">
            <v>#N/A</v>
          </cell>
          <cell r="EA201" t="e">
            <v>#N/A</v>
          </cell>
          <cell r="EB201" t="e">
            <v>#N/A</v>
          </cell>
          <cell r="EC201" t="e">
            <v>#N/A</v>
          </cell>
          <cell r="ED201" t="e">
            <v>#N/A</v>
          </cell>
        </row>
        <row r="202">
          <cell r="F202">
            <v>32.420000000000073</v>
          </cell>
          <cell r="G202">
            <v>42.322000000000116</v>
          </cell>
          <cell r="H202">
            <v>0</v>
          </cell>
          <cell r="I202">
            <v>-40.282799999999952</v>
          </cell>
          <cell r="J202">
            <v>-29.836599999999635</v>
          </cell>
          <cell r="K202">
            <v>0</v>
          </cell>
          <cell r="L202">
            <v>-59.56670000000031</v>
          </cell>
          <cell r="M202">
            <v>-54.168999999999869</v>
          </cell>
          <cell r="N202">
            <v>-4.8440000000009604</v>
          </cell>
          <cell r="O202">
            <v>52.008299999999508</v>
          </cell>
          <cell r="P202">
            <v>104.03759999999966</v>
          </cell>
          <cell r="Q202">
            <v>49.407000000001062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</row>
        <row r="204">
          <cell r="A204" t="str">
            <v>Total Wheeling &amp; U. of F. Expense</v>
          </cell>
          <cell r="F204">
            <v>32.419999999925494</v>
          </cell>
          <cell r="G204">
            <v>42.322000000625849</v>
          </cell>
          <cell r="H204">
            <v>0</v>
          </cell>
          <cell r="I204">
            <v>-40.282800000160933</v>
          </cell>
          <cell r="J204">
            <v>-29.836600000038743</v>
          </cell>
          <cell r="K204">
            <v>0</v>
          </cell>
          <cell r="L204">
            <v>-59.566700000315905</v>
          </cell>
          <cell r="M204">
            <v>-54.168999999761581</v>
          </cell>
          <cell r="N204">
            <v>-4.8440000005066395</v>
          </cell>
          <cell r="O204">
            <v>52.008299998939037</v>
          </cell>
          <cell r="P204">
            <v>104.03760000132024</v>
          </cell>
          <cell r="Q204">
            <v>49.406999999657273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F204" t="e">
            <v>#N/A</v>
          </cell>
          <cell r="CG204" t="e">
            <v>#N/A</v>
          </cell>
          <cell r="CH204" t="e">
            <v>#N/A</v>
          </cell>
          <cell r="CI204" t="e">
            <v>#N/A</v>
          </cell>
          <cell r="CJ204" t="e">
            <v>#N/A</v>
          </cell>
          <cell r="CK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P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CV204" t="e">
            <v>#N/A</v>
          </cell>
          <cell r="CW204" t="e">
            <v>#N/A</v>
          </cell>
          <cell r="CX204" t="e">
            <v>#N/A</v>
          </cell>
          <cell r="CY204" t="e">
            <v>#N/A</v>
          </cell>
          <cell r="CZ204" t="e">
            <v>#N/A</v>
          </cell>
          <cell r="DA204" t="e">
            <v>#N/A</v>
          </cell>
          <cell r="DB204" t="e">
            <v>#N/A</v>
          </cell>
          <cell r="DC204" t="e">
            <v>#N/A</v>
          </cell>
          <cell r="DD204" t="e">
            <v>#N/A</v>
          </cell>
          <cell r="DE204" t="e">
            <v>#N/A</v>
          </cell>
          <cell r="DF204" t="e">
            <v>#N/A</v>
          </cell>
          <cell r="DG204" t="e">
            <v>#N/A</v>
          </cell>
          <cell r="DH204" t="e">
            <v>#N/A</v>
          </cell>
          <cell r="DI204" t="e">
            <v>#N/A</v>
          </cell>
          <cell r="DJ204" t="e">
            <v>#N/A</v>
          </cell>
          <cell r="DK204" t="e">
            <v>#N/A</v>
          </cell>
          <cell r="DL204" t="e">
            <v>#N/A</v>
          </cell>
          <cell r="DM204" t="e">
            <v>#N/A</v>
          </cell>
          <cell r="DN204" t="e">
            <v>#N/A</v>
          </cell>
          <cell r="DO204" t="e">
            <v>#N/A</v>
          </cell>
          <cell r="DP204" t="e">
            <v>#N/A</v>
          </cell>
          <cell r="DQ204" t="e">
            <v>#N/A</v>
          </cell>
          <cell r="DR204" t="e">
            <v>#N/A</v>
          </cell>
          <cell r="DS204" t="e">
            <v>#N/A</v>
          </cell>
          <cell r="DT204" t="e">
            <v>#N/A</v>
          </cell>
          <cell r="DU204" t="e">
            <v>#N/A</v>
          </cell>
          <cell r="DV204" t="e">
            <v>#N/A</v>
          </cell>
          <cell r="DW204" t="e">
            <v>#N/A</v>
          </cell>
          <cell r="DX204" t="e">
            <v>#N/A</v>
          </cell>
          <cell r="DY204" t="e">
            <v>#N/A</v>
          </cell>
          <cell r="DZ204" t="e">
            <v>#N/A</v>
          </cell>
          <cell r="EA204" t="e">
            <v>#N/A</v>
          </cell>
          <cell r="EB204" t="e">
            <v>#N/A</v>
          </cell>
          <cell r="EC204" t="e">
            <v>#N/A</v>
          </cell>
          <cell r="ED204" t="e">
            <v>#N/A</v>
          </cell>
          <cell r="EE204">
            <v>0</v>
          </cell>
        </row>
        <row r="206">
          <cell r="A206" t="str">
            <v>Coal Fuel Burn Expense</v>
          </cell>
        </row>
        <row r="207">
          <cell r="F207">
            <v>-11697.468757082708</v>
          </cell>
          <cell r="G207">
            <v>-6711.5101533257402</v>
          </cell>
          <cell r="H207">
            <v>-3490.5218703318387</v>
          </cell>
          <cell r="I207">
            <v>-2100.3394474284723</v>
          </cell>
          <cell r="J207">
            <v>-838.11324516125023</v>
          </cell>
          <cell r="K207">
            <v>-424.11295710597187</v>
          </cell>
          <cell r="L207">
            <v>-5224.535040942952</v>
          </cell>
          <cell r="M207">
            <v>-1814.9145230129361</v>
          </cell>
          <cell r="N207">
            <v>-1055.6388202416711</v>
          </cell>
          <cell r="O207">
            <v>-2649.9320531580597</v>
          </cell>
          <cell r="P207">
            <v>-16816.7494875025</v>
          </cell>
          <cell r="Q207">
            <v>-9045.8856559172273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</row>
        <row r="208">
          <cell r="F208">
            <v>0</v>
          </cell>
          <cell r="G208">
            <v>0</v>
          </cell>
          <cell r="H208">
            <v>-180.23727497225627</v>
          </cell>
          <cell r="I208">
            <v>-125.23387079522945</v>
          </cell>
          <cell r="J208">
            <v>-553.1840676642023</v>
          </cell>
          <cell r="K208">
            <v>-123.5484325857833</v>
          </cell>
          <cell r="L208">
            <v>0</v>
          </cell>
          <cell r="M208">
            <v>0</v>
          </cell>
          <cell r="N208">
            <v>0</v>
          </cell>
          <cell r="O208">
            <v>-228.3478180593811</v>
          </cell>
          <cell r="P208">
            <v>0</v>
          </cell>
          <cell r="Q208">
            <v>-177.02913051913492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</row>
        <row r="209">
          <cell r="F209">
            <v>-3390.6084681297652</v>
          </cell>
          <cell r="G209">
            <v>-1013.6711151341442</v>
          </cell>
          <cell r="H209">
            <v>0</v>
          </cell>
          <cell r="I209">
            <v>0</v>
          </cell>
          <cell r="J209">
            <v>-1133.6348937705625</v>
          </cell>
          <cell r="K209">
            <v>0</v>
          </cell>
          <cell r="L209">
            <v>-290.15879383776337</v>
          </cell>
          <cell r="M209">
            <v>-47.215775285847485</v>
          </cell>
          <cell r="N209">
            <v>-196.46127002476715</v>
          </cell>
          <cell r="O209">
            <v>-1094.3942200241145</v>
          </cell>
          <cell r="P209">
            <v>-4912.7022257139906</v>
          </cell>
          <cell r="Q209">
            <v>-4001.8146953522228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</row>
        <row r="210">
          <cell r="F210">
            <v>0</v>
          </cell>
          <cell r="G210">
            <v>0</v>
          </cell>
          <cell r="H210">
            <v>-1478.6062825219706</v>
          </cell>
          <cell r="I210">
            <v>-1900.0957001158968</v>
          </cell>
          <cell r="J210">
            <v>-4142.2607050160877</v>
          </cell>
          <cell r="K210">
            <v>-2357.9069790355861</v>
          </cell>
          <cell r="L210">
            <v>0</v>
          </cell>
          <cell r="M210">
            <v>0</v>
          </cell>
          <cell r="N210">
            <v>-169.83007471542805</v>
          </cell>
          <cell r="O210">
            <v>-228.92101704794914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</row>
        <row r="211">
          <cell r="F211">
            <v>-3750.3780919426354</v>
          </cell>
          <cell r="G211">
            <v>-1975.8373628081754</v>
          </cell>
          <cell r="H211">
            <v>-363.7716166904429</v>
          </cell>
          <cell r="I211">
            <v>-547.56992990954313</v>
          </cell>
          <cell r="J211">
            <v>-588.63382766011637</v>
          </cell>
          <cell r="K211">
            <v>0</v>
          </cell>
          <cell r="L211">
            <v>-1435.0161569936899</v>
          </cell>
          <cell r="M211">
            <v>-354.95650801900774</v>
          </cell>
          <cell r="N211">
            <v>-265.04679613467306</v>
          </cell>
          <cell r="O211">
            <v>0</v>
          </cell>
          <cell r="P211">
            <v>-3768.1182233586442</v>
          </cell>
          <cell r="Q211">
            <v>-2474.3856160666328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</row>
        <row r="212">
          <cell r="F212">
            <v>-100951.79010200128</v>
          </cell>
          <cell r="G212">
            <v>1704.3092010654509</v>
          </cell>
          <cell r="H212">
            <v>-60250.362108904868</v>
          </cell>
          <cell r="I212">
            <v>-23826.433399054222</v>
          </cell>
          <cell r="J212">
            <v>-32285.809420529753</v>
          </cell>
          <cell r="K212">
            <v>-32709.570250163786</v>
          </cell>
          <cell r="L212">
            <v>-64649.288738690317</v>
          </cell>
          <cell r="M212">
            <v>-57191.786265149713</v>
          </cell>
          <cell r="N212">
            <v>-73420.536651745439</v>
          </cell>
          <cell r="O212">
            <v>-44418.154022032395</v>
          </cell>
          <cell r="P212">
            <v>-50313.571778102778</v>
          </cell>
          <cell r="Q212">
            <v>-78458.008630705997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</row>
        <row r="213">
          <cell r="F213">
            <v>-495.74357794784009</v>
          </cell>
          <cell r="G213">
            <v>-3543.8062394019216</v>
          </cell>
          <cell r="H213">
            <v>-8211.3384737744927</v>
          </cell>
          <cell r="I213">
            <v>-12787.142939364538</v>
          </cell>
          <cell r="J213">
            <v>-18168.180961377919</v>
          </cell>
          <cell r="K213">
            <v>-26526.478512980044</v>
          </cell>
          <cell r="L213">
            <v>-4371.4242911245674</v>
          </cell>
          <cell r="M213">
            <v>-495.13530361838639</v>
          </cell>
          <cell r="N213">
            <v>-1941.3683476960286</v>
          </cell>
          <cell r="O213">
            <v>-6128.4855172038078</v>
          </cell>
          <cell r="P213">
            <v>-9235.3074788209051</v>
          </cell>
          <cell r="Q213">
            <v>-6566.4430339187384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</row>
        <row r="214">
          <cell r="F214">
            <v>-38509.486906979233</v>
          </cell>
          <cell r="G214">
            <v>-11467.437925364822</v>
          </cell>
          <cell r="H214">
            <v>-94109.845787674189</v>
          </cell>
          <cell r="I214">
            <v>-37980.871260751039</v>
          </cell>
          <cell r="J214">
            <v>-22438.123772080988</v>
          </cell>
          <cell r="K214">
            <v>-42094.999860670418</v>
          </cell>
          <cell r="L214">
            <v>-65875.497824475169</v>
          </cell>
          <cell r="M214">
            <v>-88683.796671248972</v>
          </cell>
          <cell r="N214">
            <v>-78557.79300935939</v>
          </cell>
          <cell r="O214">
            <v>-60235.693359158933</v>
          </cell>
          <cell r="P214">
            <v>-54887.579959895462</v>
          </cell>
          <cell r="Q214">
            <v>-59906.640145283192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</row>
        <row r="215">
          <cell r="F215">
            <v>0</v>
          </cell>
          <cell r="G215">
            <v>-2037.0693938657641</v>
          </cell>
          <cell r="H215">
            <v>-1798.5684525575489</v>
          </cell>
          <cell r="I215">
            <v>-3900.3369734259322</v>
          </cell>
          <cell r="J215">
            <v>-4638.0864295838401</v>
          </cell>
          <cell r="K215">
            <v>-5029.7123758047819</v>
          </cell>
          <cell r="L215">
            <v>-450.53915476240218</v>
          </cell>
          <cell r="M215">
            <v>-434.39240556117147</v>
          </cell>
          <cell r="N215">
            <v>-86.34025613963604</v>
          </cell>
          <cell r="O215">
            <v>-2586.3279791530222</v>
          </cell>
          <cell r="P215">
            <v>-619.51937034819275</v>
          </cell>
          <cell r="Q215">
            <v>-1051.3327812450007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8">
          <cell r="A218" t="str">
            <v>Total Coal Fuel Burn Expense</v>
          </cell>
          <cell r="F218">
            <v>-158795.47590407729</v>
          </cell>
          <cell r="G218">
            <v>-25045.022988833487</v>
          </cell>
          <cell r="H218">
            <v>-169883.25186742097</v>
          </cell>
          <cell r="I218">
            <v>-83168.023520842195</v>
          </cell>
          <cell r="J218">
            <v>-84786.027322843671</v>
          </cell>
          <cell r="K218">
            <v>-109266.32936835289</v>
          </cell>
          <cell r="L218">
            <v>-142296.46000082791</v>
          </cell>
          <cell r="M218">
            <v>-149022.19745189697</v>
          </cell>
          <cell r="N218">
            <v>-155693.01522606611</v>
          </cell>
          <cell r="O218">
            <v>-117570.2559858337</v>
          </cell>
          <cell r="P218">
            <v>-140553.54852375388</v>
          </cell>
          <cell r="Q218">
            <v>-161681.53968901187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20">
          <cell r="A220" t="str">
            <v>Gas Fuel Burn Expense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-2575.4308000002056</v>
          </cell>
          <cell r="J221">
            <v>0</v>
          </cell>
          <cell r="K221">
            <v>0</v>
          </cell>
          <cell r="L221">
            <v>-2772.9178424635902</v>
          </cell>
          <cell r="M221">
            <v>-5362.1960925180465</v>
          </cell>
          <cell r="N221">
            <v>-9682.5611993353814</v>
          </cell>
          <cell r="O221">
            <v>-4691.2574000004679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</row>
        <row r="223">
          <cell r="F223">
            <v>-18187.358208208345</v>
          </cell>
          <cell r="G223">
            <v>-14842.841321595944</v>
          </cell>
          <cell r="H223">
            <v>-7523.1598887359723</v>
          </cell>
          <cell r="I223">
            <v>0</v>
          </cell>
          <cell r="J223">
            <v>-5719.2634906405583</v>
          </cell>
          <cell r="K223">
            <v>-10296.105044792406</v>
          </cell>
          <cell r="L223">
            <v>-3281.2139877155423</v>
          </cell>
          <cell r="M223">
            <v>-2827.3267485937104</v>
          </cell>
          <cell r="N223">
            <v>-2160.6896226843819</v>
          </cell>
          <cell r="O223">
            <v>-15648.144720531069</v>
          </cell>
          <cell r="P223">
            <v>0</v>
          </cell>
          <cell r="Q223">
            <v>-20340.962944222614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4">
          <cell r="F224">
            <v>-2.1501633139632759</v>
          </cell>
          <cell r="G224">
            <v>2676.5801384245278</v>
          </cell>
          <cell r="H224">
            <v>32.760085753398016</v>
          </cell>
          <cell r="I224">
            <v>15.371114806475816</v>
          </cell>
          <cell r="J224">
            <v>43.318067048327066</v>
          </cell>
          <cell r="K224">
            <v>44.027539977978449</v>
          </cell>
          <cell r="L224">
            <v>31.537039687857032</v>
          </cell>
          <cell r="M224">
            <v>45.63592868950218</v>
          </cell>
          <cell r="N224">
            <v>68.265078515047207</v>
          </cell>
          <cell r="O224">
            <v>49.722435540461447</v>
          </cell>
          <cell r="P224">
            <v>16.242158250766806</v>
          </cell>
          <cell r="Q224">
            <v>5.3909318708829232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</row>
        <row r="225">
          <cell r="F225">
            <v>-28.198156971600838</v>
          </cell>
          <cell r="G225">
            <v>11.060967972502112</v>
          </cell>
          <cell r="H225">
            <v>-519.45476840611082</v>
          </cell>
          <cell r="I225">
            <v>-134.80328574334271</v>
          </cell>
          <cell r="J225">
            <v>-1998.7605612808838</v>
          </cell>
          <cell r="K225">
            <v>-356.14008771989029</v>
          </cell>
          <cell r="L225">
            <v>-1518.9378520412138</v>
          </cell>
          <cell r="M225">
            <v>-5624.9831476248801</v>
          </cell>
          <cell r="N225">
            <v>-1394.9354376983829</v>
          </cell>
          <cell r="O225">
            <v>22.423573216598015</v>
          </cell>
          <cell r="P225">
            <v>-444.07909939606907</v>
          </cell>
          <cell r="Q225">
            <v>-921.16688110079849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</row>
        <row r="226">
          <cell r="F226">
            <v>-932.75280000036582</v>
          </cell>
          <cell r="G226">
            <v>-2963.4821000001393</v>
          </cell>
          <cell r="H226">
            <v>-1601.9540999992751</v>
          </cell>
          <cell r="I226">
            <v>0</v>
          </cell>
          <cell r="J226">
            <v>0</v>
          </cell>
          <cell r="K226">
            <v>0</v>
          </cell>
          <cell r="L226">
            <v>-19.441757535561919</v>
          </cell>
          <cell r="M226">
            <v>-29.936307482421398</v>
          </cell>
          <cell r="N226">
            <v>-54.896000664681196</v>
          </cell>
          <cell r="O226">
            <v>0</v>
          </cell>
          <cell r="P226">
            <v>-200.83229999989271</v>
          </cell>
          <cell r="Q226">
            <v>-2733.6030000001192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7">
          <cell r="F227">
            <v>-25746.266899609938</v>
          </cell>
          <cell r="G227">
            <v>-158890.49817397539</v>
          </cell>
          <cell r="H227">
            <v>-831.7778163375333</v>
          </cell>
          <cell r="I227">
            <v>-2335.5838808133267</v>
          </cell>
          <cell r="J227">
            <v>-7247.3516109008342</v>
          </cell>
          <cell r="K227">
            <v>-10515.316603328101</v>
          </cell>
          <cell r="L227">
            <v>-2147.9418388418853</v>
          </cell>
          <cell r="M227">
            <v>-2282.6962265148759</v>
          </cell>
          <cell r="N227">
            <v>-1667.2038554642349</v>
          </cell>
          <cell r="O227">
            <v>66864.323887270875</v>
          </cell>
          <cell r="P227">
            <v>13550.629312552512</v>
          </cell>
          <cell r="Q227">
            <v>-12685.328793899156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</row>
        <row r="228">
          <cell r="F228">
            <v>-17472.227131896652</v>
          </cell>
          <cell r="G228">
            <v>-3264.441060825251</v>
          </cell>
          <cell r="H228">
            <v>-4375.9654722758569</v>
          </cell>
          <cell r="I228">
            <v>-4962.8614882491529</v>
          </cell>
          <cell r="J228">
            <v>-4787.0993742258288</v>
          </cell>
          <cell r="K228">
            <v>-11515.241394138895</v>
          </cell>
          <cell r="L228">
            <v>-5738.8126210877672</v>
          </cell>
          <cell r="M228">
            <v>-8149.4047259576619</v>
          </cell>
          <cell r="N228">
            <v>-19389.704612666741</v>
          </cell>
          <cell r="O228">
            <v>-110398.66992549691</v>
          </cell>
          <cell r="P228">
            <v>-22633.297041407786</v>
          </cell>
          <cell r="Q228">
            <v>-11474.949352649041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</row>
        <row r="230">
          <cell r="F230">
            <v>-62368.953359998763</v>
          </cell>
          <cell r="G230">
            <v>-177273.62154999934</v>
          </cell>
          <cell r="H230">
            <v>-14819.551960002631</v>
          </cell>
          <cell r="I230">
            <v>-9993.308339998126</v>
          </cell>
          <cell r="J230">
            <v>-19709.156970001757</v>
          </cell>
          <cell r="K230">
            <v>-32638.775590002537</v>
          </cell>
          <cell r="L230">
            <v>-15447.728859998286</v>
          </cell>
          <cell r="M230">
            <v>-24230.907320003957</v>
          </cell>
          <cell r="N230">
            <v>-34281.725650001317</v>
          </cell>
          <cell r="O230">
            <v>-63801.602150000632</v>
          </cell>
          <cell r="P230">
            <v>-9711.3369700014591</v>
          </cell>
          <cell r="Q230">
            <v>-48150.620039999485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</row>
        <row r="236">
          <cell r="A236" t="str">
            <v>Total Gas Fuel Burn Expense</v>
          </cell>
          <cell r="F236">
            <v>-62368.953359998763</v>
          </cell>
          <cell r="G236">
            <v>-177273.6215500012</v>
          </cell>
          <cell r="H236">
            <v>-14819.551960006356</v>
          </cell>
          <cell r="I236">
            <v>-9993.308339998126</v>
          </cell>
          <cell r="J236">
            <v>-19709.156970001757</v>
          </cell>
          <cell r="K236">
            <v>-32638.775590002537</v>
          </cell>
          <cell r="L236">
            <v>-15447.728859998286</v>
          </cell>
          <cell r="M236">
            <v>-24230.907320007682</v>
          </cell>
          <cell r="N236">
            <v>-34281.725650001317</v>
          </cell>
          <cell r="O236">
            <v>-63801.602150000632</v>
          </cell>
          <cell r="P236">
            <v>-9711.3369700014591</v>
          </cell>
          <cell r="Q236">
            <v>-48150.620039999485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</row>
        <row r="238">
          <cell r="A238" t="str">
            <v>Other Generation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3">
          <cell r="A243" t="str">
            <v>Total Other Generation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</row>
        <row r="245">
          <cell r="A245" t="str">
            <v>IRP Resources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</row>
        <row r="270">
          <cell r="A270" t="str">
            <v>Total IRP Resources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</row>
        <row r="272">
          <cell r="A272" t="str">
            <v>Growth Station Resources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-283.06519000000003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1">
          <cell r="A281" t="str">
            <v>Total Growth Station Resources</v>
          </cell>
          <cell r="F281">
            <v>0</v>
          </cell>
          <cell r="G281">
            <v>0</v>
          </cell>
          <cell r="H281">
            <v>0</v>
          </cell>
          <cell r="I281">
            <v>-283.06519000000844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 t="str">
            <v>=</v>
          </cell>
          <cell r="G282" t="str">
            <v>=</v>
          </cell>
          <cell r="H282" t="str">
            <v>=</v>
          </cell>
          <cell r="I282" t="str">
            <v>=</v>
          </cell>
          <cell r="J282" t="str">
            <v>=</v>
          </cell>
          <cell r="K282" t="str">
            <v>=</v>
          </cell>
          <cell r="L282" t="str">
            <v>=</v>
          </cell>
          <cell r="M282" t="str">
            <v>=</v>
          </cell>
          <cell r="N282" t="str">
            <v>=</v>
          </cell>
          <cell r="O282" t="str">
            <v>=</v>
          </cell>
          <cell r="P282" t="str">
            <v>=</v>
          </cell>
          <cell r="Q282" t="str">
            <v>=</v>
          </cell>
          <cell r="R282" t="str">
            <v>=</v>
          </cell>
          <cell r="S282" t="str">
            <v>=</v>
          </cell>
          <cell r="T282" t="str">
            <v>=</v>
          </cell>
          <cell r="U282" t="str">
            <v>=</v>
          </cell>
          <cell r="V282" t="str">
            <v>=</v>
          </cell>
          <cell r="W282" t="str">
            <v>=</v>
          </cell>
          <cell r="X282" t="str">
            <v>=</v>
          </cell>
          <cell r="Y282" t="str">
            <v>=</v>
          </cell>
          <cell r="Z282" t="str">
            <v>=</v>
          </cell>
          <cell r="AA282" t="str">
            <v>=</v>
          </cell>
          <cell r="AB282" t="str">
            <v>=</v>
          </cell>
          <cell r="AC282" t="str">
            <v>=</v>
          </cell>
          <cell r="AD282" t="str">
            <v>=</v>
          </cell>
          <cell r="AE282" t="str">
            <v>=</v>
          </cell>
          <cell r="AF282" t="str">
            <v>=</v>
          </cell>
          <cell r="AG282" t="str">
            <v>=</v>
          </cell>
          <cell r="AH282" t="str">
            <v>=</v>
          </cell>
          <cell r="AI282" t="str">
            <v>=</v>
          </cell>
          <cell r="AJ282" t="str">
            <v>=</v>
          </cell>
          <cell r="AK282" t="str">
            <v>=</v>
          </cell>
          <cell r="AL282" t="str">
            <v>=</v>
          </cell>
          <cell r="AM282" t="str">
            <v>=</v>
          </cell>
          <cell r="AN282" t="str">
            <v>=</v>
          </cell>
          <cell r="AO282" t="str">
            <v>=</v>
          </cell>
          <cell r="AP282" t="str">
            <v>=</v>
          </cell>
          <cell r="AQ282" t="str">
            <v>=</v>
          </cell>
          <cell r="AR282" t="str">
            <v>=</v>
          </cell>
          <cell r="AS282" t="str">
            <v>=</v>
          </cell>
          <cell r="AT282" t="str">
            <v>=</v>
          </cell>
          <cell r="AU282" t="str">
            <v>=</v>
          </cell>
          <cell r="AV282" t="str">
            <v>=</v>
          </cell>
          <cell r="AW282" t="str">
            <v>=</v>
          </cell>
          <cell r="AX282" t="str">
            <v>=</v>
          </cell>
          <cell r="AY282" t="str">
            <v>=</v>
          </cell>
          <cell r="AZ282" t="str">
            <v>=</v>
          </cell>
          <cell r="BA282" t="str">
            <v>=</v>
          </cell>
          <cell r="BB282" t="str">
            <v>=</v>
          </cell>
          <cell r="BC282" t="str">
            <v>=</v>
          </cell>
          <cell r="BD282" t="str">
            <v>=</v>
          </cell>
          <cell r="BE282" t="str">
            <v>=</v>
          </cell>
          <cell r="BF282" t="str">
            <v>=</v>
          </cell>
          <cell r="BG282" t="str">
            <v>=</v>
          </cell>
          <cell r="BH282" t="str">
            <v>=</v>
          </cell>
          <cell r="BI282" t="str">
            <v>=</v>
          </cell>
          <cell r="BJ282" t="str">
            <v>=</v>
          </cell>
          <cell r="BK282" t="str">
            <v>=</v>
          </cell>
          <cell r="BL282" t="str">
            <v>=</v>
          </cell>
          <cell r="BM282" t="str">
            <v>=</v>
          </cell>
          <cell r="BN282" t="str">
            <v>=</v>
          </cell>
          <cell r="BO282" t="str">
            <v>=</v>
          </cell>
          <cell r="BP282" t="str">
            <v>=</v>
          </cell>
          <cell r="BQ282" t="str">
            <v>=</v>
          </cell>
          <cell r="BR282" t="str">
            <v>=</v>
          </cell>
          <cell r="BS282" t="str">
            <v>=</v>
          </cell>
          <cell r="BT282" t="str">
            <v>=</v>
          </cell>
          <cell r="BU282" t="str">
            <v>=</v>
          </cell>
          <cell r="BV282" t="str">
            <v>=</v>
          </cell>
          <cell r="BW282" t="str">
            <v>=</v>
          </cell>
          <cell r="BX282" t="str">
            <v>=</v>
          </cell>
          <cell r="BY282" t="str">
            <v>=</v>
          </cell>
          <cell r="BZ282" t="str">
            <v>=</v>
          </cell>
          <cell r="CA282" t="str">
            <v>=</v>
          </cell>
          <cell r="CB282" t="str">
            <v>=</v>
          </cell>
          <cell r="CC282" t="str">
            <v>=</v>
          </cell>
          <cell r="CD282" t="str">
            <v>=</v>
          </cell>
          <cell r="CE282" t="str">
            <v>=</v>
          </cell>
          <cell r="CF282" t="str">
            <v>=</v>
          </cell>
          <cell r="CG282" t="str">
            <v>=</v>
          </cell>
          <cell r="CH282" t="str">
            <v>=</v>
          </cell>
          <cell r="CI282" t="str">
            <v>=</v>
          </cell>
          <cell r="CJ282" t="str">
            <v>=</v>
          </cell>
          <cell r="CK282" t="str">
            <v>=</v>
          </cell>
          <cell r="CL282" t="str">
            <v>=</v>
          </cell>
          <cell r="CM282" t="str">
            <v>=</v>
          </cell>
          <cell r="CN282" t="str">
            <v>=</v>
          </cell>
          <cell r="CO282" t="str">
            <v>=</v>
          </cell>
          <cell r="CP282" t="str">
            <v>=</v>
          </cell>
          <cell r="CQ282" t="str">
            <v>=</v>
          </cell>
          <cell r="CR282" t="str">
            <v>=</v>
          </cell>
          <cell r="CS282" t="str">
            <v>=</v>
          </cell>
          <cell r="CT282" t="str">
            <v>=</v>
          </cell>
          <cell r="CU282" t="str">
            <v>=</v>
          </cell>
          <cell r="CV282" t="str">
            <v>=</v>
          </cell>
          <cell r="CW282" t="str">
            <v>=</v>
          </cell>
          <cell r="CX282" t="str">
            <v>=</v>
          </cell>
          <cell r="CY282" t="str">
            <v>=</v>
          </cell>
          <cell r="CZ282" t="str">
            <v>=</v>
          </cell>
          <cell r="DA282" t="str">
            <v>=</v>
          </cell>
          <cell r="DB282" t="str">
            <v>=</v>
          </cell>
          <cell r="DC282" t="str">
            <v>=</v>
          </cell>
          <cell r="DD282" t="str">
            <v>=</v>
          </cell>
          <cell r="DE282" t="str">
            <v>=</v>
          </cell>
          <cell r="DF282" t="str">
            <v>=</v>
          </cell>
          <cell r="DG282" t="str">
            <v>=</v>
          </cell>
          <cell r="DH282" t="str">
            <v>=</v>
          </cell>
          <cell r="DI282" t="str">
            <v>=</v>
          </cell>
          <cell r="DJ282" t="str">
            <v>=</v>
          </cell>
          <cell r="DK282" t="str">
            <v>=</v>
          </cell>
          <cell r="DL282" t="str">
            <v>=</v>
          </cell>
          <cell r="DM282" t="str">
            <v>=</v>
          </cell>
          <cell r="DN282" t="str">
            <v>=</v>
          </cell>
          <cell r="DO282" t="str">
            <v>=</v>
          </cell>
          <cell r="DP282" t="str">
            <v>=</v>
          </cell>
          <cell r="DQ282" t="str">
            <v>=</v>
          </cell>
          <cell r="DR282" t="str">
            <v>=</v>
          </cell>
          <cell r="DS282" t="str">
            <v>=</v>
          </cell>
          <cell r="DT282" t="str">
            <v>=</v>
          </cell>
          <cell r="DU282" t="str">
            <v>=</v>
          </cell>
          <cell r="DV282" t="str">
            <v>=</v>
          </cell>
          <cell r="DW282" t="str">
            <v>=</v>
          </cell>
          <cell r="DX282" t="str">
            <v>=</v>
          </cell>
          <cell r="DY282" t="str">
            <v>=</v>
          </cell>
          <cell r="DZ282" t="str">
            <v>=</v>
          </cell>
          <cell r="EA282" t="str">
            <v>=</v>
          </cell>
          <cell r="EB282" t="str">
            <v>=</v>
          </cell>
          <cell r="EC282" t="str">
            <v>=</v>
          </cell>
          <cell r="ED282" t="str">
            <v>=</v>
          </cell>
        </row>
        <row r="283">
          <cell r="A283" t="str">
            <v>Net Power Cost</v>
          </cell>
          <cell r="F283">
            <v>-306150.11626407504</v>
          </cell>
          <cell r="G283">
            <v>-350647.85253883898</v>
          </cell>
          <cell r="H283">
            <v>-275015.04212746024</v>
          </cell>
          <cell r="I283">
            <v>-257189.14635083079</v>
          </cell>
          <cell r="J283">
            <v>-249937.27025285363</v>
          </cell>
          <cell r="K283">
            <v>-255951.90620836616</v>
          </cell>
          <cell r="L283">
            <v>-501351.32106080651</v>
          </cell>
          <cell r="M283">
            <v>-497518.57837188244</v>
          </cell>
          <cell r="N283">
            <v>-342288.96337607503</v>
          </cell>
          <cell r="O283">
            <v>-275718.73283581436</v>
          </cell>
          <cell r="P283">
            <v>-321111.02089376748</v>
          </cell>
          <cell r="Q283">
            <v>-283574.90372903645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 t="e">
            <v>#N/A</v>
          </cell>
          <cell r="AH283" t="e">
            <v>#N/A</v>
          </cell>
          <cell r="AI283" t="e">
            <v>#N/A</v>
          </cell>
          <cell r="AJ283" t="e">
            <v>#N/A</v>
          </cell>
          <cell r="AK283" t="e">
            <v>#N/A</v>
          </cell>
          <cell r="AL283" t="e">
            <v>#N/A</v>
          </cell>
          <cell r="AM283" t="e">
            <v>#N/A</v>
          </cell>
          <cell r="AN283" t="e">
            <v>#N/A</v>
          </cell>
          <cell r="AO283" t="e">
            <v>#N/A</v>
          </cell>
          <cell r="AP283" t="e">
            <v>#N/A</v>
          </cell>
          <cell r="AQ283" t="e">
            <v>#N/A</v>
          </cell>
          <cell r="AR283" t="e">
            <v>#N/A</v>
          </cell>
          <cell r="AS283" t="e">
            <v>#N/A</v>
          </cell>
          <cell r="AT283" t="e">
            <v>#N/A</v>
          </cell>
          <cell r="AU283" t="e">
            <v>#N/A</v>
          </cell>
          <cell r="AV283" t="e">
            <v>#N/A</v>
          </cell>
          <cell r="AW283" t="e">
            <v>#N/A</v>
          </cell>
          <cell r="AX283" t="e">
            <v>#N/A</v>
          </cell>
          <cell r="AY283" t="e">
            <v>#N/A</v>
          </cell>
          <cell r="AZ283" t="e">
            <v>#N/A</v>
          </cell>
          <cell r="BA283" t="e">
            <v>#N/A</v>
          </cell>
          <cell r="BB283" t="e">
            <v>#N/A</v>
          </cell>
          <cell r="BC283" t="e">
            <v>#N/A</v>
          </cell>
          <cell r="BD283" t="e">
            <v>#N/A</v>
          </cell>
          <cell r="BE283" t="e">
            <v>#N/A</v>
          </cell>
          <cell r="BF283" t="e">
            <v>#N/A</v>
          </cell>
          <cell r="BG283" t="e">
            <v>#N/A</v>
          </cell>
          <cell r="BH283" t="e">
            <v>#N/A</v>
          </cell>
          <cell r="BI283" t="e">
            <v>#N/A</v>
          </cell>
          <cell r="BJ283" t="e">
            <v>#N/A</v>
          </cell>
          <cell r="BK283" t="e">
            <v>#N/A</v>
          </cell>
          <cell r="BL283" t="e">
            <v>#N/A</v>
          </cell>
          <cell r="BM283" t="e">
            <v>#N/A</v>
          </cell>
          <cell r="BN283" t="e">
            <v>#N/A</v>
          </cell>
          <cell r="BO283" t="e">
            <v>#N/A</v>
          </cell>
          <cell r="BP283" t="e">
            <v>#N/A</v>
          </cell>
          <cell r="BQ283" t="e">
            <v>#N/A</v>
          </cell>
          <cell r="BR283" t="e">
            <v>#N/A</v>
          </cell>
          <cell r="BS283" t="e">
            <v>#N/A</v>
          </cell>
          <cell r="BT283" t="e">
            <v>#N/A</v>
          </cell>
          <cell r="BU283" t="e">
            <v>#N/A</v>
          </cell>
          <cell r="BV283" t="e">
            <v>#N/A</v>
          </cell>
          <cell r="BW283" t="e">
            <v>#N/A</v>
          </cell>
          <cell r="BX283" t="e">
            <v>#N/A</v>
          </cell>
          <cell r="BY283" t="e">
            <v>#N/A</v>
          </cell>
          <cell r="BZ283" t="e">
            <v>#N/A</v>
          </cell>
          <cell r="CA283" t="e">
            <v>#N/A</v>
          </cell>
          <cell r="CB283" t="e">
            <v>#N/A</v>
          </cell>
          <cell r="CC283" t="e">
            <v>#N/A</v>
          </cell>
          <cell r="CD283" t="e">
            <v>#N/A</v>
          </cell>
          <cell r="CE283" t="e">
            <v>#N/A</v>
          </cell>
          <cell r="CF283" t="e">
            <v>#N/A</v>
          </cell>
          <cell r="CG283" t="e">
            <v>#N/A</v>
          </cell>
          <cell r="CH283" t="e">
            <v>#N/A</v>
          </cell>
          <cell r="CI283" t="e">
            <v>#N/A</v>
          </cell>
          <cell r="CJ283" t="e">
            <v>#N/A</v>
          </cell>
          <cell r="CK283" t="e">
            <v>#N/A</v>
          </cell>
          <cell r="CL283" t="e">
            <v>#N/A</v>
          </cell>
          <cell r="CM283" t="e">
            <v>#N/A</v>
          </cell>
          <cell r="CN283" t="e">
            <v>#N/A</v>
          </cell>
          <cell r="CO283" t="e">
            <v>#N/A</v>
          </cell>
          <cell r="CP283" t="e">
            <v>#N/A</v>
          </cell>
          <cell r="CQ283" t="e">
            <v>#N/A</v>
          </cell>
          <cell r="CR283" t="e">
            <v>#N/A</v>
          </cell>
          <cell r="CS283" t="e">
            <v>#N/A</v>
          </cell>
          <cell r="CT283" t="e">
            <v>#N/A</v>
          </cell>
          <cell r="CU283" t="e">
            <v>#N/A</v>
          </cell>
          <cell r="CV283" t="e">
            <v>#N/A</v>
          </cell>
          <cell r="CW283" t="e">
            <v>#N/A</v>
          </cell>
          <cell r="CX283" t="e">
            <v>#N/A</v>
          </cell>
          <cell r="CY283" t="e">
            <v>#N/A</v>
          </cell>
          <cell r="CZ283" t="e">
            <v>#N/A</v>
          </cell>
          <cell r="DA283" t="e">
            <v>#N/A</v>
          </cell>
          <cell r="DB283" t="e">
            <v>#N/A</v>
          </cell>
          <cell r="DC283" t="e">
            <v>#N/A</v>
          </cell>
          <cell r="DD283" t="e">
            <v>#N/A</v>
          </cell>
          <cell r="DE283" t="e">
            <v>#N/A</v>
          </cell>
          <cell r="DF283" t="e">
            <v>#N/A</v>
          </cell>
          <cell r="DG283" t="e">
            <v>#N/A</v>
          </cell>
          <cell r="DH283" t="e">
            <v>#N/A</v>
          </cell>
          <cell r="DI283" t="e">
            <v>#N/A</v>
          </cell>
          <cell r="DJ283" t="e">
            <v>#N/A</v>
          </cell>
          <cell r="DK283" t="e">
            <v>#N/A</v>
          </cell>
          <cell r="DL283" t="e">
            <v>#N/A</v>
          </cell>
          <cell r="DM283" t="e">
            <v>#N/A</v>
          </cell>
          <cell r="DN283" t="e">
            <v>#N/A</v>
          </cell>
          <cell r="DO283" t="e">
            <v>#N/A</v>
          </cell>
          <cell r="DP283" t="e">
            <v>#N/A</v>
          </cell>
          <cell r="DQ283" t="e">
            <v>#N/A</v>
          </cell>
          <cell r="DR283" t="e">
            <v>#N/A</v>
          </cell>
          <cell r="DS283" t="e">
            <v>#N/A</v>
          </cell>
          <cell r="DT283" t="e">
            <v>#N/A</v>
          </cell>
          <cell r="DU283" t="e">
            <v>#N/A</v>
          </cell>
          <cell r="DV283" t="e">
            <v>#N/A</v>
          </cell>
          <cell r="DW283" t="e">
            <v>#N/A</v>
          </cell>
          <cell r="DX283" t="e">
            <v>#N/A</v>
          </cell>
          <cell r="DY283" t="e">
            <v>#N/A</v>
          </cell>
          <cell r="DZ283" t="e">
            <v>#N/A</v>
          </cell>
          <cell r="EA283" t="e">
            <v>#N/A</v>
          </cell>
          <cell r="EB283" t="e">
            <v>#N/A</v>
          </cell>
          <cell r="EC283" t="e">
            <v>#N/A</v>
          </cell>
          <cell r="ED283" t="e">
            <v>#N/A</v>
          </cell>
        </row>
        <row r="284">
          <cell r="F284" t="str">
            <v>=</v>
          </cell>
          <cell r="G284" t="str">
            <v>=</v>
          </cell>
          <cell r="H284" t="str">
            <v>=</v>
          </cell>
          <cell r="I284" t="str">
            <v>=</v>
          </cell>
          <cell r="J284" t="str">
            <v>=</v>
          </cell>
          <cell r="K284" t="str">
            <v>=</v>
          </cell>
          <cell r="L284" t="str">
            <v>=</v>
          </cell>
          <cell r="M284" t="str">
            <v>=</v>
          </cell>
          <cell r="N284" t="str">
            <v>=</v>
          </cell>
          <cell r="O284" t="str">
            <v>=</v>
          </cell>
          <cell r="P284" t="str">
            <v>=</v>
          </cell>
          <cell r="Q284" t="str">
            <v>=</v>
          </cell>
          <cell r="R284" t="str">
            <v>=</v>
          </cell>
          <cell r="S284" t="str">
            <v>=</v>
          </cell>
          <cell r="T284" t="str">
            <v>=</v>
          </cell>
          <cell r="U284" t="str">
            <v>=</v>
          </cell>
          <cell r="V284" t="str">
            <v>=</v>
          </cell>
          <cell r="W284" t="str">
            <v>=</v>
          </cell>
          <cell r="X284" t="str">
            <v>=</v>
          </cell>
          <cell r="Y284" t="str">
            <v>=</v>
          </cell>
          <cell r="Z284" t="str">
            <v>=</v>
          </cell>
          <cell r="AA284" t="str">
            <v>=</v>
          </cell>
          <cell r="AB284" t="str">
            <v>=</v>
          </cell>
          <cell r="AC284" t="str">
            <v>=</v>
          </cell>
          <cell r="AD284" t="str">
            <v>=</v>
          </cell>
          <cell r="AE284" t="str">
            <v>=</v>
          </cell>
          <cell r="AF284" t="str">
            <v>=</v>
          </cell>
          <cell r="AG284" t="str">
            <v>=</v>
          </cell>
          <cell r="AH284" t="str">
            <v>=</v>
          </cell>
          <cell r="AI284" t="str">
            <v>=</v>
          </cell>
          <cell r="AJ284" t="str">
            <v>=</v>
          </cell>
          <cell r="AK284" t="str">
            <v>=</v>
          </cell>
          <cell r="AL284" t="str">
            <v>=</v>
          </cell>
          <cell r="AM284" t="str">
            <v>=</v>
          </cell>
          <cell r="AN284" t="str">
            <v>=</v>
          </cell>
          <cell r="AO284" t="str">
            <v>=</v>
          </cell>
          <cell r="AP284" t="str">
            <v>=</v>
          </cell>
          <cell r="AQ284" t="str">
            <v>=</v>
          </cell>
          <cell r="AR284" t="str">
            <v>=</v>
          </cell>
          <cell r="AS284" t="str">
            <v>=</v>
          </cell>
          <cell r="AT284" t="str">
            <v>=</v>
          </cell>
          <cell r="AU284" t="str">
            <v>=</v>
          </cell>
          <cell r="AV284" t="str">
            <v>=</v>
          </cell>
          <cell r="AW284" t="str">
            <v>=</v>
          </cell>
          <cell r="AX284" t="str">
            <v>=</v>
          </cell>
          <cell r="AY284" t="str">
            <v>=</v>
          </cell>
          <cell r="AZ284" t="str">
            <v>=</v>
          </cell>
          <cell r="BA284" t="str">
            <v>=</v>
          </cell>
          <cell r="BB284" t="str">
            <v>=</v>
          </cell>
          <cell r="BC284" t="str">
            <v>=</v>
          </cell>
          <cell r="BD284" t="str">
            <v>=</v>
          </cell>
          <cell r="BE284" t="str">
            <v>=</v>
          </cell>
          <cell r="BF284" t="str">
            <v>=</v>
          </cell>
          <cell r="BG284" t="str">
            <v>=</v>
          </cell>
          <cell r="BH284" t="str">
            <v>=</v>
          </cell>
          <cell r="BI284" t="str">
            <v>=</v>
          </cell>
          <cell r="BJ284" t="str">
            <v>=</v>
          </cell>
          <cell r="BK284" t="str">
            <v>=</v>
          </cell>
          <cell r="BL284" t="str">
            <v>=</v>
          </cell>
          <cell r="BM284" t="str">
            <v>=</v>
          </cell>
          <cell r="BN284" t="str">
            <v>=</v>
          </cell>
          <cell r="BO284" t="str">
            <v>=</v>
          </cell>
          <cell r="BP284" t="str">
            <v>=</v>
          </cell>
          <cell r="BQ284" t="str">
            <v>=</v>
          </cell>
          <cell r="BR284" t="str">
            <v>=</v>
          </cell>
          <cell r="BS284" t="str">
            <v>=</v>
          </cell>
          <cell r="BT284" t="str">
            <v>=</v>
          </cell>
          <cell r="BU284" t="str">
            <v>=</v>
          </cell>
          <cell r="BV284" t="str">
            <v>=</v>
          </cell>
          <cell r="BW284" t="str">
            <v>=</v>
          </cell>
          <cell r="BX284" t="str">
            <v>=</v>
          </cell>
          <cell r="BY284" t="str">
            <v>=</v>
          </cell>
          <cell r="BZ284" t="str">
            <v>=</v>
          </cell>
          <cell r="CA284" t="str">
            <v>=</v>
          </cell>
          <cell r="CB284" t="str">
            <v>=</v>
          </cell>
          <cell r="CC284" t="str">
            <v>=</v>
          </cell>
          <cell r="CD284" t="str">
            <v>=</v>
          </cell>
          <cell r="CE284" t="str">
            <v>=</v>
          </cell>
          <cell r="CF284" t="str">
            <v>=</v>
          </cell>
          <cell r="CG284" t="str">
            <v>=</v>
          </cell>
          <cell r="CH284" t="str">
            <v>=</v>
          </cell>
          <cell r="CI284" t="str">
            <v>=</v>
          </cell>
          <cell r="CJ284" t="str">
            <v>=</v>
          </cell>
          <cell r="CK284" t="str">
            <v>=</v>
          </cell>
          <cell r="CL284" t="str">
            <v>=</v>
          </cell>
          <cell r="CM284" t="str">
            <v>=</v>
          </cell>
          <cell r="CN284" t="str">
            <v>=</v>
          </cell>
          <cell r="CO284" t="str">
            <v>=</v>
          </cell>
          <cell r="CP284" t="str">
            <v>=</v>
          </cell>
          <cell r="CQ284" t="str">
            <v>=</v>
          </cell>
          <cell r="CR284" t="str">
            <v>=</v>
          </cell>
          <cell r="CS284" t="str">
            <v>=</v>
          </cell>
          <cell r="CT284" t="str">
            <v>=</v>
          </cell>
          <cell r="CU284" t="str">
            <v>=</v>
          </cell>
          <cell r="CV284" t="str">
            <v>=</v>
          </cell>
          <cell r="CW284" t="str">
            <v>=</v>
          </cell>
          <cell r="CX284" t="str">
            <v>=</v>
          </cell>
          <cell r="CY284" t="str">
            <v>=</v>
          </cell>
          <cell r="CZ284" t="str">
            <v>=</v>
          </cell>
          <cell r="DA284" t="str">
            <v>=</v>
          </cell>
          <cell r="DB284" t="str">
            <v>=</v>
          </cell>
          <cell r="DC284" t="str">
            <v>=</v>
          </cell>
          <cell r="DD284" t="str">
            <v>=</v>
          </cell>
          <cell r="DE284" t="str">
            <v>=</v>
          </cell>
          <cell r="DF284" t="str">
            <v>=</v>
          </cell>
          <cell r="DG284" t="str">
            <v>=</v>
          </cell>
          <cell r="DH284" t="str">
            <v>=</v>
          </cell>
          <cell r="DI284" t="str">
            <v>=</v>
          </cell>
          <cell r="DJ284" t="str">
            <v>=</v>
          </cell>
          <cell r="DK284" t="str">
            <v>=</v>
          </cell>
          <cell r="DL284" t="str">
            <v>=</v>
          </cell>
          <cell r="DM284" t="str">
            <v>=</v>
          </cell>
          <cell r="DN284" t="str">
            <v>=</v>
          </cell>
          <cell r="DO284" t="str">
            <v>=</v>
          </cell>
          <cell r="DP284" t="str">
            <v>=</v>
          </cell>
          <cell r="DQ284" t="str">
            <v>=</v>
          </cell>
          <cell r="DR284" t="str">
            <v>=</v>
          </cell>
          <cell r="DS284" t="str">
            <v>=</v>
          </cell>
          <cell r="DT284" t="str">
            <v>=</v>
          </cell>
          <cell r="DU284" t="str">
            <v>=</v>
          </cell>
          <cell r="DV284" t="str">
            <v>=</v>
          </cell>
          <cell r="DW284" t="str">
            <v>=</v>
          </cell>
          <cell r="DX284" t="str">
            <v>=</v>
          </cell>
          <cell r="DY284" t="str">
            <v>=</v>
          </cell>
          <cell r="DZ284" t="str">
            <v>=</v>
          </cell>
          <cell r="EA284" t="str">
            <v>=</v>
          </cell>
          <cell r="EB284" t="str">
            <v>=</v>
          </cell>
          <cell r="EC284" t="str">
            <v>=</v>
          </cell>
          <cell r="ED284" t="str">
            <v>=</v>
          </cell>
        </row>
        <row r="285">
          <cell r="A285" t="str">
            <v>Net Power Cost/Net System Load</v>
          </cell>
          <cell r="F285">
            <v>-5.7789685174157057E-2</v>
          </cell>
          <cell r="G285">
            <v>-7.3364298396633387E-2</v>
          </cell>
          <cell r="H285">
            <v>-5.7383352879313065E-2</v>
          </cell>
          <cell r="I285">
            <v>-5.6626048045362865E-2</v>
          </cell>
          <cell r="J285">
            <v>-5.2922977637802404E-2</v>
          </cell>
          <cell r="K285">
            <v>-5.1594244667988676E-2</v>
          </cell>
          <cell r="L285">
            <v>-8.7871943190386048E-2</v>
          </cell>
          <cell r="M285">
            <v>-9.1253254360804448E-2</v>
          </cell>
          <cell r="N285">
            <v>-7.2011622637646155E-2</v>
          </cell>
          <cell r="O285">
            <v>-5.8904789100825639E-2</v>
          </cell>
          <cell r="P285">
            <v>-6.6580396175243806E-2</v>
          </cell>
          <cell r="Q285">
            <v>-5.3081584524598213E-2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19.364333729543013</v>
          </cell>
          <cell r="G286">
            <v>23.708441686196011</v>
          </cell>
          <cell r="H286">
            <v>17.395005827163835</v>
          </cell>
          <cell r="I286">
            <v>16.80974812750528</v>
          </cell>
          <cell r="J286">
            <v>15.80880899765045</v>
          </cell>
          <cell r="K286">
            <v>16.728882758716743</v>
          </cell>
          <cell r="L286">
            <v>31.711026000051014</v>
          </cell>
          <cell r="M286">
            <v>31.468600782535258</v>
          </cell>
          <cell r="N286">
            <v>22.37182767163889</v>
          </cell>
          <cell r="O286">
            <v>17.439515043378517</v>
          </cell>
          <cell r="P286">
            <v>20.987648424429246</v>
          </cell>
          <cell r="Q286">
            <v>17.93642654832615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A288" t="str">
            <v>Adjustments to Load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A297" t="str">
            <v>Net System Load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9">
          <cell r="A299" t="str">
            <v>Special Sales For Resale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East Area Sales (WCA Sale)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Hurricane Sale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LADWP (IPP Layoff)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Shell Sale 2013-2014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SMUD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UMPA II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3">
          <cell r="C313" t="str">
            <v>COB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Four Corners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Mid Columbia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Mona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Palo Verde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SP15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STF Index Trades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4">
          <cell r="C324" t="str">
            <v>COB</v>
          </cell>
          <cell r="F324">
            <v>0</v>
          </cell>
          <cell r="G324">
            <v>0</v>
          </cell>
          <cell r="H324">
            <v>48.069999999992433</v>
          </cell>
          <cell r="I324">
            <v>21.25</v>
          </cell>
          <cell r="J324">
            <v>114.06600000000617</v>
          </cell>
          <cell r="K324">
            <v>512.625</v>
          </cell>
          <cell r="L324">
            <v>245.97000000000116</v>
          </cell>
          <cell r="M324">
            <v>3.5200000000040745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Four Corners</v>
          </cell>
          <cell r="F325">
            <v>1016.8899999999849</v>
          </cell>
          <cell r="G325">
            <v>1356.4499999999971</v>
          </cell>
          <cell r="H325">
            <v>604.57600000000093</v>
          </cell>
          <cell r="I325">
            <v>501.77399999999761</v>
          </cell>
          <cell r="J325">
            <v>193.79100000000108</v>
          </cell>
          <cell r="K325">
            <v>0</v>
          </cell>
          <cell r="L325">
            <v>15.150000000008731</v>
          </cell>
          <cell r="M325">
            <v>15.365999999994528</v>
          </cell>
          <cell r="N325">
            <v>190.97000000000116</v>
          </cell>
          <cell r="O325">
            <v>846.19999999999709</v>
          </cell>
          <cell r="P325">
            <v>2187.6399999999994</v>
          </cell>
          <cell r="Q325">
            <v>1080.6700000000128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Mid Columbia</v>
          </cell>
          <cell r="F326">
            <v>21.25</v>
          </cell>
          <cell r="G326">
            <v>100.89600000000792</v>
          </cell>
          <cell r="H326">
            <v>249.64000000001397</v>
          </cell>
          <cell r="I326">
            <v>2060.4149999999936</v>
          </cell>
          <cell r="J326">
            <v>834.5940000000046</v>
          </cell>
          <cell r="K326">
            <v>1016</v>
          </cell>
          <cell r="L326">
            <v>1230.7000000000116</v>
          </cell>
          <cell r="M326">
            <v>162.81599999999889</v>
          </cell>
          <cell r="N326">
            <v>342.99400000000605</v>
          </cell>
          <cell r="O326">
            <v>170.05000000001746</v>
          </cell>
          <cell r="P326">
            <v>205.38300000000163</v>
          </cell>
          <cell r="Q326">
            <v>21.25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Mona</v>
          </cell>
          <cell r="F327">
            <v>696.69500000000698</v>
          </cell>
          <cell r="G327">
            <v>423.82600000000093</v>
          </cell>
          <cell r="H327">
            <v>248.17900000000373</v>
          </cell>
          <cell r="I327">
            <v>203.09599999999773</v>
          </cell>
          <cell r="J327">
            <v>369.70699999999488</v>
          </cell>
          <cell r="K327">
            <v>41.26600000000326</v>
          </cell>
          <cell r="L327">
            <v>250.28399999999965</v>
          </cell>
          <cell r="M327">
            <v>17.600000000005821</v>
          </cell>
          <cell r="N327">
            <v>364.21499999999651</v>
          </cell>
          <cell r="O327">
            <v>475.33299999998417</v>
          </cell>
          <cell r="P327">
            <v>556.737999999983</v>
          </cell>
          <cell r="Q327">
            <v>613.49700000000303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Palo Verde</v>
          </cell>
          <cell r="F328">
            <v>0</v>
          </cell>
          <cell r="G328">
            <v>20.63300000000163</v>
          </cell>
          <cell r="H328">
            <v>0</v>
          </cell>
          <cell r="I328">
            <v>174.66000000000349</v>
          </cell>
          <cell r="J328">
            <v>71.796000000002095</v>
          </cell>
          <cell r="K328">
            <v>53.110000000000582</v>
          </cell>
          <cell r="L328">
            <v>97.239999999990687</v>
          </cell>
          <cell r="M328">
            <v>178.29999999998836</v>
          </cell>
          <cell r="N328">
            <v>7.2199999999720603</v>
          </cell>
          <cell r="O328">
            <v>373.22000000000116</v>
          </cell>
          <cell r="P328">
            <v>1207.8000000000175</v>
          </cell>
          <cell r="Q328">
            <v>169.76000000000931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SP15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Trapped Energy - Curtailment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Trapped Energy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F332">
            <v>1734.8349999999627</v>
          </cell>
          <cell r="G332">
            <v>1901.804999999993</v>
          </cell>
          <cell r="H332">
            <v>1150.4649999999674</v>
          </cell>
          <cell r="I332">
            <v>2961.195000000007</v>
          </cell>
          <cell r="J332">
            <v>1583.954000000027</v>
          </cell>
          <cell r="K332">
            <v>1623.0010000000475</v>
          </cell>
          <cell r="L332">
            <v>1839.344000000041</v>
          </cell>
          <cell r="M332">
            <v>377.6019999999553</v>
          </cell>
          <cell r="N332">
            <v>905.39899999997579</v>
          </cell>
          <cell r="O332">
            <v>1864.8030000000726</v>
          </cell>
          <cell r="P332">
            <v>4157.5609999998705</v>
          </cell>
          <cell r="Q332">
            <v>1885.1770000000251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4">
          <cell r="A334" t="str">
            <v>Total Special Sales For Resale</v>
          </cell>
          <cell r="F334">
            <v>1734.8349999999627</v>
          </cell>
          <cell r="G334">
            <v>1901.8050000000512</v>
          </cell>
          <cell r="H334">
            <v>1150.4650000000838</v>
          </cell>
          <cell r="I334">
            <v>2961.1949999999488</v>
          </cell>
          <cell r="J334">
            <v>1583.954000000027</v>
          </cell>
          <cell r="K334">
            <v>1623.0010000001639</v>
          </cell>
          <cell r="L334">
            <v>1839.344000000041</v>
          </cell>
          <cell r="M334">
            <v>377.6019999999553</v>
          </cell>
          <cell r="N334">
            <v>905.39899999997579</v>
          </cell>
          <cell r="O334">
            <v>1864.8030000000726</v>
          </cell>
          <cell r="P334">
            <v>4157.5609999998705</v>
          </cell>
          <cell r="Q334">
            <v>1885.1770000000251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F335" t="str">
            <v>=</v>
          </cell>
          <cell r="G335" t="str">
            <v>=</v>
          </cell>
          <cell r="H335" t="str">
            <v>=</v>
          </cell>
          <cell r="I335" t="str">
            <v>=</v>
          </cell>
          <cell r="J335" t="str">
            <v>=</v>
          </cell>
          <cell r="K335" t="str">
            <v>=</v>
          </cell>
          <cell r="L335" t="str">
            <v>=</v>
          </cell>
          <cell r="M335" t="str">
            <v>=</v>
          </cell>
          <cell r="N335" t="str">
            <v>=</v>
          </cell>
          <cell r="O335" t="str">
            <v>=</v>
          </cell>
          <cell r="P335" t="str">
            <v>=</v>
          </cell>
          <cell r="Q335" t="str">
            <v>=</v>
          </cell>
          <cell r="R335" t="str">
            <v>=</v>
          </cell>
          <cell r="S335" t="str">
            <v>=</v>
          </cell>
          <cell r="T335" t="str">
            <v>=</v>
          </cell>
          <cell r="U335" t="str">
            <v>=</v>
          </cell>
          <cell r="V335" t="str">
            <v>=</v>
          </cell>
          <cell r="W335" t="str">
            <v>=</v>
          </cell>
          <cell r="X335" t="str">
            <v>=</v>
          </cell>
          <cell r="Y335" t="str">
            <v>=</v>
          </cell>
          <cell r="Z335" t="str">
            <v>=</v>
          </cell>
          <cell r="AA335" t="str">
            <v>=</v>
          </cell>
          <cell r="AB335" t="str">
            <v>=</v>
          </cell>
          <cell r="AC335" t="str">
            <v>=</v>
          </cell>
          <cell r="AD335" t="str">
            <v>=</v>
          </cell>
          <cell r="AE335" t="str">
            <v>=</v>
          </cell>
          <cell r="AF335" t="str">
            <v>=</v>
          </cell>
          <cell r="AG335" t="str">
            <v>=</v>
          </cell>
          <cell r="AH335" t="str">
            <v>=</v>
          </cell>
          <cell r="AI335" t="str">
            <v>=</v>
          </cell>
          <cell r="AJ335" t="str">
            <v>=</v>
          </cell>
          <cell r="AK335" t="str">
            <v>=</v>
          </cell>
          <cell r="AL335" t="str">
            <v>=</v>
          </cell>
          <cell r="AM335" t="str">
            <v>=</v>
          </cell>
          <cell r="AN335" t="str">
            <v>=</v>
          </cell>
          <cell r="AO335" t="str">
            <v>=</v>
          </cell>
          <cell r="AP335" t="str">
            <v>=</v>
          </cell>
          <cell r="AQ335" t="str">
            <v>=</v>
          </cell>
          <cell r="AR335" t="str">
            <v>=</v>
          </cell>
          <cell r="AS335" t="str">
            <v>=</v>
          </cell>
          <cell r="AT335" t="str">
            <v>=</v>
          </cell>
          <cell r="AU335" t="str">
            <v>=</v>
          </cell>
          <cell r="AV335" t="str">
            <v>=</v>
          </cell>
          <cell r="AW335" t="str">
            <v>=</v>
          </cell>
          <cell r="AX335" t="str">
            <v>=</v>
          </cell>
          <cell r="AY335" t="str">
            <v>=</v>
          </cell>
          <cell r="AZ335" t="str">
            <v>=</v>
          </cell>
          <cell r="BA335" t="str">
            <v>=</v>
          </cell>
          <cell r="BB335" t="str">
            <v>=</v>
          </cell>
          <cell r="BC335" t="str">
            <v>=</v>
          </cell>
          <cell r="BD335" t="str">
            <v>=</v>
          </cell>
          <cell r="BE335" t="str">
            <v>=</v>
          </cell>
          <cell r="BF335" t="str">
            <v>=</v>
          </cell>
          <cell r="BG335" t="str">
            <v>=</v>
          </cell>
          <cell r="BH335" t="str">
            <v>=</v>
          </cell>
          <cell r="BI335" t="str">
            <v>=</v>
          </cell>
          <cell r="BJ335" t="str">
            <v>=</v>
          </cell>
          <cell r="BK335" t="str">
            <v>=</v>
          </cell>
          <cell r="BL335" t="str">
            <v>=</v>
          </cell>
          <cell r="BM335" t="str">
            <v>=</v>
          </cell>
          <cell r="BN335" t="str">
            <v>=</v>
          </cell>
          <cell r="BO335" t="str">
            <v>=</v>
          </cell>
          <cell r="BP335" t="str">
            <v>=</v>
          </cell>
          <cell r="BQ335" t="str">
            <v>=</v>
          </cell>
          <cell r="BR335" t="str">
            <v>=</v>
          </cell>
          <cell r="BS335" t="str">
            <v>=</v>
          </cell>
          <cell r="BT335" t="str">
            <v>=</v>
          </cell>
          <cell r="BU335" t="str">
            <v>=</v>
          </cell>
          <cell r="BV335" t="str">
            <v>=</v>
          </cell>
          <cell r="BW335" t="str">
            <v>=</v>
          </cell>
          <cell r="BX335" t="str">
            <v>=</v>
          </cell>
          <cell r="BY335" t="str">
            <v>=</v>
          </cell>
          <cell r="BZ335" t="str">
            <v>=</v>
          </cell>
          <cell r="CA335" t="str">
            <v>=</v>
          </cell>
          <cell r="CB335" t="str">
            <v>=</v>
          </cell>
          <cell r="CC335" t="str">
            <v>=</v>
          </cell>
          <cell r="CD335" t="str">
            <v>=</v>
          </cell>
          <cell r="CE335" t="str">
            <v>=</v>
          </cell>
          <cell r="CF335" t="str">
            <v>=</v>
          </cell>
          <cell r="CG335" t="str">
            <v>=</v>
          </cell>
          <cell r="CH335" t="str">
            <v>=</v>
          </cell>
          <cell r="CI335" t="str">
            <v>=</v>
          </cell>
          <cell r="CJ335" t="str">
            <v>=</v>
          </cell>
          <cell r="CK335" t="str">
            <v>=</v>
          </cell>
          <cell r="CL335" t="str">
            <v>=</v>
          </cell>
          <cell r="CM335" t="str">
            <v>=</v>
          </cell>
          <cell r="CN335" t="str">
            <v>=</v>
          </cell>
          <cell r="CO335" t="str">
            <v>=</v>
          </cell>
          <cell r="CP335" t="str">
            <v>=</v>
          </cell>
          <cell r="CQ335" t="str">
            <v>=</v>
          </cell>
          <cell r="CR335" t="str">
            <v>=</v>
          </cell>
          <cell r="CS335" t="str">
            <v>=</v>
          </cell>
          <cell r="CT335" t="str">
            <v>=</v>
          </cell>
          <cell r="CU335" t="str">
            <v>=</v>
          </cell>
          <cell r="CV335" t="str">
            <v>=</v>
          </cell>
          <cell r="CW335" t="str">
            <v>=</v>
          </cell>
          <cell r="CX335" t="str">
            <v>=</v>
          </cell>
          <cell r="CY335" t="str">
            <v>=</v>
          </cell>
          <cell r="CZ335" t="str">
            <v>=</v>
          </cell>
          <cell r="DA335" t="str">
            <v>=</v>
          </cell>
          <cell r="DB335" t="str">
            <v>=</v>
          </cell>
          <cell r="DC335" t="str">
            <v>=</v>
          </cell>
          <cell r="DD335" t="str">
            <v>=</v>
          </cell>
          <cell r="DE335" t="str">
            <v>=</v>
          </cell>
          <cell r="DF335" t="str">
            <v>=</v>
          </cell>
          <cell r="DG335" t="str">
            <v>=</v>
          </cell>
          <cell r="DH335" t="str">
            <v>=</v>
          </cell>
          <cell r="DI335" t="str">
            <v>=</v>
          </cell>
          <cell r="DJ335" t="str">
            <v>=</v>
          </cell>
          <cell r="DK335" t="str">
            <v>=</v>
          </cell>
          <cell r="DL335" t="str">
            <v>=</v>
          </cell>
          <cell r="DM335" t="str">
            <v>=</v>
          </cell>
          <cell r="DN335" t="str">
            <v>=</v>
          </cell>
          <cell r="DO335" t="str">
            <v>=</v>
          </cell>
          <cell r="DP335" t="str">
            <v>=</v>
          </cell>
          <cell r="DQ335" t="str">
            <v>=</v>
          </cell>
          <cell r="DR335" t="str">
            <v>=</v>
          </cell>
          <cell r="DS335" t="str">
            <v>=</v>
          </cell>
          <cell r="DT335" t="str">
            <v>=</v>
          </cell>
          <cell r="DU335" t="str">
            <v>=</v>
          </cell>
          <cell r="DV335" t="str">
            <v>=</v>
          </cell>
          <cell r="DW335" t="str">
            <v>=</v>
          </cell>
          <cell r="DX335" t="str">
            <v>=</v>
          </cell>
          <cell r="DY335" t="str">
            <v>=</v>
          </cell>
          <cell r="DZ335" t="str">
            <v>=</v>
          </cell>
          <cell r="EA335" t="str">
            <v>=</v>
          </cell>
          <cell r="EB335" t="str">
            <v>=</v>
          </cell>
          <cell r="EC335" t="str">
            <v>=</v>
          </cell>
          <cell r="ED335" t="str">
            <v>=</v>
          </cell>
        </row>
        <row r="336">
          <cell r="A336" t="str">
            <v>Total Requirements</v>
          </cell>
          <cell r="F336">
            <v>1734.8349999999627</v>
          </cell>
          <cell r="G336">
            <v>1901.804999999702</v>
          </cell>
          <cell r="H336">
            <v>1150.464999999851</v>
          </cell>
          <cell r="I336">
            <v>2961.1949999993667</v>
          </cell>
          <cell r="J336">
            <v>1583.9540000008419</v>
          </cell>
          <cell r="K336">
            <v>1623.0010000001639</v>
          </cell>
          <cell r="L336">
            <v>1839.3439999995753</v>
          </cell>
          <cell r="M336">
            <v>377.6019999999553</v>
          </cell>
          <cell r="N336">
            <v>905.39899999927729</v>
          </cell>
          <cell r="O336">
            <v>1864.8030000003055</v>
          </cell>
          <cell r="P336">
            <v>4157.5609999997541</v>
          </cell>
          <cell r="Q336">
            <v>1885.1770000001416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7">
          <cell r="F337" t="str">
            <v>=</v>
          </cell>
          <cell r="G337" t="str">
            <v>=</v>
          </cell>
          <cell r="H337" t="str">
            <v>=</v>
          </cell>
          <cell r="I337" t="str">
            <v>=</v>
          </cell>
          <cell r="J337" t="str">
            <v>=</v>
          </cell>
          <cell r="K337" t="str">
            <v>=</v>
          </cell>
          <cell r="L337" t="str">
            <v>=</v>
          </cell>
          <cell r="M337" t="str">
            <v>=</v>
          </cell>
          <cell r="N337" t="str">
            <v>=</v>
          </cell>
          <cell r="O337" t="str">
            <v>=</v>
          </cell>
          <cell r="P337" t="str">
            <v>=</v>
          </cell>
          <cell r="Q337" t="str">
            <v>=</v>
          </cell>
          <cell r="R337" t="str">
            <v>=</v>
          </cell>
          <cell r="S337" t="str">
            <v>=</v>
          </cell>
          <cell r="T337" t="str">
            <v>=</v>
          </cell>
          <cell r="U337" t="str">
            <v>=</v>
          </cell>
          <cell r="V337" t="str">
            <v>=</v>
          </cell>
          <cell r="W337" t="str">
            <v>=</v>
          </cell>
          <cell r="X337" t="str">
            <v>=</v>
          </cell>
          <cell r="Y337" t="str">
            <v>=</v>
          </cell>
          <cell r="Z337" t="str">
            <v>=</v>
          </cell>
          <cell r="AA337" t="str">
            <v>=</v>
          </cell>
          <cell r="AB337" t="str">
            <v>=</v>
          </cell>
          <cell r="AC337" t="str">
            <v>=</v>
          </cell>
          <cell r="AD337" t="str">
            <v>=</v>
          </cell>
          <cell r="AE337" t="str">
            <v>=</v>
          </cell>
          <cell r="AF337" t="str">
            <v>=</v>
          </cell>
          <cell r="AG337" t="str">
            <v>=</v>
          </cell>
          <cell r="AH337" t="str">
            <v>=</v>
          </cell>
          <cell r="AI337" t="str">
            <v>=</v>
          </cell>
          <cell r="AJ337" t="str">
            <v>=</v>
          </cell>
          <cell r="AK337" t="str">
            <v>=</v>
          </cell>
          <cell r="AL337" t="str">
            <v>=</v>
          </cell>
          <cell r="AM337" t="str">
            <v>=</v>
          </cell>
          <cell r="AN337" t="str">
            <v>=</v>
          </cell>
          <cell r="AO337" t="str">
            <v>=</v>
          </cell>
          <cell r="AP337" t="str">
            <v>=</v>
          </cell>
          <cell r="AQ337" t="str">
            <v>=</v>
          </cell>
          <cell r="AR337" t="str">
            <v>=</v>
          </cell>
          <cell r="AS337" t="str">
            <v>=</v>
          </cell>
          <cell r="AT337" t="str">
            <v>=</v>
          </cell>
          <cell r="AU337" t="str">
            <v>=</v>
          </cell>
          <cell r="AV337" t="str">
            <v>=</v>
          </cell>
          <cell r="AW337" t="str">
            <v>=</v>
          </cell>
          <cell r="AX337" t="str">
            <v>=</v>
          </cell>
          <cell r="AY337" t="str">
            <v>=</v>
          </cell>
          <cell r="AZ337" t="str">
            <v>=</v>
          </cell>
          <cell r="BA337" t="str">
            <v>=</v>
          </cell>
          <cell r="BB337" t="str">
            <v>=</v>
          </cell>
          <cell r="BC337" t="str">
            <v>=</v>
          </cell>
          <cell r="BD337" t="str">
            <v>=</v>
          </cell>
          <cell r="BE337" t="str">
            <v>=</v>
          </cell>
          <cell r="BF337" t="str">
            <v>=</v>
          </cell>
          <cell r="BG337" t="str">
            <v>=</v>
          </cell>
          <cell r="BH337" t="str">
            <v>=</v>
          </cell>
          <cell r="BI337" t="str">
            <v>=</v>
          </cell>
          <cell r="BJ337" t="str">
            <v>=</v>
          </cell>
          <cell r="BK337" t="str">
            <v>=</v>
          </cell>
          <cell r="BL337" t="str">
            <v>=</v>
          </cell>
          <cell r="BM337" t="str">
            <v>=</v>
          </cell>
          <cell r="BN337" t="str">
            <v>=</v>
          </cell>
          <cell r="BO337" t="str">
            <v>=</v>
          </cell>
          <cell r="BP337" t="str">
            <v>=</v>
          </cell>
          <cell r="BQ337" t="str">
            <v>=</v>
          </cell>
          <cell r="BR337" t="str">
            <v>=</v>
          </cell>
          <cell r="BS337" t="str">
            <v>=</v>
          </cell>
          <cell r="BT337" t="str">
            <v>=</v>
          </cell>
          <cell r="BU337" t="str">
            <v>=</v>
          </cell>
          <cell r="BV337" t="str">
            <v>=</v>
          </cell>
          <cell r="BW337" t="str">
            <v>=</v>
          </cell>
          <cell r="BX337" t="str">
            <v>=</v>
          </cell>
          <cell r="BY337" t="str">
            <v>=</v>
          </cell>
          <cell r="BZ337" t="str">
            <v>=</v>
          </cell>
          <cell r="CA337" t="str">
            <v>=</v>
          </cell>
          <cell r="CB337" t="str">
            <v>=</v>
          </cell>
          <cell r="CC337" t="str">
            <v>=</v>
          </cell>
          <cell r="CD337" t="str">
            <v>=</v>
          </cell>
          <cell r="CE337" t="str">
            <v>=</v>
          </cell>
          <cell r="CF337" t="str">
            <v>=</v>
          </cell>
          <cell r="CG337" t="str">
            <v>=</v>
          </cell>
          <cell r="CH337" t="str">
            <v>=</v>
          </cell>
          <cell r="CI337" t="str">
            <v>=</v>
          </cell>
          <cell r="CJ337" t="str">
            <v>=</v>
          </cell>
          <cell r="CK337" t="str">
            <v>=</v>
          </cell>
          <cell r="CL337" t="str">
            <v>=</v>
          </cell>
          <cell r="CM337" t="str">
            <v>=</v>
          </cell>
          <cell r="CN337" t="str">
            <v>=</v>
          </cell>
          <cell r="CO337" t="str">
            <v>=</v>
          </cell>
          <cell r="CP337" t="str">
            <v>=</v>
          </cell>
          <cell r="CQ337" t="str">
            <v>=</v>
          </cell>
          <cell r="CR337" t="str">
            <v>=</v>
          </cell>
          <cell r="CS337" t="str">
            <v>=</v>
          </cell>
          <cell r="CT337" t="str">
            <v>=</v>
          </cell>
          <cell r="CU337" t="str">
            <v>=</v>
          </cell>
          <cell r="CV337" t="str">
            <v>=</v>
          </cell>
          <cell r="CW337" t="str">
            <v>=</v>
          </cell>
          <cell r="CX337" t="str">
            <v>=</v>
          </cell>
          <cell r="CY337" t="str">
            <v>=</v>
          </cell>
          <cell r="CZ337" t="str">
            <v>=</v>
          </cell>
          <cell r="DA337" t="str">
            <v>=</v>
          </cell>
          <cell r="DB337" t="str">
            <v>=</v>
          </cell>
          <cell r="DC337" t="str">
            <v>=</v>
          </cell>
          <cell r="DD337" t="str">
            <v>=</v>
          </cell>
          <cell r="DE337" t="str">
            <v>=</v>
          </cell>
          <cell r="DF337" t="str">
            <v>=</v>
          </cell>
          <cell r="DG337" t="str">
            <v>=</v>
          </cell>
          <cell r="DH337" t="str">
            <v>=</v>
          </cell>
          <cell r="DI337" t="str">
            <v>=</v>
          </cell>
          <cell r="DJ337" t="str">
            <v>=</v>
          </cell>
          <cell r="DK337" t="str">
            <v>=</v>
          </cell>
          <cell r="DL337" t="str">
            <v>=</v>
          </cell>
          <cell r="DM337" t="str">
            <v>=</v>
          </cell>
          <cell r="DN337" t="str">
            <v>=</v>
          </cell>
          <cell r="DO337" t="str">
            <v>=</v>
          </cell>
          <cell r="DP337" t="str">
            <v>=</v>
          </cell>
          <cell r="DQ337" t="str">
            <v>=</v>
          </cell>
          <cell r="DR337" t="str">
            <v>=</v>
          </cell>
          <cell r="DS337" t="str">
            <v>=</v>
          </cell>
          <cell r="DT337" t="str">
            <v>=</v>
          </cell>
          <cell r="DU337" t="str">
            <v>=</v>
          </cell>
          <cell r="DV337" t="str">
            <v>=</v>
          </cell>
          <cell r="DW337" t="str">
            <v>=</v>
          </cell>
          <cell r="DX337" t="str">
            <v>=</v>
          </cell>
          <cell r="DY337" t="str">
            <v>=</v>
          </cell>
          <cell r="DZ337" t="str">
            <v>=</v>
          </cell>
          <cell r="EA337" t="str">
            <v>=</v>
          </cell>
          <cell r="EB337" t="str">
            <v>=</v>
          </cell>
          <cell r="EC337" t="str">
            <v>=</v>
          </cell>
          <cell r="ED337" t="str">
            <v>=</v>
          </cell>
        </row>
        <row r="339">
          <cell r="A339" t="str">
            <v>Purchased Power &amp; Net Interchange</v>
          </cell>
        </row>
        <row r="341">
          <cell r="C341" t="str">
            <v>APS Supplemental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 t="str">
            <v xml:space="preserve">Combine Hills Wind 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 t="str">
            <v>Cedar Springs Wind I_II_III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4">
          <cell r="C344" t="str">
            <v>Cove Mountain Solar I and II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</row>
        <row r="345">
          <cell r="C345" t="str">
            <v>Hunter Solar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6">
          <cell r="C346" t="str">
            <v>Milican Solar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</row>
        <row r="347">
          <cell r="C347" t="str">
            <v>Milford Solar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</row>
        <row r="348">
          <cell r="C348" t="str">
            <v>Prineville Solar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49">
          <cell r="C349" t="str">
            <v>Sigurd Solar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C350" t="str">
            <v>Deseret Purchase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  <row r="351">
          <cell r="C351" t="str">
            <v>Ekola Flats,TB Flats I and II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Soda Lake Geothermal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Gemstate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Hermiston Purchase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5">
          <cell r="C355" t="str">
            <v>Hurricane Purchase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</row>
        <row r="356">
          <cell r="C356" t="str">
            <v>IPP Purchase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C357" t="str">
            <v>MagCorp Reserves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</row>
        <row r="358">
          <cell r="C358" t="str">
            <v>Nucor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</row>
        <row r="359">
          <cell r="C359" t="str">
            <v>Old Mill Solar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</row>
        <row r="360">
          <cell r="C360" t="str">
            <v>P4 Production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</row>
        <row r="361">
          <cell r="C361" t="str">
            <v>Pavant III Solar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</row>
        <row r="362">
          <cell r="C362" t="str">
            <v>PGE Cove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</row>
        <row r="363">
          <cell r="C363" t="str">
            <v>Rock River Wind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</row>
        <row r="364">
          <cell r="C364" t="str">
            <v>Small Purchases east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C365" t="str">
            <v>Small Purchases west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C366" t="str">
            <v>Three Buttes Wind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</row>
        <row r="367">
          <cell r="C367" t="str">
            <v xml:space="preserve">Top of the World Wind 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 t="str">
            <v>Tri-State Purchase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70">
          <cell r="C370" t="str">
            <v>UAMPS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</row>
        <row r="371">
          <cell r="C371" t="str">
            <v>UMPA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2">
          <cell r="C372" t="str">
            <v>Wolverine Creek Wind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</row>
        <row r="377">
          <cell r="C377" t="str">
            <v>QF - 435 - UT - Gas</v>
          </cell>
          <cell r="F377">
            <v>15810</v>
          </cell>
          <cell r="G377">
            <v>14790</v>
          </cell>
          <cell r="H377">
            <v>15810</v>
          </cell>
          <cell r="I377">
            <v>15300</v>
          </cell>
          <cell r="J377">
            <v>15810</v>
          </cell>
          <cell r="K377">
            <v>15300</v>
          </cell>
          <cell r="L377">
            <v>15810</v>
          </cell>
          <cell r="M377">
            <v>15810</v>
          </cell>
          <cell r="N377">
            <v>15300</v>
          </cell>
          <cell r="O377">
            <v>15810</v>
          </cell>
          <cell r="P377">
            <v>15300</v>
          </cell>
          <cell r="Q377">
            <v>15810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</row>
        <row r="378">
          <cell r="C378" t="str">
            <v>Curtailment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</row>
        <row r="379">
          <cell r="C379" t="str">
            <v>Net Generation</v>
          </cell>
          <cell r="F379">
            <v>15810</v>
          </cell>
          <cell r="G379">
            <v>14790</v>
          </cell>
          <cell r="H379">
            <v>15810</v>
          </cell>
          <cell r="I379">
            <v>15300</v>
          </cell>
          <cell r="J379">
            <v>15810</v>
          </cell>
          <cell r="K379">
            <v>15300</v>
          </cell>
          <cell r="L379">
            <v>15810</v>
          </cell>
          <cell r="M379">
            <v>15810</v>
          </cell>
          <cell r="N379">
            <v>15300</v>
          </cell>
          <cell r="O379">
            <v>15810</v>
          </cell>
          <cell r="P379">
            <v>15300</v>
          </cell>
          <cell r="Q379">
            <v>15810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1">
          <cell r="C381" t="str">
            <v>Potential QFs  -  Central Oregon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Potential QFs  -  West Main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3">
          <cell r="C383" t="str">
            <v>Potential QFs  -  Walla Walla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</row>
        <row r="384">
          <cell r="C384" t="str">
            <v>Potential QFs  -  IPC West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</row>
        <row r="385">
          <cell r="C385" t="str">
            <v>Potential QFs  -  Clover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</row>
        <row r="386">
          <cell r="C386" t="str">
            <v>Potential QFs  -  PP-GC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</row>
        <row r="387">
          <cell r="C387" t="str">
            <v>Potential QFs  -  Utah North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</row>
        <row r="388">
          <cell r="C388" t="str">
            <v>Potential QFs  -  Utah South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89">
          <cell r="C389" t="str">
            <v>Potential QFs  -  Trona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</row>
        <row r="390">
          <cell r="C390" t="str">
            <v>Potential QFs  -  Wyoming Northeast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</row>
        <row r="392">
          <cell r="C392" t="str">
            <v>QF California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QF Idaho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QF Oregon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5">
          <cell r="C395" t="str">
            <v>QF Utah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</row>
        <row r="396">
          <cell r="C396" t="str">
            <v>QF Washington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7">
          <cell r="C397" t="str">
            <v>QF Wyoming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</row>
        <row r="399">
          <cell r="C399" t="str">
            <v>Biomass QF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0">
          <cell r="C400" t="str">
            <v>Black Cap II Solar QF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</row>
        <row r="401">
          <cell r="C401" t="str">
            <v>Champlin Blue Mtn Wind QF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</row>
        <row r="402">
          <cell r="C402" t="str">
            <v>Chevron Wind QF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</row>
        <row r="403">
          <cell r="C403" t="str">
            <v xml:space="preserve">Douglas County Forest Products QF   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</row>
        <row r="404">
          <cell r="C404" t="str">
            <v>Evergreen BioPower QF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 t="str">
            <v>Everpower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First Wind QF Projects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C407" t="str">
            <v>Five Pine Wind QF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8">
          <cell r="C408" t="str">
            <v>Foote Creek II &amp; III Wind QF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</row>
        <row r="409">
          <cell r="C409" t="str">
            <v>Kennecott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C410" t="str">
            <v>Latigo Wind Park QF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</row>
        <row r="411">
          <cell r="C411" t="str">
            <v>Sage I &amp; II Solar QF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</row>
        <row r="412">
          <cell r="C412" t="str">
            <v>Sage III Solar QF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</row>
        <row r="413">
          <cell r="C413" t="str">
            <v>Boswell Wind QF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</row>
        <row r="414">
          <cell r="C414" t="str">
            <v>Monticello Wind QF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</row>
        <row r="415">
          <cell r="C415" t="str">
            <v>Mountain Wind 1 QF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</row>
        <row r="416">
          <cell r="C416" t="str">
            <v>Mountain Wind 2 QF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</row>
        <row r="417">
          <cell r="C417" t="str">
            <v>North Point Wind QF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</row>
        <row r="418">
          <cell r="C418" t="str">
            <v>Ochoco Solar QF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</row>
        <row r="419">
          <cell r="C419" t="str">
            <v>Orchard Wind Farm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>Oregon Sch 37 QFs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Oregon Wind Farm QF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Pavant Solar QF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3">
          <cell r="C423" t="str">
            <v>Pioneer Wind Park I QF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</row>
        <row r="424">
          <cell r="C424" t="str">
            <v>Power County North Wind QF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5">
          <cell r="C425" t="str">
            <v>Power County South Wind QF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</row>
        <row r="426">
          <cell r="C426" t="str">
            <v>Roseburg Dillard QF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</row>
        <row r="427">
          <cell r="C427" t="str">
            <v>Sigurd Solar QF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Spanish Fork Wind 2 QF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Sunnyside QF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Glen Canyon A &amp; B Solar QFs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Sweetwater Solar QF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Tesoro QF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 t="str">
            <v>Three Peaks Solar QF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Threemile Canyon Wind QF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C435" t="str">
            <v>US Magnesium QF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6">
          <cell r="C436" t="str">
            <v>Utah Pavant Solar I &amp; II QF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</row>
        <row r="437">
          <cell r="C437" t="str">
            <v>Utah Red Hills Solar QF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C438" t="str">
            <v>Utah SunEdison Wind QF Projects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</row>
        <row r="439">
          <cell r="C439" t="str">
            <v>Utah Sch 37 Solar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1">
          <cell r="F441">
            <v>15810</v>
          </cell>
          <cell r="G441">
            <v>14790</v>
          </cell>
          <cell r="H441">
            <v>15810</v>
          </cell>
          <cell r="I441">
            <v>15300</v>
          </cell>
          <cell r="J441">
            <v>15810.000000000116</v>
          </cell>
          <cell r="K441">
            <v>15300</v>
          </cell>
          <cell r="L441">
            <v>15810</v>
          </cell>
          <cell r="M441">
            <v>15810</v>
          </cell>
          <cell r="N441">
            <v>15300</v>
          </cell>
          <cell r="O441">
            <v>15810</v>
          </cell>
          <cell r="P441">
            <v>15300</v>
          </cell>
          <cell r="Q441">
            <v>15810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</row>
        <row r="444">
          <cell r="C444" t="str">
            <v xml:space="preserve">Douglas - Wells 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 t="str">
            <v>Grant Reasonable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6">
          <cell r="C446" t="str">
            <v xml:space="preserve">Grant Surplus 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</row>
        <row r="447">
          <cell r="C447" t="str">
            <v>Grant - Wanapum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1">
          <cell r="F451">
            <v>15810</v>
          </cell>
          <cell r="G451">
            <v>14790</v>
          </cell>
          <cell r="H451">
            <v>15810</v>
          </cell>
          <cell r="I451">
            <v>15300</v>
          </cell>
          <cell r="J451">
            <v>15810.000000000116</v>
          </cell>
          <cell r="K451">
            <v>15300</v>
          </cell>
          <cell r="L451">
            <v>15810</v>
          </cell>
          <cell r="M451">
            <v>15810</v>
          </cell>
          <cell r="N451">
            <v>15300</v>
          </cell>
          <cell r="O451">
            <v>15810</v>
          </cell>
          <cell r="P451">
            <v>15300</v>
          </cell>
          <cell r="Q451">
            <v>15810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4">
          <cell r="C454" t="str">
            <v>APS Exchange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 t="str">
            <v>BPA FC II Wind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6">
          <cell r="C456" t="str">
            <v>BPA FC IV Wind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</row>
        <row r="457">
          <cell r="C457" t="str">
            <v>BPA Exchange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</row>
        <row r="458">
          <cell r="C458" t="str">
            <v>BPA So. Idaho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</row>
        <row r="459">
          <cell r="C459" t="str">
            <v>Cowlitz Swift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</row>
        <row r="460">
          <cell r="C460" t="str">
            <v>EWEB FC I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 t="str">
            <v>PSCo Exchange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 t="str">
            <v>PSCO FC III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3">
          <cell r="C463" t="str">
            <v>Redding Exchange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</row>
        <row r="464">
          <cell r="C464" t="str">
            <v>SCL State Line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9">
          <cell r="C469" t="str">
            <v>COB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</row>
        <row r="470">
          <cell r="C470" t="str">
            <v>Four Corners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</row>
        <row r="471">
          <cell r="C471" t="str">
            <v>Mid Columbia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 t="str">
            <v>Mona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 t="str">
            <v>Palo Verde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 t="str">
            <v>SP15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5">
          <cell r="C475" t="str">
            <v>STF Index Trades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80">
          <cell r="C480" t="str">
            <v>COB</v>
          </cell>
          <cell r="F480">
            <v>0</v>
          </cell>
          <cell r="G480">
            <v>0</v>
          </cell>
          <cell r="H480">
            <v>-21.25</v>
          </cell>
          <cell r="I480">
            <v>0</v>
          </cell>
          <cell r="J480">
            <v>-46.19620000000009</v>
          </cell>
          <cell r="K480">
            <v>-282.73680000000058</v>
          </cell>
          <cell r="L480">
            <v>-302.11989999999969</v>
          </cell>
          <cell r="M480">
            <v>-209.22961000000032</v>
          </cell>
          <cell r="N480">
            <v>-41.263159999999971</v>
          </cell>
          <cell r="O480">
            <v>0</v>
          </cell>
          <cell r="P480">
            <v>0</v>
          </cell>
          <cell r="Q480">
            <v>-81.108000000000175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 t="str">
            <v>Four Corners</v>
          </cell>
          <cell r="F481">
            <v>-976.23499999999876</v>
          </cell>
          <cell r="G481">
            <v>-1648.3499999999913</v>
          </cell>
          <cell r="H481">
            <v>-1477.6000000000058</v>
          </cell>
          <cell r="I481">
            <v>-2092.9499999999825</v>
          </cell>
          <cell r="J481">
            <v>-2818.9100000000035</v>
          </cell>
          <cell r="K481">
            <v>-333.19900000000052</v>
          </cell>
          <cell r="L481">
            <v>-129.27190000000019</v>
          </cell>
          <cell r="M481">
            <v>-41.263089999999998</v>
          </cell>
          <cell r="N481">
            <v>-31.639599999999973</v>
          </cell>
          <cell r="O481">
            <v>-1768.429999999993</v>
          </cell>
          <cell r="P481">
            <v>-1325.3899999999994</v>
          </cell>
          <cell r="Q481">
            <v>-560.64099999999962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 t="str">
            <v>Mid Columbia</v>
          </cell>
          <cell r="F482">
            <v>0</v>
          </cell>
          <cell r="G482">
            <v>-207.49599999999919</v>
          </cell>
          <cell r="H482">
            <v>-713.19900000000052</v>
          </cell>
          <cell r="I482">
            <v>-3352.3800000000047</v>
          </cell>
          <cell r="J482">
            <v>-3561.359999999986</v>
          </cell>
          <cell r="K482">
            <v>-2761.8400000000256</v>
          </cell>
          <cell r="L482">
            <v>-3639.7799999999988</v>
          </cell>
          <cell r="M482">
            <v>-4228.9800000000105</v>
          </cell>
          <cell r="N482">
            <v>-2044.9880000000048</v>
          </cell>
          <cell r="O482">
            <v>-166.33910000000014</v>
          </cell>
          <cell r="P482">
            <v>-387.18899999999849</v>
          </cell>
          <cell r="Q482">
            <v>-20.631999999999607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 t="str">
            <v>Mona</v>
          </cell>
          <cell r="F483">
            <v>-94.953899999999976</v>
          </cell>
          <cell r="G483">
            <v>-18.223300000000108</v>
          </cell>
          <cell r="H483">
            <v>-67.831700000000183</v>
          </cell>
          <cell r="I483">
            <v>-129.19440000000031</v>
          </cell>
          <cell r="J483">
            <v>-25.165459999999257</v>
          </cell>
          <cell r="K483">
            <v>0</v>
          </cell>
          <cell r="L483">
            <v>6.8559100000000086</v>
          </cell>
          <cell r="M483">
            <v>0</v>
          </cell>
          <cell r="N483">
            <v>-25.52947000000006</v>
          </cell>
          <cell r="O483">
            <v>-120.58199999999988</v>
          </cell>
          <cell r="P483">
            <v>19.215599999999995</v>
          </cell>
          <cell r="Q483">
            <v>-65.158099999999877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4">
          <cell r="C484" t="str">
            <v>Palo Verde</v>
          </cell>
          <cell r="F484">
            <v>-233.9600000000064</v>
          </cell>
          <cell r="G484">
            <v>-734.34000000001106</v>
          </cell>
          <cell r="H484">
            <v>-360.11000000000058</v>
          </cell>
          <cell r="I484">
            <v>-250.22000000000116</v>
          </cell>
          <cell r="J484">
            <v>-305.72000000000116</v>
          </cell>
          <cell r="K484">
            <v>-20.633999999998196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</row>
        <row r="485">
          <cell r="C485" t="str">
            <v>SP15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 t="str">
            <v>Emergency Purchases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8">
          <cell r="F488">
            <v>-1305.1489000000001</v>
          </cell>
          <cell r="G488">
            <v>-2608.4092999999702</v>
          </cell>
          <cell r="H488">
            <v>-2639.9907000000239</v>
          </cell>
          <cell r="I488">
            <v>-5824.7443999999668</v>
          </cell>
          <cell r="J488">
            <v>-6757.3516600001603</v>
          </cell>
          <cell r="K488">
            <v>-3398.4098000000231</v>
          </cell>
          <cell r="L488">
            <v>-4064.3158899999689</v>
          </cell>
          <cell r="M488">
            <v>-4479.472700000013</v>
          </cell>
          <cell r="N488">
            <v>-2143.4202300000034</v>
          </cell>
          <cell r="O488">
            <v>-2055.3510999999999</v>
          </cell>
          <cell r="P488">
            <v>-1693.363400000002</v>
          </cell>
          <cell r="Q488">
            <v>-727.53909999999451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90">
          <cell r="A490" t="str">
            <v xml:space="preserve">Total Purchased Power &amp; Net Interchange </v>
          </cell>
          <cell r="F490">
            <v>14504.851100000087</v>
          </cell>
          <cell r="G490">
            <v>12181.590700000059</v>
          </cell>
          <cell r="H490">
            <v>13170.009300000034</v>
          </cell>
          <cell r="I490">
            <v>9475.2555999998003</v>
          </cell>
          <cell r="J490">
            <v>9052.6483399998397</v>
          </cell>
          <cell r="K490">
            <v>11901.590199999977</v>
          </cell>
          <cell r="L490">
            <v>11745.684110000031</v>
          </cell>
          <cell r="M490">
            <v>11330.527300000074</v>
          </cell>
          <cell r="N490">
            <v>13156.579769999953</v>
          </cell>
          <cell r="O490">
            <v>13754.648900000029</v>
          </cell>
          <cell r="P490">
            <v>13606.636599999852</v>
          </cell>
          <cell r="Q490">
            <v>15082.460900000064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2">
          <cell r="A492" t="str">
            <v>Coal Generation</v>
          </cell>
        </row>
        <row r="493">
          <cell r="C493" t="str">
            <v>Cholla</v>
          </cell>
          <cell r="F493">
            <v>-570.19333000000915</v>
          </cell>
          <cell r="G493">
            <v>-326.11590000000433</v>
          </cell>
          <cell r="H493">
            <v>-168.66122000000905</v>
          </cell>
          <cell r="I493">
            <v>-102.34586000000127</v>
          </cell>
          <cell r="J493">
            <v>-41.263240000000224</v>
          </cell>
          <cell r="K493">
            <v>-20.631609999996726</v>
          </cell>
          <cell r="L493">
            <v>-255.92934000000241</v>
          </cell>
          <cell r="M493">
            <v>-88.474119999998948</v>
          </cell>
          <cell r="N493">
            <v>-51.382750000004307</v>
          </cell>
          <cell r="O493">
            <v>-130.26919000000635</v>
          </cell>
          <cell r="P493">
            <v>-824.99873999999545</v>
          </cell>
          <cell r="Q493">
            <v>-443.89505999998073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 t="str">
            <v>Colstrip</v>
          </cell>
          <cell r="F494">
            <v>0</v>
          </cell>
          <cell r="G494">
            <v>0</v>
          </cell>
          <cell r="H494">
            <v>-16.744625000006636</v>
          </cell>
          <cell r="I494">
            <v>-11.484613999986323</v>
          </cell>
          <cell r="J494">
            <v>-51.750485000011395</v>
          </cell>
          <cell r="K494">
            <v>-11.732069999998203</v>
          </cell>
          <cell r="L494">
            <v>0</v>
          </cell>
          <cell r="M494">
            <v>0</v>
          </cell>
          <cell r="N494">
            <v>0</v>
          </cell>
          <cell r="O494">
            <v>-21.25</v>
          </cell>
          <cell r="P494">
            <v>0</v>
          </cell>
          <cell r="Q494">
            <v>-16.635962999993353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 t="str">
            <v>Craig</v>
          </cell>
          <cell r="F495">
            <v>-175.15050400001928</v>
          </cell>
          <cell r="G495">
            <v>-51.477221999986796</v>
          </cell>
          <cell r="H495">
            <v>0</v>
          </cell>
          <cell r="I495">
            <v>0</v>
          </cell>
          <cell r="J495">
            <v>-58.402459999997518</v>
          </cell>
          <cell r="K495">
            <v>0</v>
          </cell>
          <cell r="L495">
            <v>-14.574670000001788</v>
          </cell>
          <cell r="M495">
            <v>-2.3364100000035251</v>
          </cell>
          <cell r="N495">
            <v>-10.217636000001221</v>
          </cell>
          <cell r="O495">
            <v>-55.487917999998899</v>
          </cell>
          <cell r="P495">
            <v>-250.78801399999065</v>
          </cell>
          <cell r="Q495">
            <v>-206.96109599999909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 t="str">
            <v>Dave Johnston</v>
          </cell>
          <cell r="F496">
            <v>0</v>
          </cell>
          <cell r="G496">
            <v>0</v>
          </cell>
          <cell r="H496">
            <v>-130.97662100003799</v>
          </cell>
          <cell r="I496">
            <v>-174.24641899997368</v>
          </cell>
          <cell r="J496">
            <v>-378.2355680000037</v>
          </cell>
          <cell r="K496">
            <v>-210.87194800004363</v>
          </cell>
          <cell r="L496">
            <v>0</v>
          </cell>
          <cell r="M496">
            <v>0</v>
          </cell>
          <cell r="N496">
            <v>-13.768020000075921</v>
          </cell>
          <cell r="O496">
            <v>-21.25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 t="str">
            <v>Hayden</v>
          </cell>
          <cell r="F497">
            <v>-169.21686400000181</v>
          </cell>
          <cell r="G497">
            <v>-89.742266000001109</v>
          </cell>
          <cell r="H497">
            <v>-16.969548000000941</v>
          </cell>
          <cell r="I497">
            <v>-23.944092999998247</v>
          </cell>
          <cell r="J497">
            <v>-26.604675000002317</v>
          </cell>
          <cell r="K497">
            <v>0</v>
          </cell>
          <cell r="L497">
            <v>-65.612080000006245</v>
          </cell>
          <cell r="M497">
            <v>-15.672535999998217</v>
          </cell>
          <cell r="N497">
            <v>-11.224289000005228</v>
          </cell>
          <cell r="O497">
            <v>0</v>
          </cell>
          <cell r="P497">
            <v>-170.4495330000027</v>
          </cell>
          <cell r="Q497">
            <v>-110.01226899999892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 t="str">
            <v>Hunter</v>
          </cell>
          <cell r="F498">
            <v>-6019.9778830000432</v>
          </cell>
          <cell r="G498">
            <v>118.5166339998832</v>
          </cell>
          <cell r="H498">
            <v>-3691.1415810000035</v>
          </cell>
          <cell r="I498">
            <v>-1460.8572189999977</v>
          </cell>
          <cell r="J498">
            <v>-1952.683410000056</v>
          </cell>
          <cell r="K498">
            <v>-2007.8616150000016</v>
          </cell>
          <cell r="L498">
            <v>-3935.350344000035</v>
          </cell>
          <cell r="M498">
            <v>-3489.6970709999441</v>
          </cell>
          <cell r="N498">
            <v>-4470.9034550000215</v>
          </cell>
          <cell r="O498">
            <v>-2725.0217699999921</v>
          </cell>
          <cell r="P498">
            <v>-3063.1477139999624</v>
          </cell>
          <cell r="Q498">
            <v>-4743.6565389999887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499">
          <cell r="C499" t="str">
            <v>Huntington</v>
          </cell>
          <cell r="F499">
            <v>-42.5</v>
          </cell>
          <cell r="G499">
            <v>-308.11966000008397</v>
          </cell>
          <cell r="H499">
            <v>-715.60780599992722</v>
          </cell>
          <cell r="I499">
            <v>-1102.1254760000156</v>
          </cell>
          <cell r="J499">
            <v>-1553.6545349999797</v>
          </cell>
          <cell r="K499">
            <v>-2220.0506260000402</v>
          </cell>
          <cell r="L499">
            <v>-371.15211399993859</v>
          </cell>
          <cell r="M499">
            <v>-43.909910000045784</v>
          </cell>
          <cell r="N499">
            <v>-165.8479899999802</v>
          </cell>
          <cell r="O499">
            <v>-525.51084000000264</v>
          </cell>
          <cell r="P499">
            <v>-765.45606500003487</v>
          </cell>
          <cell r="Q499">
            <v>-551.2682400001213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</row>
        <row r="500">
          <cell r="C500" t="str">
            <v>Jim Bridger</v>
          </cell>
          <cell r="F500">
            <v>-2424.680828000186</v>
          </cell>
          <cell r="G500">
            <v>-805.6339539999608</v>
          </cell>
          <cell r="H500">
            <v>-6108.8832009999314</v>
          </cell>
          <cell r="I500">
            <v>-2469.3604020000203</v>
          </cell>
          <cell r="J500">
            <v>-1447.401251000003</v>
          </cell>
          <cell r="K500">
            <v>-2754.8024969999678</v>
          </cell>
          <cell r="L500">
            <v>-4166.6855480000377</v>
          </cell>
          <cell r="M500">
            <v>-5731.5625380000565</v>
          </cell>
          <cell r="N500">
            <v>-5168.130261000013</v>
          </cell>
          <cell r="O500">
            <v>-3898.2986049999599</v>
          </cell>
          <cell r="P500">
            <v>-3580.5006499999436</v>
          </cell>
          <cell r="Q500">
            <v>-3978.1446750001051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1">
          <cell r="C501" t="str">
            <v>Naughton</v>
          </cell>
          <cell r="F501">
            <v>0</v>
          </cell>
          <cell r="G501">
            <v>-183.72206999998889</v>
          </cell>
          <cell r="H501">
            <v>-165.06456299999263</v>
          </cell>
          <cell r="I501">
            <v>-366.22832000002381</v>
          </cell>
          <cell r="J501">
            <v>-432.59667500000796</v>
          </cell>
          <cell r="K501">
            <v>-454.26571599999443</v>
          </cell>
          <cell r="L501">
            <v>-42.5</v>
          </cell>
          <cell r="M501">
            <v>-41.090095999999903</v>
          </cell>
          <cell r="N501">
            <v>-7.7319920000154525</v>
          </cell>
          <cell r="O501">
            <v>-232.70993399998406</v>
          </cell>
          <cell r="P501">
            <v>-55.465133999998216</v>
          </cell>
          <cell r="Q501">
            <v>-95.197255000006407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</row>
        <row r="502">
          <cell r="C502" t="str">
            <v>Wyodak</v>
          </cell>
          <cell r="F502">
            <v>0</v>
          </cell>
          <cell r="G502">
            <v>0</v>
          </cell>
          <cell r="H502">
            <v>-15.680319999999483</v>
          </cell>
          <cell r="I502">
            <v>0</v>
          </cell>
          <cell r="J502">
            <v>-0.56815999999525957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</row>
        <row r="503">
          <cell r="C503" t="str">
            <v>Ramp Loss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5">
          <cell r="A505" t="str">
            <v>Total Coal Generation</v>
          </cell>
          <cell r="F505">
            <v>-9401.7194090010598</v>
          </cell>
          <cell r="G505">
            <v>-1646.2944380003028</v>
          </cell>
          <cell r="H505">
            <v>-11029.729485000018</v>
          </cell>
          <cell r="I505">
            <v>-5710.592402999755</v>
          </cell>
          <cell r="J505">
            <v>-5943.1604590006173</v>
          </cell>
          <cell r="K505">
            <v>-7680.2160820006393</v>
          </cell>
          <cell r="L505">
            <v>-8851.8040960002691</v>
          </cell>
          <cell r="M505">
            <v>-9412.742680999916</v>
          </cell>
          <cell r="N505">
            <v>-9899.2063930002041</v>
          </cell>
          <cell r="O505">
            <v>-7609.798256999813</v>
          </cell>
          <cell r="P505">
            <v>-8710.805849999655</v>
          </cell>
          <cell r="Q505">
            <v>-10145.771096999757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7">
          <cell r="A507" t="str">
            <v>Gas Generation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-219.31257999999798</v>
          </cell>
          <cell r="J508">
            <v>0</v>
          </cell>
          <cell r="K508">
            <v>0</v>
          </cell>
          <cell r="L508">
            <v>-204.39300999999978</v>
          </cell>
          <cell r="M508">
            <v>-382.56216000003042</v>
          </cell>
          <cell r="N508">
            <v>-692.57196999998996</v>
          </cell>
          <cell r="O508">
            <v>-351.38796000002185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-996.15131500002462</v>
          </cell>
          <cell r="G510">
            <v>-895.6601859999646</v>
          </cell>
          <cell r="H510">
            <v>-478.08166899997741</v>
          </cell>
          <cell r="I510">
            <v>0</v>
          </cell>
          <cell r="J510">
            <v>-466.4764880000148</v>
          </cell>
          <cell r="K510">
            <v>-822.07687000004807</v>
          </cell>
          <cell r="L510">
            <v>-233.9685270000482</v>
          </cell>
          <cell r="M510">
            <v>-207.86457399994833</v>
          </cell>
          <cell r="N510">
            <v>-174.94699000002583</v>
          </cell>
          <cell r="O510">
            <v>-1223.8566100000171</v>
          </cell>
          <cell r="P510">
            <v>0</v>
          </cell>
          <cell r="Q510">
            <v>-1259.9876860000659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50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-0.61827050000010786</v>
          </cell>
          <cell r="G512">
            <v>-1.8551759999991191</v>
          </cell>
          <cell r="H512">
            <v>-12.473555999999007</v>
          </cell>
          <cell r="I512">
            <v>-8.0390609999994922</v>
          </cell>
          <cell r="J512">
            <v>-102.10200500000064</v>
          </cell>
          <cell r="K512">
            <v>-21.650212000000465</v>
          </cell>
          <cell r="L512">
            <v>-72.301444500000798</v>
          </cell>
          <cell r="M512">
            <v>-254.77245200000471</v>
          </cell>
          <cell r="N512">
            <v>-78.59780800000226</v>
          </cell>
          <cell r="O512">
            <v>-5.5652760000011767</v>
          </cell>
          <cell r="P512">
            <v>-21.024384000000282</v>
          </cell>
          <cell r="Q512">
            <v>-20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-65.483600000006845</v>
          </cell>
          <cell r="G513">
            <v>-207.53471000000718</v>
          </cell>
          <cell r="H513">
            <v>-120.05788999999641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-16.208849999995437</v>
          </cell>
          <cell r="Q513">
            <v>-209.81956000000355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-1464.2396699999808</v>
          </cell>
          <cell r="G514">
            <v>-7363.30429</v>
          </cell>
          <cell r="H514">
            <v>-75.772100000001956</v>
          </cell>
          <cell r="I514">
            <v>-205.47211000000243</v>
          </cell>
          <cell r="J514">
            <v>-598.32659000001149</v>
          </cell>
          <cell r="K514">
            <v>-908.58203999995021</v>
          </cell>
          <cell r="L514">
            <v>-171.58938000001945</v>
          </cell>
          <cell r="M514">
            <v>-180.03914999996778</v>
          </cell>
          <cell r="N514">
            <v>-152.6520100000198</v>
          </cell>
          <cell r="O514">
            <v>3807.2084500000346</v>
          </cell>
          <cell r="P514">
            <v>652.49395999999251</v>
          </cell>
          <cell r="Q514">
            <v>-874.35161999997217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-841.88584999999148</v>
          </cell>
          <cell r="G515">
            <v>-215.17173000000184</v>
          </cell>
          <cell r="H515">
            <v>-303.4343349999981</v>
          </cell>
          <cell r="I515">
            <v>-350.01773899997352</v>
          </cell>
          <cell r="J515">
            <v>-358.57787599999574</v>
          </cell>
          <cell r="K515">
            <v>-846.14024300005985</v>
          </cell>
          <cell r="L515">
            <v>-372.25752999994438</v>
          </cell>
          <cell r="M515">
            <v>-514.95969799999148</v>
          </cell>
          <cell r="N515">
            <v>-1253.1931360000162</v>
          </cell>
          <cell r="O515">
            <v>-6506.4309409999987</v>
          </cell>
          <cell r="P515">
            <v>-1353.5367200000328</v>
          </cell>
          <cell r="Q515">
            <v>-687.31775000001653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8">
          <cell r="A518" t="str">
            <v>Total Gas Generation</v>
          </cell>
          <cell r="F518">
            <v>-3368.378705500043</v>
          </cell>
          <cell r="G518">
            <v>-8633.5260919999564</v>
          </cell>
          <cell r="H518">
            <v>-989.81955000001471</v>
          </cell>
          <cell r="I518">
            <v>-782.84149000002071</v>
          </cell>
          <cell r="J518">
            <v>-1525.4829590000445</v>
          </cell>
          <cell r="K518">
            <v>-2598.4493650002405</v>
          </cell>
          <cell r="L518">
            <v>-1054.5098914997652</v>
          </cell>
          <cell r="M518">
            <v>-1540.1980339998845</v>
          </cell>
          <cell r="N518">
            <v>-2351.9619139998686</v>
          </cell>
          <cell r="O518">
            <v>-4280.0323370001279</v>
          </cell>
          <cell r="P518">
            <v>-738.27599399990868</v>
          </cell>
          <cell r="Q518">
            <v>-3051.476616000291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</row>
        <row r="520">
          <cell r="A520" t="str">
            <v>Hydro Generation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</row>
        <row r="524">
          <cell r="A524" t="str">
            <v>Total Hydro Generation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6">
          <cell r="A526" t="str">
            <v>Other Generation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6">
          <cell r="A546" t="str">
            <v>Total Other Generation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8">
          <cell r="A548" t="str">
            <v>IRP Resources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</row>
        <row r="573">
          <cell r="A573" t="str">
            <v>Total IRP Resources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</row>
        <row r="575">
          <cell r="A575" t="str">
            <v>Growth Station Resources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-20.631619999999998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</row>
        <row r="584">
          <cell r="A584" t="str">
            <v>Total Growth Station Resources</v>
          </cell>
          <cell r="F584">
            <v>0</v>
          </cell>
          <cell r="G584">
            <v>0</v>
          </cell>
          <cell r="H584">
            <v>0</v>
          </cell>
          <cell r="I584">
            <v>-20.631620000000112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</row>
        <row r="585">
          <cell r="F585" t="str">
            <v>=</v>
          </cell>
          <cell r="G585" t="str">
            <v>=</v>
          </cell>
          <cell r="H585" t="str">
            <v>=</v>
          </cell>
          <cell r="I585" t="str">
            <v>=</v>
          </cell>
          <cell r="J585" t="str">
            <v>=</v>
          </cell>
          <cell r="K585" t="str">
            <v>=</v>
          </cell>
          <cell r="L585" t="str">
            <v>=</v>
          </cell>
          <cell r="M585" t="str">
            <v>=</v>
          </cell>
          <cell r="N585" t="str">
            <v>=</v>
          </cell>
          <cell r="O585" t="str">
            <v>=</v>
          </cell>
          <cell r="P585" t="str">
            <v>=</v>
          </cell>
          <cell r="Q585" t="str">
            <v>=</v>
          </cell>
          <cell r="R585" t="str">
            <v>=</v>
          </cell>
          <cell r="S585" t="str">
            <v>=</v>
          </cell>
          <cell r="T585" t="str">
            <v>=</v>
          </cell>
          <cell r="U585" t="str">
            <v>=</v>
          </cell>
          <cell r="V585" t="str">
            <v>=</v>
          </cell>
          <cell r="W585" t="str">
            <v>=</v>
          </cell>
          <cell r="X585" t="str">
            <v>=</v>
          </cell>
          <cell r="Y585" t="str">
            <v>=</v>
          </cell>
          <cell r="Z585" t="str">
            <v>=</v>
          </cell>
          <cell r="AA585" t="str">
            <v>=</v>
          </cell>
          <cell r="AB585" t="str">
            <v>=</v>
          </cell>
          <cell r="AC585" t="str">
            <v>=</v>
          </cell>
          <cell r="AD585" t="str">
            <v>=</v>
          </cell>
          <cell r="AE585" t="str">
            <v>=</v>
          </cell>
          <cell r="AF585" t="str">
            <v>=</v>
          </cell>
          <cell r="AG585" t="str">
            <v>=</v>
          </cell>
          <cell r="AH585" t="str">
            <v>=</v>
          </cell>
          <cell r="AI585" t="str">
            <v>=</v>
          </cell>
          <cell r="AJ585" t="str">
            <v>=</v>
          </cell>
          <cell r="AK585" t="str">
            <v>=</v>
          </cell>
          <cell r="AL585" t="str">
            <v>=</v>
          </cell>
          <cell r="AM585" t="str">
            <v>=</v>
          </cell>
          <cell r="AN585" t="str">
            <v>=</v>
          </cell>
          <cell r="AO585" t="str">
            <v>=</v>
          </cell>
          <cell r="AP585" t="str">
            <v>=</v>
          </cell>
          <cell r="AQ585" t="str">
            <v>=</v>
          </cell>
          <cell r="AR585" t="str">
            <v>=</v>
          </cell>
          <cell r="AS585" t="str">
            <v>=</v>
          </cell>
          <cell r="AT585" t="str">
            <v>=</v>
          </cell>
          <cell r="AU585" t="str">
            <v>=</v>
          </cell>
          <cell r="AV585" t="str">
            <v>=</v>
          </cell>
          <cell r="AW585" t="str">
            <v>=</v>
          </cell>
          <cell r="AX585" t="str">
            <v>=</v>
          </cell>
          <cell r="AY585" t="str">
            <v>=</v>
          </cell>
          <cell r="AZ585" t="str">
            <v>=</v>
          </cell>
          <cell r="BA585" t="str">
            <v>=</v>
          </cell>
          <cell r="BB585" t="str">
            <v>=</v>
          </cell>
          <cell r="BC585" t="str">
            <v>=</v>
          </cell>
          <cell r="BD585" t="str">
            <v>=</v>
          </cell>
          <cell r="BE585" t="str">
            <v>=</v>
          </cell>
          <cell r="BF585" t="str">
            <v>=</v>
          </cell>
          <cell r="BG585" t="str">
            <v>=</v>
          </cell>
          <cell r="BH585" t="str">
            <v>=</v>
          </cell>
          <cell r="BI585" t="str">
            <v>=</v>
          </cell>
          <cell r="BJ585" t="str">
            <v>=</v>
          </cell>
          <cell r="BK585" t="str">
            <v>=</v>
          </cell>
          <cell r="BL585" t="str">
            <v>=</v>
          </cell>
          <cell r="BM585" t="str">
            <v>=</v>
          </cell>
          <cell r="BN585" t="str">
            <v>=</v>
          </cell>
          <cell r="BO585" t="str">
            <v>=</v>
          </cell>
          <cell r="BP585" t="str">
            <v>=</v>
          </cell>
          <cell r="BQ585" t="str">
            <v>=</v>
          </cell>
          <cell r="BR585" t="str">
            <v>=</v>
          </cell>
          <cell r="BS585" t="str">
            <v>=</v>
          </cell>
          <cell r="BT585" t="str">
            <v>=</v>
          </cell>
          <cell r="BU585" t="str">
            <v>=</v>
          </cell>
          <cell r="BV585" t="str">
            <v>=</v>
          </cell>
          <cell r="BW585" t="str">
            <v>=</v>
          </cell>
          <cell r="BX585" t="str">
            <v>=</v>
          </cell>
          <cell r="BY585" t="str">
            <v>=</v>
          </cell>
          <cell r="BZ585" t="str">
            <v>=</v>
          </cell>
          <cell r="CA585" t="str">
            <v>=</v>
          </cell>
          <cell r="CB585" t="str">
            <v>=</v>
          </cell>
          <cell r="CC585" t="str">
            <v>=</v>
          </cell>
          <cell r="CD585" t="str">
            <v>=</v>
          </cell>
          <cell r="CE585" t="str">
            <v>=</v>
          </cell>
          <cell r="CF585" t="str">
            <v>=</v>
          </cell>
          <cell r="CG585" t="str">
            <v>=</v>
          </cell>
          <cell r="CH585" t="str">
            <v>=</v>
          </cell>
          <cell r="CI585" t="str">
            <v>=</v>
          </cell>
          <cell r="CJ585" t="str">
            <v>=</v>
          </cell>
          <cell r="CK585" t="str">
            <v>=</v>
          </cell>
          <cell r="CL585" t="str">
            <v>=</v>
          </cell>
          <cell r="CM585" t="str">
            <v>=</v>
          </cell>
          <cell r="CN585" t="str">
            <v>=</v>
          </cell>
          <cell r="CO585" t="str">
            <v>=</v>
          </cell>
          <cell r="CP585" t="str">
            <v>=</v>
          </cell>
          <cell r="CQ585" t="str">
            <v>=</v>
          </cell>
          <cell r="CR585" t="str">
            <v>=</v>
          </cell>
          <cell r="CS585" t="str">
            <v>=</v>
          </cell>
          <cell r="CT585" t="str">
            <v>=</v>
          </cell>
          <cell r="CU585" t="str">
            <v>=</v>
          </cell>
          <cell r="CV585" t="str">
            <v>=</v>
          </cell>
          <cell r="CW585" t="str">
            <v>=</v>
          </cell>
          <cell r="CX585" t="str">
            <v>=</v>
          </cell>
          <cell r="CY585" t="str">
            <v>=</v>
          </cell>
          <cell r="CZ585" t="str">
            <v>=</v>
          </cell>
          <cell r="DA585" t="str">
            <v>=</v>
          </cell>
          <cell r="DB585" t="str">
            <v>=</v>
          </cell>
          <cell r="DC585" t="str">
            <v>=</v>
          </cell>
          <cell r="DD585" t="str">
            <v>=</v>
          </cell>
          <cell r="DE585" t="str">
            <v>=</v>
          </cell>
          <cell r="DF585" t="str">
            <v>=</v>
          </cell>
          <cell r="DG585" t="str">
            <v>=</v>
          </cell>
          <cell r="DH585" t="str">
            <v>=</v>
          </cell>
          <cell r="DI585" t="str">
            <v>=</v>
          </cell>
          <cell r="DJ585" t="str">
            <v>=</v>
          </cell>
          <cell r="DK585" t="str">
            <v>=</v>
          </cell>
          <cell r="DL585" t="str">
            <v>=</v>
          </cell>
          <cell r="DM585" t="str">
            <v>=</v>
          </cell>
          <cell r="DN585" t="str">
            <v>=</v>
          </cell>
          <cell r="DO585" t="str">
            <v>=</v>
          </cell>
          <cell r="DP585" t="str">
            <v>=</v>
          </cell>
          <cell r="DQ585" t="str">
            <v>=</v>
          </cell>
          <cell r="DR585" t="str">
            <v>=</v>
          </cell>
          <cell r="DS585" t="str">
            <v>=</v>
          </cell>
          <cell r="DT585" t="str">
            <v>=</v>
          </cell>
          <cell r="DU585" t="str">
            <v>=</v>
          </cell>
          <cell r="DV585" t="str">
            <v>=</v>
          </cell>
          <cell r="DW585" t="str">
            <v>=</v>
          </cell>
          <cell r="DX585" t="str">
            <v>=</v>
          </cell>
          <cell r="DY585" t="str">
            <v>=</v>
          </cell>
          <cell r="DZ585" t="str">
            <v>=</v>
          </cell>
          <cell r="EA585" t="str">
            <v>=</v>
          </cell>
          <cell r="EB585" t="str">
            <v>=</v>
          </cell>
          <cell r="EC585" t="str">
            <v>=</v>
          </cell>
          <cell r="ED585" t="str">
            <v>=</v>
          </cell>
        </row>
        <row r="586">
          <cell r="A586" t="str">
            <v>Total Resources</v>
          </cell>
          <cell r="F586">
            <v>1734.7529854997993</v>
          </cell>
          <cell r="G586">
            <v>1901.7701699994504</v>
          </cell>
          <cell r="H586">
            <v>1150.4602649994195</v>
          </cell>
          <cell r="I586">
            <v>2961.1900869999081</v>
          </cell>
          <cell r="J586">
            <v>1584.0049219988286</v>
          </cell>
          <cell r="K586">
            <v>1622.9247529990971</v>
          </cell>
          <cell r="L586">
            <v>1839.370122499764</v>
          </cell>
          <cell r="M586">
            <v>377.58658499922603</v>
          </cell>
          <cell r="N586">
            <v>905.41146299988031</v>
          </cell>
          <cell r="O586">
            <v>1864.8183059999719</v>
          </cell>
          <cell r="P586">
            <v>4157.5547559997067</v>
          </cell>
          <cell r="Q586">
            <v>1885.2131870007142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</row>
        <row r="587">
          <cell r="F587" t="str">
            <v>=</v>
          </cell>
          <cell r="G587" t="str">
            <v>=</v>
          </cell>
          <cell r="H587" t="str">
            <v>=</v>
          </cell>
          <cell r="I587" t="str">
            <v>=</v>
          </cell>
          <cell r="J587" t="str">
            <v>=</v>
          </cell>
          <cell r="K587" t="str">
            <v>=</v>
          </cell>
          <cell r="L587" t="str">
            <v>=</v>
          </cell>
          <cell r="M587" t="str">
            <v>=</v>
          </cell>
          <cell r="N587" t="str">
            <v>=</v>
          </cell>
          <cell r="O587" t="str">
            <v>=</v>
          </cell>
          <cell r="P587" t="str">
            <v>=</v>
          </cell>
          <cell r="Q587" t="str">
            <v>=</v>
          </cell>
          <cell r="R587" t="str">
            <v>=</v>
          </cell>
          <cell r="S587" t="str">
            <v>=</v>
          </cell>
          <cell r="T587" t="str">
            <v>=</v>
          </cell>
          <cell r="U587" t="str">
            <v>=</v>
          </cell>
          <cell r="V587" t="str">
            <v>=</v>
          </cell>
          <cell r="W587" t="str">
            <v>=</v>
          </cell>
          <cell r="X587" t="str">
            <v>=</v>
          </cell>
          <cell r="Y587" t="str">
            <v>=</v>
          </cell>
          <cell r="Z587" t="str">
            <v>=</v>
          </cell>
          <cell r="AA587" t="str">
            <v>=</v>
          </cell>
          <cell r="AB587" t="str">
            <v>=</v>
          </cell>
          <cell r="AC587" t="str">
            <v>=</v>
          </cell>
          <cell r="AD587" t="str">
            <v>=</v>
          </cell>
          <cell r="AE587" t="str">
            <v>=</v>
          </cell>
          <cell r="AF587" t="str">
            <v>=</v>
          </cell>
          <cell r="AG587" t="str">
            <v>=</v>
          </cell>
          <cell r="AH587" t="str">
            <v>=</v>
          </cell>
          <cell r="AI587" t="str">
            <v>=</v>
          </cell>
          <cell r="AJ587" t="str">
            <v>=</v>
          </cell>
          <cell r="AK587" t="str">
            <v>=</v>
          </cell>
          <cell r="AL587" t="str">
            <v>=</v>
          </cell>
          <cell r="AM587" t="str">
            <v>=</v>
          </cell>
          <cell r="AN587" t="str">
            <v>=</v>
          </cell>
          <cell r="AO587" t="str">
            <v>=</v>
          </cell>
          <cell r="AP587" t="str">
            <v>=</v>
          </cell>
          <cell r="AQ587" t="str">
            <v>=</v>
          </cell>
          <cell r="AR587" t="str">
            <v>=</v>
          </cell>
          <cell r="AS587" t="str">
            <v>=</v>
          </cell>
          <cell r="AT587" t="str">
            <v>=</v>
          </cell>
          <cell r="AU587" t="str">
            <v>=</v>
          </cell>
          <cell r="AV587" t="str">
            <v>=</v>
          </cell>
          <cell r="AW587" t="str">
            <v>=</v>
          </cell>
          <cell r="AX587" t="str">
            <v>=</v>
          </cell>
          <cell r="AY587" t="str">
            <v>=</v>
          </cell>
          <cell r="AZ587" t="str">
            <v>=</v>
          </cell>
          <cell r="BA587" t="str">
            <v>=</v>
          </cell>
          <cell r="BB587" t="str">
            <v>=</v>
          </cell>
          <cell r="BC587" t="str">
            <v>=</v>
          </cell>
          <cell r="BD587" t="str">
            <v>=</v>
          </cell>
          <cell r="BE587" t="str">
            <v>=</v>
          </cell>
          <cell r="BF587" t="str">
            <v>=</v>
          </cell>
          <cell r="BG587" t="str">
            <v>=</v>
          </cell>
          <cell r="BH587" t="str">
            <v>=</v>
          </cell>
          <cell r="BI587" t="str">
            <v>=</v>
          </cell>
          <cell r="BJ587" t="str">
            <v>=</v>
          </cell>
          <cell r="BK587" t="str">
            <v>=</v>
          </cell>
          <cell r="BL587" t="str">
            <v>=</v>
          </cell>
          <cell r="BM587" t="str">
            <v>=</v>
          </cell>
          <cell r="BN587" t="str">
            <v>=</v>
          </cell>
          <cell r="BO587" t="str">
            <v>=</v>
          </cell>
          <cell r="BP587" t="str">
            <v>=</v>
          </cell>
          <cell r="BQ587" t="str">
            <v>=</v>
          </cell>
          <cell r="BR587" t="str">
            <v>=</v>
          </cell>
          <cell r="BS587" t="str">
            <v>=</v>
          </cell>
          <cell r="BT587" t="str">
            <v>=</v>
          </cell>
          <cell r="BU587" t="str">
            <v>=</v>
          </cell>
          <cell r="BV587" t="str">
            <v>=</v>
          </cell>
          <cell r="BW587" t="str">
            <v>=</v>
          </cell>
          <cell r="BX587" t="str">
            <v>=</v>
          </cell>
          <cell r="BY587" t="str">
            <v>=</v>
          </cell>
          <cell r="BZ587" t="str">
            <v>=</v>
          </cell>
          <cell r="CA587" t="str">
            <v>=</v>
          </cell>
          <cell r="CB587" t="str">
            <v>=</v>
          </cell>
          <cell r="CC587" t="str">
            <v>=</v>
          </cell>
          <cell r="CD587" t="str">
            <v>=</v>
          </cell>
          <cell r="CE587" t="str">
            <v>=</v>
          </cell>
          <cell r="CF587" t="str">
            <v>=</v>
          </cell>
          <cell r="CG587" t="str">
            <v>=</v>
          </cell>
          <cell r="CH587" t="str">
            <v>=</v>
          </cell>
          <cell r="CI587" t="str">
            <v>=</v>
          </cell>
          <cell r="CJ587" t="str">
            <v>=</v>
          </cell>
          <cell r="CK587" t="str">
            <v>=</v>
          </cell>
          <cell r="CL587" t="str">
            <v>=</v>
          </cell>
          <cell r="CM587" t="str">
            <v>=</v>
          </cell>
          <cell r="CN587" t="str">
            <v>=</v>
          </cell>
          <cell r="CO587" t="str">
            <v>=</v>
          </cell>
          <cell r="CP587" t="str">
            <v>=</v>
          </cell>
          <cell r="CQ587" t="str">
            <v>=</v>
          </cell>
          <cell r="CR587" t="str">
            <v>=</v>
          </cell>
          <cell r="CS587" t="str">
            <v>=</v>
          </cell>
          <cell r="CT587" t="str">
            <v>=</v>
          </cell>
          <cell r="CU587" t="str">
            <v>=</v>
          </cell>
          <cell r="CV587" t="str">
            <v>=</v>
          </cell>
          <cell r="CW587" t="str">
            <v>=</v>
          </cell>
          <cell r="CX587" t="str">
            <v>=</v>
          </cell>
          <cell r="CY587" t="str">
            <v>=</v>
          </cell>
          <cell r="CZ587" t="str">
            <v>=</v>
          </cell>
          <cell r="DA587" t="str">
            <v>=</v>
          </cell>
          <cell r="DB587" t="str">
            <v>=</v>
          </cell>
          <cell r="DC587" t="str">
            <v>=</v>
          </cell>
          <cell r="DD587" t="str">
            <v>=</v>
          </cell>
          <cell r="DE587" t="str">
            <v>=</v>
          </cell>
          <cell r="DF587" t="str">
            <v>=</v>
          </cell>
          <cell r="DG587" t="str">
            <v>=</v>
          </cell>
          <cell r="DH587" t="str">
            <v>=</v>
          </cell>
          <cell r="DI587" t="str">
            <v>=</v>
          </cell>
          <cell r="DJ587" t="str">
            <v>=</v>
          </cell>
          <cell r="DK587" t="str">
            <v>=</v>
          </cell>
          <cell r="DL587" t="str">
            <v>=</v>
          </cell>
          <cell r="DM587" t="str">
            <v>=</v>
          </cell>
          <cell r="DN587" t="str">
            <v>=</v>
          </cell>
          <cell r="DO587" t="str">
            <v>=</v>
          </cell>
          <cell r="DP587" t="str">
            <v>=</v>
          </cell>
          <cell r="DQ587" t="str">
            <v>=</v>
          </cell>
          <cell r="DR587" t="str">
            <v>=</v>
          </cell>
          <cell r="DS587" t="str">
            <v>=</v>
          </cell>
          <cell r="DT587" t="str">
            <v>=</v>
          </cell>
          <cell r="DU587" t="str">
            <v>=</v>
          </cell>
          <cell r="DV587" t="str">
            <v>=</v>
          </cell>
          <cell r="DW587" t="str">
            <v>=</v>
          </cell>
          <cell r="DX587" t="str">
            <v>=</v>
          </cell>
          <cell r="DY587" t="str">
            <v>=</v>
          </cell>
          <cell r="DZ587" t="str">
            <v>=</v>
          </cell>
          <cell r="EA587" t="str">
            <v>=</v>
          </cell>
          <cell r="EB587" t="str">
            <v>=</v>
          </cell>
          <cell r="EC587" t="str">
            <v>=</v>
          </cell>
          <cell r="ED587" t="str">
            <v>=</v>
          </cell>
        </row>
        <row r="588"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 t="str">
            <v/>
          </cell>
          <cell r="BU588" t="str">
            <v/>
          </cell>
          <cell r="BV588" t="str">
            <v/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 t="str">
            <v/>
          </cell>
          <cell r="CC588" t="str">
            <v/>
          </cell>
          <cell r="CD588" t="str">
            <v/>
          </cell>
          <cell r="CE588" t="str">
            <v/>
          </cell>
          <cell r="CF588" t="str">
            <v/>
          </cell>
          <cell r="CG588" t="str">
            <v/>
          </cell>
          <cell r="CH588" t="str">
            <v/>
          </cell>
          <cell r="CI588" t="str">
            <v/>
          </cell>
          <cell r="CJ588" t="str">
            <v/>
          </cell>
          <cell r="CK588" t="str">
            <v/>
          </cell>
          <cell r="CL588" t="str">
            <v/>
          </cell>
          <cell r="CM588" t="str">
            <v/>
          </cell>
          <cell r="CN588" t="str">
            <v/>
          </cell>
          <cell r="CO588" t="str">
            <v/>
          </cell>
          <cell r="CP588" t="str">
            <v/>
          </cell>
          <cell r="CQ588" t="str">
            <v/>
          </cell>
          <cell r="CR588" t="str">
            <v/>
          </cell>
          <cell r="CS588" t="str">
            <v/>
          </cell>
          <cell r="CT588" t="str">
            <v/>
          </cell>
          <cell r="CU588" t="str">
            <v/>
          </cell>
          <cell r="CV588" t="str">
            <v/>
          </cell>
          <cell r="CW588" t="str">
            <v/>
          </cell>
          <cell r="CX588" t="str">
            <v/>
          </cell>
          <cell r="CY588" t="str">
            <v/>
          </cell>
          <cell r="CZ588" t="str">
            <v/>
          </cell>
          <cell r="DA588" t="str">
            <v/>
          </cell>
          <cell r="DB588" t="str">
            <v/>
          </cell>
          <cell r="DC588" t="str">
            <v/>
          </cell>
          <cell r="DD588" t="str">
            <v/>
          </cell>
          <cell r="DE588" t="str">
            <v/>
          </cell>
          <cell r="DF588" t="str">
            <v/>
          </cell>
          <cell r="DG588" t="str">
            <v/>
          </cell>
          <cell r="DH588" t="str">
            <v/>
          </cell>
          <cell r="DI588" t="str">
            <v/>
          </cell>
          <cell r="DJ588" t="str">
            <v/>
          </cell>
          <cell r="DK588" t="str">
            <v/>
          </cell>
          <cell r="DL588" t="str">
            <v/>
          </cell>
          <cell r="DM588" t="str">
            <v/>
          </cell>
          <cell r="DN588" t="str">
            <v/>
          </cell>
          <cell r="DO588" t="str">
            <v/>
          </cell>
          <cell r="DP588" t="str">
            <v/>
          </cell>
          <cell r="DQ588" t="str">
            <v/>
          </cell>
          <cell r="DR588" t="str">
            <v/>
          </cell>
          <cell r="DS588" t="str">
            <v/>
          </cell>
          <cell r="DT588" t="str">
            <v/>
          </cell>
          <cell r="DU588" t="str">
            <v/>
          </cell>
          <cell r="DV588" t="str">
            <v/>
          </cell>
          <cell r="DW588" t="str">
            <v/>
          </cell>
          <cell r="DX588" t="str">
            <v/>
          </cell>
          <cell r="DY588" t="str">
            <v/>
          </cell>
          <cell r="DZ588" t="str">
            <v/>
          </cell>
          <cell r="EA588" t="str">
            <v/>
          </cell>
          <cell r="EB588" t="str">
            <v/>
          </cell>
          <cell r="EC588" t="str">
            <v/>
          </cell>
          <cell r="ED588" t="str">
            <v/>
          </cell>
        </row>
        <row r="589"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 t="str">
            <v/>
          </cell>
          <cell r="BU589" t="str">
            <v/>
          </cell>
          <cell r="BV589" t="str">
            <v/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 t="str">
            <v/>
          </cell>
          <cell r="CC589" t="str">
            <v/>
          </cell>
          <cell r="CD589" t="str">
            <v/>
          </cell>
          <cell r="CE589" t="str">
            <v/>
          </cell>
          <cell r="CF589" t="str">
            <v/>
          </cell>
          <cell r="CG589" t="str">
            <v/>
          </cell>
          <cell r="CH589" t="str">
            <v/>
          </cell>
          <cell r="CI589" t="str">
            <v/>
          </cell>
          <cell r="CJ589" t="str">
            <v/>
          </cell>
          <cell r="CK589" t="str">
            <v/>
          </cell>
          <cell r="CL589" t="str">
            <v/>
          </cell>
          <cell r="CM589" t="str">
            <v/>
          </cell>
          <cell r="CN589" t="str">
            <v/>
          </cell>
          <cell r="CO589" t="str">
            <v/>
          </cell>
          <cell r="CP589" t="str">
            <v/>
          </cell>
          <cell r="CQ589" t="str">
            <v/>
          </cell>
          <cell r="CR589" t="str">
            <v/>
          </cell>
          <cell r="CS589" t="str">
            <v/>
          </cell>
          <cell r="CT589" t="str">
            <v/>
          </cell>
          <cell r="CU589" t="str">
            <v/>
          </cell>
          <cell r="CV589" t="str">
            <v/>
          </cell>
          <cell r="CW589" t="str">
            <v/>
          </cell>
          <cell r="CX589" t="str">
            <v/>
          </cell>
          <cell r="CY589" t="str">
            <v/>
          </cell>
          <cell r="CZ589" t="str">
            <v/>
          </cell>
          <cell r="DA589" t="str">
            <v/>
          </cell>
          <cell r="DB589" t="str">
            <v/>
          </cell>
          <cell r="DC589" t="str">
            <v/>
          </cell>
          <cell r="DD589" t="str">
            <v/>
          </cell>
          <cell r="DE589" t="str">
            <v/>
          </cell>
          <cell r="DF589" t="str">
            <v/>
          </cell>
          <cell r="DG589" t="str">
            <v/>
          </cell>
          <cell r="DH589" t="str">
            <v/>
          </cell>
          <cell r="DI589" t="str">
            <v/>
          </cell>
          <cell r="DJ589" t="str">
            <v/>
          </cell>
          <cell r="DK589" t="str">
            <v/>
          </cell>
          <cell r="DL589" t="str">
            <v/>
          </cell>
          <cell r="DM589" t="str">
            <v/>
          </cell>
          <cell r="DN589" t="str">
            <v/>
          </cell>
          <cell r="DO589" t="str">
            <v/>
          </cell>
          <cell r="DP589" t="str">
            <v/>
          </cell>
          <cell r="DQ589" t="str">
            <v/>
          </cell>
          <cell r="DR589" t="str">
            <v/>
          </cell>
          <cell r="DS589" t="str">
            <v/>
          </cell>
          <cell r="DT589" t="str">
            <v/>
          </cell>
          <cell r="DU589" t="str">
            <v/>
          </cell>
          <cell r="DV589" t="str">
            <v/>
          </cell>
          <cell r="DW589" t="str">
            <v/>
          </cell>
          <cell r="DX589" t="str">
            <v/>
          </cell>
          <cell r="DY589" t="str">
            <v/>
          </cell>
          <cell r="DZ589" t="str">
            <v/>
          </cell>
          <cell r="EA589" t="str">
            <v/>
          </cell>
          <cell r="EB589" t="str">
            <v/>
          </cell>
          <cell r="EC589" t="str">
            <v/>
          </cell>
          <cell r="ED589" t="str">
            <v/>
          </cell>
        </row>
        <row r="590">
          <cell r="J590" t="str">
            <v>"The Rack"</v>
          </cell>
          <cell r="W590" t="str">
            <v>"The Rack"</v>
          </cell>
          <cell r="AJ590" t="str">
            <v>"The Rack"</v>
          </cell>
          <cell r="AW590" t="str">
            <v>"The Rack"</v>
          </cell>
          <cell r="BJ590" t="str">
            <v>"The Rack"</v>
          </cell>
          <cell r="BW590" t="str">
            <v>"The Rack"</v>
          </cell>
          <cell r="CJ590" t="str">
            <v>"The Rack"</v>
          </cell>
          <cell r="CW590" t="str">
            <v>"The Rack"</v>
          </cell>
          <cell r="DJ590" t="str">
            <v>"The Rack"</v>
          </cell>
          <cell r="DW590" t="str">
            <v>"The Rack"</v>
          </cell>
        </row>
        <row r="592">
          <cell r="A592" t="str">
            <v>Fuel Burned  (MMBtu)</v>
          </cell>
        </row>
        <row r="593">
          <cell r="F593">
            <v>-5667.8999999999069</v>
          </cell>
          <cell r="G593">
            <v>-3252</v>
          </cell>
          <cell r="H593">
            <v>-1691.2999999998137</v>
          </cell>
          <cell r="I593">
            <v>-1017.6999999999534</v>
          </cell>
          <cell r="J593">
            <v>-406.10000000009313</v>
          </cell>
          <cell r="K593">
            <v>-205.5</v>
          </cell>
          <cell r="L593">
            <v>-2531.5</v>
          </cell>
          <cell r="M593">
            <v>-879.4000000001397</v>
          </cell>
          <cell r="N593">
            <v>-511.5</v>
          </cell>
          <cell r="O593">
            <v>-1284</v>
          </cell>
          <cell r="P593">
            <v>-8148.3999999999069</v>
          </cell>
          <cell r="Q593">
            <v>-4383.1000000000931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</row>
        <row r="594">
          <cell r="F594">
            <v>0</v>
          </cell>
          <cell r="G594">
            <v>0</v>
          </cell>
          <cell r="H594">
            <v>-155.05999999993946</v>
          </cell>
          <cell r="I594">
            <v>-107.7400000001071</v>
          </cell>
          <cell r="J594">
            <v>-475.9100000000326</v>
          </cell>
          <cell r="K594">
            <v>-106.28999999992084</v>
          </cell>
          <cell r="L594">
            <v>0</v>
          </cell>
          <cell r="M594">
            <v>0</v>
          </cell>
          <cell r="N594">
            <v>0</v>
          </cell>
          <cell r="O594">
            <v>-196.44999999995343</v>
          </cell>
          <cell r="P594">
            <v>0</v>
          </cell>
          <cell r="Q594">
            <v>-152.30000000004657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</row>
        <row r="595">
          <cell r="F595">
            <v>-1709.0999999998603</v>
          </cell>
          <cell r="G595">
            <v>-510.95999999996275</v>
          </cell>
          <cell r="H595">
            <v>0</v>
          </cell>
          <cell r="I595">
            <v>0</v>
          </cell>
          <cell r="J595">
            <v>-571.43000000005122</v>
          </cell>
          <cell r="K595">
            <v>0</v>
          </cell>
          <cell r="L595">
            <v>-146.26000000000931</v>
          </cell>
          <cell r="M595">
            <v>-23.800000000046566</v>
          </cell>
          <cell r="N595">
            <v>-99.03000000002794</v>
          </cell>
          <cell r="O595">
            <v>-551.64999999990687</v>
          </cell>
          <cell r="P595">
            <v>-2476.3399999999674</v>
          </cell>
          <cell r="Q595">
            <v>-2017.1899999999441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6">
          <cell r="F596">
            <v>0</v>
          </cell>
          <cell r="G596">
            <v>0</v>
          </cell>
          <cell r="H596">
            <v>-1442.2999999998137</v>
          </cell>
          <cell r="I596">
            <v>-1853.4399999994785</v>
          </cell>
          <cell r="J596">
            <v>-4040.5499999998137</v>
          </cell>
          <cell r="K596">
            <v>-2300.0099999997765</v>
          </cell>
          <cell r="L596">
            <v>0</v>
          </cell>
          <cell r="M596">
            <v>0</v>
          </cell>
          <cell r="N596">
            <v>-165.66000000014901</v>
          </cell>
          <cell r="O596">
            <v>-223.29999999981374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</row>
        <row r="597">
          <cell r="F597">
            <v>-1706.0499999999884</v>
          </cell>
          <cell r="G597">
            <v>-898.80999999999767</v>
          </cell>
          <cell r="H597">
            <v>-165.48000000001048</v>
          </cell>
          <cell r="I597">
            <v>-249.09000000002561</v>
          </cell>
          <cell r="J597">
            <v>-267.77000000001863</v>
          </cell>
          <cell r="K597">
            <v>0</v>
          </cell>
          <cell r="L597">
            <v>-652.78999999997905</v>
          </cell>
          <cell r="M597">
            <v>-161.46999999997206</v>
          </cell>
          <cell r="N597">
            <v>-120.56999999994878</v>
          </cell>
          <cell r="O597">
            <v>0</v>
          </cell>
          <cell r="P597">
            <v>-1714.1200000000536</v>
          </cell>
          <cell r="Q597">
            <v>-1125.5999999999767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</row>
        <row r="598">
          <cell r="F598">
            <v>-59268.799999999814</v>
          </cell>
          <cell r="G598">
            <v>1000.5999999996275</v>
          </cell>
          <cell r="H598">
            <v>-35372.989999999758</v>
          </cell>
          <cell r="I598">
            <v>-13988.5</v>
          </cell>
          <cell r="J598">
            <v>-18955</v>
          </cell>
          <cell r="K598">
            <v>-19203.789999999572</v>
          </cell>
          <cell r="L598">
            <v>-37955.600000000559</v>
          </cell>
          <cell r="M598">
            <v>-33577.299999998882</v>
          </cell>
          <cell r="N598">
            <v>-43105.200000000186</v>
          </cell>
          <cell r="O598">
            <v>-26077.899999999907</v>
          </cell>
          <cell r="P598">
            <v>-29539.099999999627</v>
          </cell>
          <cell r="Q598">
            <v>-46062.699999999255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599">
          <cell r="F599">
            <v>-407.5</v>
          </cell>
          <cell r="G599">
            <v>-2913</v>
          </cell>
          <cell r="H599">
            <v>-6749.7000000001863</v>
          </cell>
          <cell r="I599">
            <v>-10511</v>
          </cell>
          <cell r="J599">
            <v>-14934.200000000186</v>
          </cell>
          <cell r="K599">
            <v>-21804.700000000186</v>
          </cell>
          <cell r="L599">
            <v>-3593.2999999998137</v>
          </cell>
          <cell r="M599">
            <v>-407</v>
          </cell>
          <cell r="N599">
            <v>-1595.7999999998137</v>
          </cell>
          <cell r="O599">
            <v>-5037.5999999996275</v>
          </cell>
          <cell r="P599">
            <v>-7591.4000000003725</v>
          </cell>
          <cell r="Q599">
            <v>-5397.6000000005588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</row>
        <row r="600">
          <cell r="F600">
            <v>-24582.39999999851</v>
          </cell>
          <cell r="G600">
            <v>-7320.2000000001863</v>
          </cell>
          <cell r="H600">
            <v>-60074.699999999255</v>
          </cell>
          <cell r="I600">
            <v>-24244.959999999963</v>
          </cell>
          <cell r="J600">
            <v>-14323.299999999814</v>
          </cell>
          <cell r="K600">
            <v>-26871.199999999255</v>
          </cell>
          <cell r="L600">
            <v>-42051.400000000373</v>
          </cell>
          <cell r="M600">
            <v>-56611</v>
          </cell>
          <cell r="N600">
            <v>-50147.100000000559</v>
          </cell>
          <cell r="O600">
            <v>-38451.250000000931</v>
          </cell>
          <cell r="P600">
            <v>-35037.300000000745</v>
          </cell>
          <cell r="Q600">
            <v>-38241.199999999255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</row>
        <row r="601">
          <cell r="F601">
            <v>0</v>
          </cell>
          <cell r="G601">
            <v>-1816.6999999997206</v>
          </cell>
          <cell r="H601">
            <v>-1604</v>
          </cell>
          <cell r="I601">
            <v>-3478.3999999999069</v>
          </cell>
          <cell r="J601">
            <v>-4136.339999999851</v>
          </cell>
          <cell r="K601">
            <v>-4485.5999999996275</v>
          </cell>
          <cell r="L601">
            <v>-401.8000000002794</v>
          </cell>
          <cell r="M601">
            <v>-387.39999999990687</v>
          </cell>
          <cell r="N601">
            <v>-77</v>
          </cell>
          <cell r="O601">
            <v>-2306.5400000000373</v>
          </cell>
          <cell r="P601">
            <v>-552.5</v>
          </cell>
          <cell r="Q601">
            <v>-937.60000000009313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0</v>
          </cell>
          <cell r="G602">
            <v>0</v>
          </cell>
          <cell r="H602">
            <v>-174.19999999995343</v>
          </cell>
          <cell r="I602">
            <v>0</v>
          </cell>
          <cell r="J602">
            <v>-6.2000000001862645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-1351.0999999998603</v>
          </cell>
          <cell r="J604">
            <v>0</v>
          </cell>
          <cell r="K604">
            <v>0</v>
          </cell>
          <cell r="L604">
            <v>-1204.1999999999534</v>
          </cell>
          <cell r="M604">
            <v>-2294.7999999998137</v>
          </cell>
          <cell r="N604">
            <v>-4160.2000000001863</v>
          </cell>
          <cell r="O604">
            <v>-2164.2999999998137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</row>
        <row r="606">
          <cell r="F606">
            <v>-5895.9930000000168</v>
          </cell>
          <cell r="G606">
            <v>-5241.1199999998789</v>
          </cell>
          <cell r="H606">
            <v>-2842.6800000001676</v>
          </cell>
          <cell r="I606">
            <v>0</v>
          </cell>
          <cell r="J606">
            <v>-2762.1740000001155</v>
          </cell>
          <cell r="K606">
            <v>-4839.9300000001676</v>
          </cell>
          <cell r="L606">
            <v>-1406.9699999997392</v>
          </cell>
          <cell r="M606">
            <v>-1243.1599999996834</v>
          </cell>
          <cell r="N606">
            <v>-1033.5499999998137</v>
          </cell>
          <cell r="O606">
            <v>-7130.6399999996647</v>
          </cell>
          <cell r="P606">
            <v>0</v>
          </cell>
          <cell r="Q606">
            <v>-7642.4099999996834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</row>
        <row r="607">
          <cell r="F607">
            <v>0</v>
          </cell>
          <cell r="G607">
            <v>834.85199999999895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</row>
        <row r="608">
          <cell r="F608">
            <v>-4.853000000002794</v>
          </cell>
          <cell r="G608">
            <v>-15.43399999999383</v>
          </cell>
          <cell r="H608">
            <v>-185.45699999999488</v>
          </cell>
          <cell r="I608">
            <v>-65.907999999995809</v>
          </cell>
          <cell r="J608">
            <v>-839.11900000000605</v>
          </cell>
          <cell r="K608">
            <v>-174.06500000000233</v>
          </cell>
          <cell r="L608">
            <v>-591.61499999999069</v>
          </cell>
          <cell r="M608">
            <v>-2169.0499999999302</v>
          </cell>
          <cell r="N608">
            <v>-552.5580000000482</v>
          </cell>
          <cell r="O608">
            <v>-45.443999999988591</v>
          </cell>
          <cell r="P608">
            <v>-173.75400000001537</v>
          </cell>
          <cell r="Q608">
            <v>-331.38000000000466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</row>
        <row r="609">
          <cell r="F609">
            <v>-184.44999999995343</v>
          </cell>
          <cell r="G609">
            <v>-591.45000000006985</v>
          </cell>
          <cell r="H609">
            <v>-347.67499999998836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-49.5</v>
          </cell>
          <cell r="Q609">
            <v>-616.59999999997672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</row>
        <row r="610">
          <cell r="F610">
            <v>-8415.7000000001863</v>
          </cell>
          <cell r="G610">
            <v>-53468.689999999944</v>
          </cell>
          <cell r="H610">
            <v>-438.60000000009313</v>
          </cell>
          <cell r="I610">
            <v>-1143.0999999998603</v>
          </cell>
          <cell r="J610">
            <v>-3427.6999999999534</v>
          </cell>
          <cell r="K610">
            <v>-5000.2999999998137</v>
          </cell>
          <cell r="L610">
            <v>-957.79999999981374</v>
          </cell>
          <cell r="M610">
            <v>-1045.7000000001863</v>
          </cell>
          <cell r="N610">
            <v>-853</v>
          </cell>
          <cell r="O610">
            <v>26558.299999999814</v>
          </cell>
          <cell r="P610">
            <v>4868.5</v>
          </cell>
          <cell r="Q610">
            <v>-4981.7000000001863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1">
          <cell r="F611">
            <v>-5711</v>
          </cell>
          <cell r="G611">
            <v>-1364.8000000000466</v>
          </cell>
          <cell r="H611">
            <v>-1664.3840000000782</v>
          </cell>
          <cell r="I611">
            <v>-2266.0229999998119</v>
          </cell>
          <cell r="J611">
            <v>-2373.2170000001788</v>
          </cell>
          <cell r="K611">
            <v>-5434.0200000004843</v>
          </cell>
          <cell r="L611">
            <v>-2436.5</v>
          </cell>
          <cell r="M611">
            <v>-3456.7539999997243</v>
          </cell>
          <cell r="N611">
            <v>-8177.2399999997579</v>
          </cell>
          <cell r="O611">
            <v>-46049.81500000041</v>
          </cell>
          <cell r="P611">
            <v>-8783.3000000000466</v>
          </cell>
          <cell r="Q611">
            <v>-4420.6999999999534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</row>
        <row r="623">
          <cell r="A623" t="str">
            <v>Burn Rate (MMBtu/MWh)</v>
          </cell>
        </row>
        <row r="624">
          <cell r="F624">
            <v>4.0000000000000001E-3</v>
          </cell>
          <cell r="G624">
            <v>3.0000000000000001E-3</v>
          </cell>
          <cell r="H624">
            <v>2E-3</v>
          </cell>
          <cell r="I624">
            <v>2E-3</v>
          </cell>
          <cell r="J624">
            <v>1E-3</v>
          </cell>
          <cell r="K624">
            <v>0</v>
          </cell>
          <cell r="L624">
            <v>2E-3</v>
          </cell>
          <cell r="M624">
            <v>1E-3</v>
          </cell>
          <cell r="N624">
            <v>0</v>
          </cell>
          <cell r="O624">
            <v>2E-3</v>
          </cell>
          <cell r="P624">
            <v>1.0999999999999999E-2</v>
          </cell>
          <cell r="Q624">
            <v>4.0000000000000001E-3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1E-3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</row>
        <row r="626">
          <cell r="F626">
            <v>1E-3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1E-3</v>
          </cell>
          <cell r="Q626">
            <v>1E-3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1E-3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</row>
        <row r="628">
          <cell r="F628">
            <v>4.0000000000000001E-3</v>
          </cell>
          <cell r="G628">
            <v>3.0000000000000001E-3</v>
          </cell>
          <cell r="H628">
            <v>1E-3</v>
          </cell>
          <cell r="I628">
            <v>0</v>
          </cell>
          <cell r="J628">
            <v>1E-3</v>
          </cell>
          <cell r="K628">
            <v>0</v>
          </cell>
          <cell r="L628">
            <v>2E-3</v>
          </cell>
          <cell r="M628">
            <v>0</v>
          </cell>
          <cell r="N628">
            <v>0</v>
          </cell>
          <cell r="O628">
            <v>0</v>
          </cell>
          <cell r="P628">
            <v>6.0000000000000001E-3</v>
          </cell>
          <cell r="Q628">
            <v>3.0000000000000001E-3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</row>
        <row r="629">
          <cell r="F629">
            <v>4.0000000000000001E-3</v>
          </cell>
          <cell r="G629">
            <v>0</v>
          </cell>
          <cell r="H629">
            <v>0.01</v>
          </cell>
          <cell r="I629">
            <v>5.0000000000000001E-3</v>
          </cell>
          <cell r="J629">
            <v>5.0000000000000001E-3</v>
          </cell>
          <cell r="K629">
            <v>6.0000000000000001E-3</v>
          </cell>
          <cell r="L629">
            <v>6.0000000000000001E-3</v>
          </cell>
          <cell r="M629">
            <v>6.0000000000000001E-3</v>
          </cell>
          <cell r="N629">
            <v>8.9999999999999993E-3</v>
          </cell>
          <cell r="O629">
            <v>8.0000000000000002E-3</v>
          </cell>
          <cell r="P629">
            <v>8.0000000000000002E-3</v>
          </cell>
          <cell r="Q629">
            <v>8.0000000000000002E-3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</row>
        <row r="630">
          <cell r="F630">
            <v>0</v>
          </cell>
          <cell r="G630">
            <v>0</v>
          </cell>
          <cell r="H630">
            <v>1E-3</v>
          </cell>
          <cell r="I630">
            <v>2E-3</v>
          </cell>
          <cell r="J630">
            <v>2E-3</v>
          </cell>
          <cell r="K630">
            <v>1E-3</v>
          </cell>
          <cell r="L630">
            <v>0</v>
          </cell>
          <cell r="M630">
            <v>0</v>
          </cell>
          <cell r="N630">
            <v>0</v>
          </cell>
          <cell r="O630">
            <v>1E-3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</row>
        <row r="631">
          <cell r="F631">
            <v>1E-3</v>
          </cell>
          <cell r="G631">
            <v>1E-3</v>
          </cell>
          <cell r="H631">
            <v>6.0000000000000001E-3</v>
          </cell>
          <cell r="I631">
            <v>4.0000000000000001E-3</v>
          </cell>
          <cell r="J631">
            <v>3.0000000000000001E-3</v>
          </cell>
          <cell r="K631">
            <v>4.0000000000000001E-3</v>
          </cell>
          <cell r="L631">
            <v>2E-3</v>
          </cell>
          <cell r="M631">
            <v>5.0000000000000001E-3</v>
          </cell>
          <cell r="N631">
            <v>8.0000000000000002E-3</v>
          </cell>
          <cell r="O631">
            <v>6.0000000000000001E-3</v>
          </cell>
          <cell r="P631">
            <v>5.0000000000000001E-3</v>
          </cell>
          <cell r="Q631">
            <v>6.0000000000000001E-3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</row>
        <row r="632">
          <cell r="F632">
            <v>0</v>
          </cell>
          <cell r="G632">
            <v>1E-3</v>
          </cell>
          <cell r="H632">
            <v>1E-3</v>
          </cell>
          <cell r="I632">
            <v>2E-3</v>
          </cell>
          <cell r="J632">
            <v>3.0000000000000001E-3</v>
          </cell>
          <cell r="K632">
            <v>2E-3</v>
          </cell>
          <cell r="L632">
            <v>0</v>
          </cell>
          <cell r="M632">
            <v>0</v>
          </cell>
          <cell r="N632">
            <v>0</v>
          </cell>
          <cell r="O632">
            <v>1E-3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1E-3</v>
          </cell>
          <cell r="J635">
            <v>0</v>
          </cell>
          <cell r="K635">
            <v>0</v>
          </cell>
          <cell r="L635">
            <v>1E-3</v>
          </cell>
          <cell r="M635">
            <v>1E-3</v>
          </cell>
          <cell r="N635">
            <v>2E-3</v>
          </cell>
          <cell r="O635">
            <v>1E-3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</row>
        <row r="637">
          <cell r="F637">
            <v>7.0000000000000001E-3</v>
          </cell>
          <cell r="G637">
            <v>8.0000000000000002E-3</v>
          </cell>
          <cell r="H637">
            <v>2E-3</v>
          </cell>
          <cell r="I637">
            <v>0</v>
          </cell>
          <cell r="J637">
            <v>3.0000000000000001E-3</v>
          </cell>
          <cell r="K637">
            <v>4.0000000000000001E-3</v>
          </cell>
          <cell r="L637">
            <v>1E-3</v>
          </cell>
          <cell r="M637">
            <v>1E-3</v>
          </cell>
          <cell r="N637">
            <v>1E-3</v>
          </cell>
          <cell r="O637">
            <v>6.0000000000000001E-3</v>
          </cell>
          <cell r="P637">
            <v>0</v>
          </cell>
          <cell r="Q637">
            <v>5.0000000000000001E-3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</row>
        <row r="639">
          <cell r="F639">
            <v>1E-3</v>
          </cell>
          <cell r="G639">
            <v>2E-3</v>
          </cell>
          <cell r="H639">
            <v>2E-3</v>
          </cell>
          <cell r="I639">
            <v>8.9999999999999993E-3</v>
          </cell>
          <cell r="J639">
            <v>6.5000000000000002E-2</v>
          </cell>
          <cell r="K639">
            <v>1.2999999999999999E-2</v>
          </cell>
          <cell r="L639">
            <v>2.1999999999999999E-2</v>
          </cell>
          <cell r="M639">
            <v>0.05</v>
          </cell>
          <cell r="N639">
            <v>3.6999999999999998E-2</v>
          </cell>
          <cell r="O639">
            <v>4.0000000000000001E-3</v>
          </cell>
          <cell r="P639">
            <v>1.6E-2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</row>
        <row r="640">
          <cell r="F640">
            <v>1E-3</v>
          </cell>
          <cell r="G640">
            <v>2E-3</v>
          </cell>
          <cell r="H640">
            <v>1E-3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2E-3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</row>
        <row r="641">
          <cell r="F641">
            <v>7.0000000000000001E-3</v>
          </cell>
          <cell r="G641">
            <v>-1.0999999999999999E-2</v>
          </cell>
          <cell r="H641">
            <v>0</v>
          </cell>
          <cell r="I641">
            <v>2E-3</v>
          </cell>
          <cell r="J641">
            <v>3.0000000000000001E-3</v>
          </cell>
          <cell r="K641">
            <v>4.0000000000000001E-3</v>
          </cell>
          <cell r="L641">
            <v>1E-3</v>
          </cell>
          <cell r="M641">
            <v>1E-3</v>
          </cell>
          <cell r="N641">
            <v>1E-3</v>
          </cell>
          <cell r="O641">
            <v>1E-3</v>
          </cell>
          <cell r="P641">
            <v>1E-3</v>
          </cell>
          <cell r="Q641">
            <v>3.0000000000000001E-3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</row>
        <row r="642">
          <cell r="F642">
            <v>2E-3</v>
          </cell>
          <cell r="G642">
            <v>1E-3</v>
          </cell>
          <cell r="H642">
            <v>3.0000000000000001E-3</v>
          </cell>
          <cell r="I642">
            <v>1E-3</v>
          </cell>
          <cell r="J642">
            <v>1E-3</v>
          </cell>
          <cell r="K642">
            <v>2E-3</v>
          </cell>
          <cell r="L642">
            <v>1E-3</v>
          </cell>
          <cell r="M642">
            <v>0</v>
          </cell>
          <cell r="N642">
            <v>2E-3</v>
          </cell>
          <cell r="O642">
            <v>1E-3</v>
          </cell>
          <cell r="P642">
            <v>3.0000000000000001E-3</v>
          </cell>
          <cell r="Q642">
            <v>2E-3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</row>
        <row r="654">
          <cell r="A654" t="str">
            <v>Average Fuel Cost ($/MMBtu)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</row>
        <row r="684">
          <cell r="A684" t="str">
            <v>Peak Capacity (Nameplate)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</row>
        <row r="726">
          <cell r="A726" t="str">
            <v>Capacity Factor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</row>
        <row r="729">
          <cell r="F729">
            <v>-2E-3</v>
          </cell>
          <cell r="G729">
            <v>-1E-3</v>
          </cell>
          <cell r="H729">
            <v>-1E-3</v>
          </cell>
          <cell r="I729">
            <v>0</v>
          </cell>
          <cell r="J729">
            <v>0</v>
          </cell>
          <cell r="K729">
            <v>0</v>
          </cell>
          <cell r="L729">
            <v>-1E-3</v>
          </cell>
          <cell r="M729">
            <v>0</v>
          </cell>
          <cell r="N729">
            <v>0</v>
          </cell>
          <cell r="O729">
            <v>0</v>
          </cell>
          <cell r="P729">
            <v>-3.0000000000000001E-3</v>
          </cell>
          <cell r="Q729">
            <v>-2E-3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</row>
        <row r="731">
          <cell r="F731">
            <v>-1E-3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-2E-3</v>
          </cell>
          <cell r="Q731">
            <v>-2E-3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-1E-3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</row>
        <row r="733">
          <cell r="F733">
            <v>-3.0000000000000001E-3</v>
          </cell>
          <cell r="G733">
            <v>-2E-3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-1E-3</v>
          </cell>
          <cell r="M733">
            <v>0</v>
          </cell>
          <cell r="N733">
            <v>0</v>
          </cell>
          <cell r="O733">
            <v>0</v>
          </cell>
          <cell r="P733">
            <v>-3.0000000000000001E-3</v>
          </cell>
          <cell r="Q733">
            <v>-2E-3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-7.0000000000000001E-3</v>
          </cell>
          <cell r="G734">
            <v>0</v>
          </cell>
          <cell r="H734">
            <v>-4.0000000000000001E-3</v>
          </cell>
          <cell r="I734">
            <v>-2E-3</v>
          </cell>
          <cell r="J734">
            <v>-2E-3</v>
          </cell>
          <cell r="K734">
            <v>-2E-3</v>
          </cell>
          <cell r="L734">
            <v>-5.0000000000000001E-3</v>
          </cell>
          <cell r="M734">
            <v>-4.0000000000000001E-3</v>
          </cell>
          <cell r="N734">
            <v>-5.0000000000000001E-3</v>
          </cell>
          <cell r="O734">
            <v>-3.0000000000000001E-3</v>
          </cell>
          <cell r="P734">
            <v>-4.0000000000000001E-3</v>
          </cell>
          <cell r="Q734">
            <v>-6.0000000000000001E-3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0</v>
          </cell>
          <cell r="G735">
            <v>0</v>
          </cell>
          <cell r="H735">
            <v>-1E-3</v>
          </cell>
          <cell r="I735">
            <v>-2E-3</v>
          </cell>
          <cell r="J735">
            <v>-2E-3</v>
          </cell>
          <cell r="K735">
            <v>-3.0000000000000001E-3</v>
          </cell>
          <cell r="L735">
            <v>-1E-3</v>
          </cell>
          <cell r="M735">
            <v>0</v>
          </cell>
          <cell r="N735">
            <v>0</v>
          </cell>
          <cell r="O735">
            <v>-1E-3</v>
          </cell>
          <cell r="P735">
            <v>-1E-3</v>
          </cell>
          <cell r="Q735">
            <v>-1E-3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-2E-3</v>
          </cell>
          <cell r="G736">
            <v>-1E-3</v>
          </cell>
          <cell r="H736">
            <v>-6.0000000000000001E-3</v>
          </cell>
          <cell r="I736">
            <v>-2E-3</v>
          </cell>
          <cell r="J736">
            <v>-1E-3</v>
          </cell>
          <cell r="K736">
            <v>-3.0000000000000001E-3</v>
          </cell>
          <cell r="L736">
            <v>-4.0000000000000001E-3</v>
          </cell>
          <cell r="M736">
            <v>-5.0000000000000001E-3</v>
          </cell>
          <cell r="N736">
            <v>-5.0000000000000001E-3</v>
          </cell>
          <cell r="O736">
            <v>-4.0000000000000001E-3</v>
          </cell>
          <cell r="P736">
            <v>-4.0000000000000001E-3</v>
          </cell>
          <cell r="Q736">
            <v>-4.0000000000000001E-3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7">
          <cell r="F737">
            <v>0</v>
          </cell>
          <cell r="G737">
            <v>-1E-3</v>
          </cell>
          <cell r="H737">
            <v>-1E-3</v>
          </cell>
          <cell r="I737">
            <v>-1E-3</v>
          </cell>
          <cell r="J737">
            <v>-2E-3</v>
          </cell>
          <cell r="K737">
            <v>-2E-3</v>
          </cell>
          <cell r="L737">
            <v>0</v>
          </cell>
          <cell r="M737">
            <v>0</v>
          </cell>
          <cell r="N737">
            <v>0</v>
          </cell>
          <cell r="O737">
            <v>-1E-3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-1E-3</v>
          </cell>
          <cell r="J740">
            <v>0</v>
          </cell>
          <cell r="K740">
            <v>0</v>
          </cell>
          <cell r="L740">
            <v>-1E-3</v>
          </cell>
          <cell r="M740">
            <v>-1E-3</v>
          </cell>
          <cell r="N740">
            <v>-2E-3</v>
          </cell>
          <cell r="O740">
            <v>-1E-3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-2E-3</v>
          </cell>
          <cell r="G742">
            <v>-2E-3</v>
          </cell>
          <cell r="H742">
            <v>-1E-3</v>
          </cell>
          <cell r="I742">
            <v>0</v>
          </cell>
          <cell r="J742">
            <v>-1E-3</v>
          </cell>
          <cell r="K742">
            <v>-2E-3</v>
          </cell>
          <cell r="L742">
            <v>-1E-3</v>
          </cell>
          <cell r="M742">
            <v>-1E-3</v>
          </cell>
          <cell r="N742">
            <v>0</v>
          </cell>
          <cell r="O742">
            <v>-3.0000000000000001E-3</v>
          </cell>
          <cell r="P742">
            <v>0</v>
          </cell>
          <cell r="Q742">
            <v>-3.0000000000000001E-3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-1E-3</v>
          </cell>
          <cell r="K744">
            <v>0</v>
          </cell>
          <cell r="L744">
            <v>-1E-3</v>
          </cell>
          <cell r="M744">
            <v>-3.0000000000000001E-3</v>
          </cell>
          <cell r="N744">
            <v>-1E-3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0</v>
          </cell>
          <cell r="G745">
            <v>-1E-3</v>
          </cell>
          <cell r="H745">
            <v>-1E-3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-1E-3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-3.0000000000000001E-3</v>
          </cell>
          <cell r="G746">
            <v>-1.9E-2</v>
          </cell>
          <cell r="H746">
            <v>0</v>
          </cell>
          <cell r="I746">
            <v>-1E-3</v>
          </cell>
          <cell r="J746">
            <v>-1E-3</v>
          </cell>
          <cell r="K746">
            <v>-2E-3</v>
          </cell>
          <cell r="L746">
            <v>0</v>
          </cell>
          <cell r="M746">
            <v>0</v>
          </cell>
          <cell r="N746">
            <v>0</v>
          </cell>
          <cell r="O746">
            <v>8.9999999999999993E-3</v>
          </cell>
          <cell r="P746">
            <v>2E-3</v>
          </cell>
          <cell r="Q746">
            <v>-2E-3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7">
          <cell r="F747">
            <v>-2E-3</v>
          </cell>
          <cell r="G747">
            <v>0</v>
          </cell>
          <cell r="H747">
            <v>-1E-3</v>
          </cell>
          <cell r="I747">
            <v>-1E-3</v>
          </cell>
          <cell r="J747">
            <v>-1E-3</v>
          </cell>
          <cell r="K747">
            <v>-2E-3</v>
          </cell>
          <cell r="L747">
            <v>-1E-3</v>
          </cell>
          <cell r="M747">
            <v>-1E-3</v>
          </cell>
          <cell r="N747">
            <v>-3.0000000000000001E-3</v>
          </cell>
          <cell r="O747">
            <v>-1.4E-2</v>
          </cell>
          <cell r="P747">
            <v>-3.0000000000000001E-3</v>
          </cell>
          <cell r="Q747">
            <v>-1E-3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</row>
        <row r="772">
          <cell r="A772" t="str">
            <v>Integration Charge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0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T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0</v>
          </cell>
          <cell r="CU824">
            <v>0</v>
          </cell>
          <cell r="CV824">
            <v>0</v>
          </cell>
          <cell r="CW824">
            <v>0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T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T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0</v>
          </cell>
          <cell r="CU859">
            <v>0</v>
          </cell>
          <cell r="CV859">
            <v>0</v>
          </cell>
          <cell r="CW859">
            <v>0</v>
          </cell>
          <cell r="CX859">
            <v>0</v>
          </cell>
          <cell r="CY859">
            <v>0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T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T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0</v>
          </cell>
          <cell r="CU863">
            <v>0</v>
          </cell>
          <cell r="CV863">
            <v>0</v>
          </cell>
          <cell r="CW863">
            <v>0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T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0</v>
          </cell>
          <cell r="CH866">
            <v>0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M866">
            <v>0</v>
          </cell>
          <cell r="CN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0</v>
          </cell>
          <cell r="CU866">
            <v>0</v>
          </cell>
          <cell r="CV866">
            <v>0</v>
          </cell>
          <cell r="CW866">
            <v>0</v>
          </cell>
          <cell r="CX866">
            <v>0</v>
          </cell>
          <cell r="CY866">
            <v>0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  <cell r="DD866">
            <v>0</v>
          </cell>
          <cell r="DE866">
            <v>0</v>
          </cell>
          <cell r="DF866">
            <v>0</v>
          </cell>
          <cell r="DG866">
            <v>0</v>
          </cell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T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0</v>
          </cell>
          <cell r="CH867">
            <v>0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0</v>
          </cell>
          <cell r="CW867">
            <v>0</v>
          </cell>
          <cell r="CX867">
            <v>0</v>
          </cell>
          <cell r="CY867">
            <v>0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  <cell r="DD867">
            <v>0</v>
          </cell>
          <cell r="DE867">
            <v>0</v>
          </cell>
          <cell r="DF867">
            <v>0</v>
          </cell>
          <cell r="DG867">
            <v>0</v>
          </cell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T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1">
          <cell r="F871">
            <v>6.4775715239271392E-2</v>
          </cell>
          <cell r="G871">
            <v>-9.2405272885194734E-2</v>
          </cell>
          <cell r="H871">
            <v>0</v>
          </cell>
          <cell r="I871">
            <v>0</v>
          </cell>
          <cell r="J871">
            <v>0</v>
          </cell>
          <cell r="K871">
            <v>-2.1121097795532506E-2</v>
          </cell>
          <cell r="L871">
            <v>-0.99749059020297182</v>
          </cell>
          <cell r="M871">
            <v>-0.59585620836612563</v>
          </cell>
          <cell r="N871">
            <v>-1.0515738370474352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</row>
        <row r="875">
          <cell r="F875">
            <v>-3.510599584150853E-2</v>
          </cell>
          <cell r="G875">
            <v>-4.0914596968821826E-2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0.19302283762796435</v>
          </cell>
          <cell r="M875">
            <v>6.5295299477170943E-2</v>
          </cell>
          <cell r="N875">
            <v>-2.8655008804026494E-2</v>
          </cell>
          <cell r="O875">
            <v>3.5767686625611361E-2</v>
          </cell>
          <cell r="P875">
            <v>-0.60114232656843924</v>
          </cell>
          <cell r="Q875">
            <v>-0.12495655116686066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0</v>
          </cell>
          <cell r="CU883">
            <v>0</v>
          </cell>
          <cell r="CV883">
            <v>0</v>
          </cell>
          <cell r="CW883">
            <v>0</v>
          </cell>
          <cell r="CX883">
            <v>0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  <cell r="DF883">
            <v>0</v>
          </cell>
          <cell r="DG883">
            <v>0</v>
          </cell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T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</row>
        <row r="888">
          <cell r="A888" t="str">
            <v>Additional Fixed Costs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G899">
            <v>0</v>
          </cell>
          <cell r="CH899">
            <v>0</v>
          </cell>
          <cell r="CI899">
            <v>0</v>
          </cell>
          <cell r="CJ899">
            <v>0</v>
          </cell>
          <cell r="CK899">
            <v>0</v>
          </cell>
          <cell r="CL899">
            <v>0</v>
          </cell>
          <cell r="CM899">
            <v>0</v>
          </cell>
          <cell r="CN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0</v>
          </cell>
          <cell r="CU899">
            <v>0</v>
          </cell>
          <cell r="CV899">
            <v>0</v>
          </cell>
          <cell r="CW899">
            <v>0</v>
          </cell>
          <cell r="CX899">
            <v>0</v>
          </cell>
          <cell r="CY899">
            <v>0</v>
          </cell>
          <cell r="CZ899">
            <v>0</v>
          </cell>
          <cell r="DA899">
            <v>0</v>
          </cell>
          <cell r="DB899">
            <v>0</v>
          </cell>
          <cell r="DC899">
            <v>0</v>
          </cell>
          <cell r="DD899">
            <v>0</v>
          </cell>
          <cell r="DE899">
            <v>0</v>
          </cell>
          <cell r="DF899">
            <v>0</v>
          </cell>
          <cell r="DG899">
            <v>0</v>
          </cell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T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0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  <cell r="DF900">
            <v>0</v>
          </cell>
          <cell r="DG900">
            <v>0</v>
          </cell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T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</row>
        <row r="901">
          <cell r="J901" t="str">
            <v>Mills / kWh</v>
          </cell>
          <cell r="W901" t="str">
            <v>Mills / kWh</v>
          </cell>
          <cell r="AJ901" t="str">
            <v>Mills / kWh</v>
          </cell>
          <cell r="AW901" t="str">
            <v>Mills / kWh</v>
          </cell>
          <cell r="BJ901" t="str">
            <v>Mills / kWh</v>
          </cell>
          <cell r="BW901" t="str">
            <v>Mills / kWh</v>
          </cell>
          <cell r="CJ901" t="str">
            <v>Mills / kWh</v>
          </cell>
          <cell r="CW901" t="str">
            <v>Mills / kWh</v>
          </cell>
          <cell r="DJ901" t="str">
            <v>Mills / kWh</v>
          </cell>
          <cell r="DW901" t="str">
            <v>Mills / kWh</v>
          </cell>
        </row>
        <row r="902">
          <cell r="A902" t="str">
            <v>Special Sales For Resale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0</v>
          </cell>
          <cell r="CW910">
            <v>0</v>
          </cell>
          <cell r="CX910">
            <v>0</v>
          </cell>
          <cell r="CY910">
            <v>0</v>
          </cell>
          <cell r="CZ910">
            <v>0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  <cell r="DF910">
            <v>0</v>
          </cell>
          <cell r="DG910">
            <v>0</v>
          </cell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T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0</v>
          </cell>
          <cell r="CJ913">
            <v>0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0</v>
          </cell>
          <cell r="DA913">
            <v>0</v>
          </cell>
          <cell r="DB913">
            <v>0</v>
          </cell>
          <cell r="DC913">
            <v>0</v>
          </cell>
          <cell r="DD913">
            <v>0</v>
          </cell>
          <cell r="DE913">
            <v>0</v>
          </cell>
          <cell r="DF913">
            <v>0</v>
          </cell>
          <cell r="DG913">
            <v>0</v>
          </cell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T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0</v>
          </cell>
          <cell r="DC919">
            <v>0</v>
          </cell>
          <cell r="DD919">
            <v>0</v>
          </cell>
          <cell r="DE919">
            <v>0</v>
          </cell>
          <cell r="DF919">
            <v>0</v>
          </cell>
          <cell r="DG919">
            <v>0</v>
          </cell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T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0</v>
          </cell>
          <cell r="DA920">
            <v>0</v>
          </cell>
          <cell r="DB920">
            <v>0</v>
          </cell>
          <cell r="DC920">
            <v>0</v>
          </cell>
          <cell r="DD920">
            <v>0</v>
          </cell>
          <cell r="DE920">
            <v>0</v>
          </cell>
          <cell r="DF920">
            <v>0</v>
          </cell>
          <cell r="DG920">
            <v>0</v>
          </cell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T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U921">
            <v>0</v>
          </cell>
          <cell r="BV921">
            <v>0</v>
          </cell>
          <cell r="BW921">
            <v>0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M921">
            <v>0</v>
          </cell>
          <cell r="CN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0</v>
          </cell>
          <cell r="CU921">
            <v>0</v>
          </cell>
          <cell r="CV921">
            <v>0</v>
          </cell>
          <cell r="CW921">
            <v>0</v>
          </cell>
          <cell r="CX921">
            <v>0</v>
          </cell>
          <cell r="CY921">
            <v>0</v>
          </cell>
          <cell r="CZ921">
            <v>0</v>
          </cell>
          <cell r="DA921">
            <v>0</v>
          </cell>
          <cell r="DB921">
            <v>0</v>
          </cell>
          <cell r="DC921">
            <v>0</v>
          </cell>
          <cell r="DD921">
            <v>0</v>
          </cell>
          <cell r="DE921">
            <v>0</v>
          </cell>
          <cell r="DF921">
            <v>0</v>
          </cell>
          <cell r="DG921">
            <v>0</v>
          </cell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T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  <cell r="DD924">
            <v>0</v>
          </cell>
          <cell r="DE924">
            <v>0</v>
          </cell>
          <cell r="DF924">
            <v>0</v>
          </cell>
          <cell r="DG924">
            <v>0</v>
          </cell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T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</row>
        <row r="927">
          <cell r="F927">
            <v>0</v>
          </cell>
          <cell r="G927">
            <v>0</v>
          </cell>
          <cell r="H927">
            <v>-0.02</v>
          </cell>
          <cell r="I927">
            <v>0</v>
          </cell>
          <cell r="J927">
            <v>-0.02</v>
          </cell>
          <cell r="K927">
            <v>0.01</v>
          </cell>
          <cell r="L927">
            <v>0.12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  <cell r="DD927">
            <v>0</v>
          </cell>
          <cell r="DE927">
            <v>0</v>
          </cell>
          <cell r="DF927">
            <v>0</v>
          </cell>
          <cell r="DG927">
            <v>0</v>
          </cell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T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</row>
        <row r="928">
          <cell r="F928">
            <v>0.02</v>
          </cell>
          <cell r="G928">
            <v>0.06</v>
          </cell>
          <cell r="H928">
            <v>0</v>
          </cell>
          <cell r="I928">
            <v>0.04</v>
          </cell>
          <cell r="J928">
            <v>-0.02</v>
          </cell>
          <cell r="K928">
            <v>0</v>
          </cell>
          <cell r="L928">
            <v>0.01</v>
          </cell>
          <cell r="M928">
            <v>0</v>
          </cell>
          <cell r="N928">
            <v>-0.01</v>
          </cell>
          <cell r="O928">
            <v>0.05</v>
          </cell>
          <cell r="P928">
            <v>0.13</v>
          </cell>
          <cell r="Q928">
            <v>0.02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</row>
        <row r="929">
          <cell r="F929">
            <v>0.01</v>
          </cell>
          <cell r="G929">
            <v>0.01</v>
          </cell>
          <cell r="H929">
            <v>0</v>
          </cell>
          <cell r="I929">
            <v>-0.15</v>
          </cell>
          <cell r="J929">
            <v>-0.08</v>
          </cell>
          <cell r="K929">
            <v>0.02</v>
          </cell>
          <cell r="L929">
            <v>0.09</v>
          </cell>
          <cell r="M929">
            <v>7.0000000000000007E-2</v>
          </cell>
          <cell r="N929">
            <v>0.08</v>
          </cell>
          <cell r="O929">
            <v>0.01</v>
          </cell>
          <cell r="P929">
            <v>0.09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-0.04</v>
          </cell>
          <cell r="G930">
            <v>-0.03</v>
          </cell>
          <cell r="H930">
            <v>-0.04</v>
          </cell>
          <cell r="I930">
            <v>-0.03</v>
          </cell>
          <cell r="J930">
            <v>-0.01</v>
          </cell>
          <cell r="K930">
            <v>0.01</v>
          </cell>
          <cell r="L930">
            <v>0.09</v>
          </cell>
          <cell r="M930">
            <v>0</v>
          </cell>
          <cell r="N930">
            <v>-0.01</v>
          </cell>
          <cell r="O930">
            <v>-0.02</v>
          </cell>
          <cell r="P930">
            <v>0.01</v>
          </cell>
          <cell r="Q930">
            <v>-0.02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1">
          <cell r="F931">
            <v>0</v>
          </cell>
          <cell r="G931">
            <v>-0.01</v>
          </cell>
          <cell r="H931">
            <v>0</v>
          </cell>
          <cell r="I931">
            <v>-0.02</v>
          </cell>
          <cell r="J931">
            <v>-0.01</v>
          </cell>
          <cell r="K931">
            <v>-0.01</v>
          </cell>
          <cell r="L931">
            <v>0.01</v>
          </cell>
          <cell r="M931">
            <v>0.01</v>
          </cell>
          <cell r="N931">
            <v>0</v>
          </cell>
          <cell r="O931">
            <v>-0.01</v>
          </cell>
          <cell r="P931">
            <v>0.01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  <cell r="DF932">
            <v>0</v>
          </cell>
          <cell r="DG932">
            <v>0</v>
          </cell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T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  <cell r="DD933">
            <v>0</v>
          </cell>
          <cell r="DE933">
            <v>0</v>
          </cell>
          <cell r="DF933">
            <v>0</v>
          </cell>
          <cell r="DG933">
            <v>0</v>
          </cell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T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</row>
        <row r="935">
          <cell r="F935">
            <v>-0.01</v>
          </cell>
          <cell r="G935">
            <v>0</v>
          </cell>
          <cell r="H935">
            <v>-0.01</v>
          </cell>
          <cell r="I935">
            <v>-0.05</v>
          </cell>
          <cell r="J935">
            <v>-0.03</v>
          </cell>
          <cell r="K935">
            <v>-0.04</v>
          </cell>
          <cell r="L935">
            <v>0.02</v>
          </cell>
          <cell r="M935">
            <v>0.01</v>
          </cell>
          <cell r="N935">
            <v>0</v>
          </cell>
          <cell r="O935">
            <v>0</v>
          </cell>
          <cell r="P935">
            <v>0.01</v>
          </cell>
          <cell r="Q935">
            <v>-0.01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</row>
        <row r="937">
          <cell r="A937" t="str">
            <v>Total Special Sales For Resale</v>
          </cell>
          <cell r="F937">
            <v>0</v>
          </cell>
          <cell r="G937">
            <v>0.01</v>
          </cell>
          <cell r="H937">
            <v>0</v>
          </cell>
          <cell r="I937">
            <v>-0.03</v>
          </cell>
          <cell r="J937">
            <v>-0.01</v>
          </cell>
          <cell r="K937">
            <v>-0.01</v>
          </cell>
          <cell r="L937">
            <v>0.03</v>
          </cell>
          <cell r="M937">
            <v>0.01</v>
          </cell>
          <cell r="N937">
            <v>0</v>
          </cell>
          <cell r="O937">
            <v>0</v>
          </cell>
          <cell r="P937">
            <v>0.01</v>
          </cell>
          <cell r="Q937">
            <v>-0.01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</row>
        <row r="939">
          <cell r="A939" t="str">
            <v>Purchased Power &amp; Net Interchange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  <cell r="DF941">
            <v>0</v>
          </cell>
          <cell r="DG941">
            <v>0</v>
          </cell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T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  <cell r="DF944">
            <v>0</v>
          </cell>
          <cell r="DG944">
            <v>0</v>
          </cell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T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  <cell r="DF945">
            <v>0</v>
          </cell>
          <cell r="DG945">
            <v>0</v>
          </cell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T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  <cell r="DD948">
            <v>0</v>
          </cell>
          <cell r="DE948">
            <v>0</v>
          </cell>
          <cell r="DF948">
            <v>0</v>
          </cell>
          <cell r="DG948">
            <v>0</v>
          </cell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T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G953">
            <v>0</v>
          </cell>
          <cell r="CH953">
            <v>0</v>
          </cell>
          <cell r="CI953">
            <v>0</v>
          </cell>
          <cell r="CJ953">
            <v>0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  <cell r="DD953">
            <v>0</v>
          </cell>
          <cell r="DE953">
            <v>0</v>
          </cell>
          <cell r="DF953">
            <v>0</v>
          </cell>
          <cell r="DG953">
            <v>0</v>
          </cell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T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  <cell r="DF958">
            <v>0</v>
          </cell>
          <cell r="DG958">
            <v>0</v>
          </cell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T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  <cell r="CF959">
            <v>0</v>
          </cell>
          <cell r="CG959">
            <v>0</v>
          </cell>
          <cell r="CH959">
            <v>0</v>
          </cell>
          <cell r="CI959">
            <v>0</v>
          </cell>
          <cell r="CJ959">
            <v>0</v>
          </cell>
          <cell r="CK959">
            <v>0</v>
          </cell>
          <cell r="CL959">
            <v>0</v>
          </cell>
          <cell r="CM959">
            <v>0</v>
          </cell>
          <cell r="CN959">
            <v>0</v>
          </cell>
          <cell r="CO959">
            <v>0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0</v>
          </cell>
          <cell r="CU959">
            <v>0</v>
          </cell>
          <cell r="CV959">
            <v>0</v>
          </cell>
          <cell r="CW959">
            <v>0</v>
          </cell>
          <cell r="CX959">
            <v>0</v>
          </cell>
          <cell r="CY959">
            <v>0</v>
          </cell>
          <cell r="CZ959">
            <v>0</v>
          </cell>
          <cell r="DA959">
            <v>0</v>
          </cell>
          <cell r="DB959">
            <v>0</v>
          </cell>
          <cell r="DC959">
            <v>0</v>
          </cell>
          <cell r="DD959">
            <v>0</v>
          </cell>
          <cell r="DE959">
            <v>0</v>
          </cell>
          <cell r="DF959">
            <v>0</v>
          </cell>
          <cell r="DG959">
            <v>0</v>
          </cell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  <cell r="DD965">
            <v>0</v>
          </cell>
          <cell r="DE965">
            <v>0</v>
          </cell>
          <cell r="DF965">
            <v>0</v>
          </cell>
          <cell r="DG965">
            <v>0</v>
          </cell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T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  <cell r="DF967">
            <v>0</v>
          </cell>
          <cell r="DG967">
            <v>0</v>
          </cell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T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  <cell r="DF968">
            <v>0</v>
          </cell>
          <cell r="DG968">
            <v>0</v>
          </cell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T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  <cell r="DF970">
            <v>0</v>
          </cell>
          <cell r="DG970">
            <v>0</v>
          </cell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T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  <cell r="DD971">
            <v>0</v>
          </cell>
          <cell r="DE971">
            <v>0</v>
          </cell>
          <cell r="DF971">
            <v>0</v>
          </cell>
          <cell r="DG971">
            <v>0</v>
          </cell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T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  <cell r="DF974">
            <v>0</v>
          </cell>
          <cell r="DG974">
            <v>0</v>
          </cell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T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O981">
            <v>0</v>
          </cell>
          <cell r="BP981">
            <v>0</v>
          </cell>
          <cell r="BQ981">
            <v>0</v>
          </cell>
          <cell r="BR981">
            <v>0</v>
          </cell>
          <cell r="BS981">
            <v>0</v>
          </cell>
          <cell r="BT981">
            <v>0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  <cell r="CF981">
            <v>0</v>
          </cell>
          <cell r="CG981">
            <v>0</v>
          </cell>
          <cell r="CH981">
            <v>0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0</v>
          </cell>
          <cell r="CU981">
            <v>0</v>
          </cell>
          <cell r="CV981">
            <v>0</v>
          </cell>
          <cell r="CW981">
            <v>0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  <cell r="DD981">
            <v>0</v>
          </cell>
          <cell r="DE981">
            <v>0</v>
          </cell>
          <cell r="DF981">
            <v>0</v>
          </cell>
          <cell r="DG981">
            <v>0</v>
          </cell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T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  <cell r="DF982">
            <v>0</v>
          </cell>
          <cell r="DG982">
            <v>0</v>
          </cell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T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T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0</v>
          </cell>
          <cell r="BO995">
            <v>0</v>
          </cell>
          <cell r="BP995">
            <v>0</v>
          </cell>
          <cell r="BQ995">
            <v>0</v>
          </cell>
          <cell r="BR995">
            <v>0</v>
          </cell>
          <cell r="BS995">
            <v>0</v>
          </cell>
          <cell r="BT995">
            <v>0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  <cell r="DF995">
            <v>0</v>
          </cell>
          <cell r="DG995">
            <v>0</v>
          </cell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T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8">
        <row r="3">
          <cell r="F3">
            <v>43831</v>
          </cell>
        </row>
        <row r="84">
          <cell r="EI84" t="str">
            <v>QF - 435 - UT - Gas</v>
          </cell>
          <cell r="EK84" t="str">
            <v>Not Used</v>
          </cell>
          <cell r="EM84" t="str">
            <v>Not Used</v>
          </cell>
          <cell r="EO84" t="str">
            <v>Not Used</v>
          </cell>
          <cell r="EQ84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72"/>
  <sheetViews>
    <sheetView tabSelected="1" topLeftCell="A2" zoomScale="80" zoomScaleNormal="80" zoomScaleSheetLayoutView="80" workbookViewId="0">
      <selection activeCell="G13" sqref="G13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5">
        <v>0</v>
      </c>
      <c r="CY3" t="s">
        <v>109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2" t="s">
        <v>60</v>
      </c>
      <c r="Q4" s="182"/>
      <c r="CX4">
        <v>750</v>
      </c>
      <c r="CY4" t="s">
        <v>110</v>
      </c>
    </row>
    <row r="5" spans="2:103" customFormat="1" ht="15.75">
      <c r="B5" s="4" t="str">
        <f ca="1">'Table 5'!M4&amp; " - "&amp;TEXT(Study_MW,"#.0")&amp;" MW and "&amp;TEXT(Study_CF,"#.0%")&amp;" CF"</f>
        <v>Tesoro Non Firm - 25.0 MW and 85.0% CF</v>
      </c>
      <c r="C5" s="4"/>
      <c r="D5" s="4"/>
      <c r="E5" s="4"/>
      <c r="F5" s="4"/>
      <c r="G5" s="1"/>
      <c r="H5" s="36"/>
      <c r="I5" s="5"/>
      <c r="P5" s="183">
        <v>0.158</v>
      </c>
      <c r="Q5" s="183">
        <v>0.158</v>
      </c>
      <c r="R5" s="183">
        <v>0.158</v>
      </c>
      <c r="S5" s="183">
        <v>0.158</v>
      </c>
      <c r="T5" s="183">
        <v>0.158</v>
      </c>
      <c r="U5" s="183">
        <v>0.11776428835036618</v>
      </c>
      <c r="V5" s="183">
        <v>0.11776428835036618</v>
      </c>
      <c r="W5" s="183">
        <v>0.11776428835036618</v>
      </c>
      <c r="X5" s="183">
        <v>0.158</v>
      </c>
      <c r="Y5" s="183">
        <v>0.158</v>
      </c>
      <c r="Z5" s="183">
        <v>0.53861399146353772</v>
      </c>
      <c r="AA5" s="183">
        <v>0.53861399146353772</v>
      </c>
      <c r="AB5" s="183">
        <v>0.53861399146353772</v>
      </c>
      <c r="AC5" s="183">
        <v>0.59672377662708742</v>
      </c>
      <c r="AD5" s="183">
        <v>0.59672377662708742</v>
      </c>
      <c r="AE5" s="183">
        <v>0.37912293315598289</v>
      </c>
      <c r="AF5" s="183">
        <v>0.64803174039612643</v>
      </c>
      <c r="AG5" s="183">
        <v>0.64803174039612643</v>
      </c>
      <c r="AH5" s="183">
        <v>0.64803174039612643</v>
      </c>
      <c r="AI5" s="183">
        <v>0.64803174039612643</v>
      </c>
      <c r="AJ5" s="183"/>
      <c r="CX5" s="193">
        <f>$CX$3*$CX$4</f>
        <v>0</v>
      </c>
      <c r="CY5" t="s">
        <v>105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0" customFormat="1" ht="40.5" customHeight="1">
      <c r="B8" s="228"/>
      <c r="C8" s="228"/>
      <c r="D8" s="228"/>
      <c r="E8" s="230"/>
      <c r="F8" s="231"/>
      <c r="G8" s="229" t="s">
        <v>14</v>
      </c>
      <c r="H8" s="233"/>
      <c r="I8" s="243"/>
      <c r="K8" s="244" t="s">
        <v>60</v>
      </c>
      <c r="L8" s="244"/>
      <c r="P8" s="245" t="s">
        <v>91</v>
      </c>
      <c r="Q8" s="245"/>
      <c r="S8" s="247" t="s">
        <v>162</v>
      </c>
      <c r="T8" s="247" t="s">
        <v>163</v>
      </c>
      <c r="X8" s="247" t="s">
        <v>160</v>
      </c>
      <c r="Y8" s="247" t="s">
        <v>161</v>
      </c>
      <c r="Z8" s="240" t="s">
        <v>153</v>
      </c>
      <c r="AA8" s="240" t="s">
        <v>144</v>
      </c>
      <c r="AB8" s="240" t="s">
        <v>145</v>
      </c>
      <c r="AC8" s="240" t="s">
        <v>146</v>
      </c>
      <c r="AD8" s="240" t="s">
        <v>147</v>
      </c>
      <c r="AE8" s="240" t="s">
        <v>148</v>
      </c>
      <c r="AF8" s="240" t="s">
        <v>156</v>
      </c>
      <c r="AG8" s="240" t="s">
        <v>150</v>
      </c>
      <c r="AH8" s="240" t="s">
        <v>151</v>
      </c>
      <c r="AI8" s="240" t="s">
        <v>152</v>
      </c>
      <c r="AK8" s="245" t="s">
        <v>92</v>
      </c>
      <c r="AL8" s="245"/>
      <c r="AN8" s="247" t="s">
        <v>162</v>
      </c>
      <c r="AO8" s="247" t="s">
        <v>163</v>
      </c>
      <c r="AS8" s="247" t="s">
        <v>160</v>
      </c>
      <c r="AT8" s="247" t="s">
        <v>161</v>
      </c>
      <c r="AU8" s="240" t="str">
        <f t="shared" ref="AU8:BD9" si="0">Z8</f>
        <v>IRP17 Yakima Solar2030</v>
      </c>
      <c r="AV8" s="240" t="str">
        <f t="shared" si="0"/>
        <v>IRP17 Yakima Solar2032</v>
      </c>
      <c r="AW8" s="240" t="str">
        <f t="shared" si="0"/>
        <v>IRP17 Yakima Solar2033</v>
      </c>
      <c r="AX8" s="240" t="str">
        <f t="shared" si="0"/>
        <v>IRP17 Utah South Solar T2033</v>
      </c>
      <c r="AY8" s="240" t="str">
        <f t="shared" si="0"/>
        <v>IRP17 Utah South Solar T2035</v>
      </c>
      <c r="AZ8" s="240" t="str">
        <f t="shared" si="0"/>
        <v>IRP17 Utah South Solar F2035</v>
      </c>
      <c r="BA8" s="240" t="str">
        <f t="shared" si="0"/>
        <v>IRP17 SOregonCal Solar2030</v>
      </c>
      <c r="BB8" s="240" t="str">
        <f t="shared" si="0"/>
        <v>IRP17 SOregonCal Solar2031</v>
      </c>
      <c r="BC8" s="240" t="str">
        <f t="shared" si="0"/>
        <v>IRP17 SOregonCal Solar2032</v>
      </c>
      <c r="BD8" s="240" t="str">
        <f t="shared" si="0"/>
        <v>IRP17 SOregonCal Solar2033</v>
      </c>
      <c r="BF8" s="245" t="s">
        <v>93</v>
      </c>
      <c r="BG8" s="245"/>
      <c r="BJ8" s="247"/>
      <c r="BO8" s="247"/>
      <c r="CA8" s="245" t="s">
        <v>94</v>
      </c>
      <c r="CB8" s="245"/>
      <c r="CE8" s="249"/>
      <c r="CJ8" s="249"/>
      <c r="CX8" s="208" t="s">
        <v>93</v>
      </c>
      <c r="CY8" s="209" t="s">
        <v>94</v>
      </c>
    </row>
    <row r="9" spans="2:103" s="219" customFormat="1" ht="76.5" customHeight="1">
      <c r="B9" s="228"/>
      <c r="C9" s="229" t="s">
        <v>6</v>
      </c>
      <c r="D9" s="229"/>
      <c r="E9" s="230" t="s">
        <v>19</v>
      </c>
      <c r="F9" s="231"/>
      <c r="G9" s="232">
        <f ca="1">Study_CF</f>
        <v>0.85</v>
      </c>
      <c r="H9" s="233"/>
      <c r="I9" s="234"/>
      <c r="K9" s="235" t="s">
        <v>61</v>
      </c>
      <c r="L9" s="235" t="s">
        <v>54</v>
      </c>
      <c r="M9" s="236" t="s">
        <v>95</v>
      </c>
      <c r="P9" s="219" t="s">
        <v>90</v>
      </c>
      <c r="Q9" s="219" t="s">
        <v>134</v>
      </c>
      <c r="R9" s="219" t="s">
        <v>86</v>
      </c>
      <c r="S9" s="219" t="s">
        <v>87</v>
      </c>
      <c r="T9" s="247" t="s">
        <v>87</v>
      </c>
      <c r="U9" s="219" t="s">
        <v>137</v>
      </c>
      <c r="V9" s="219" t="s">
        <v>138</v>
      </c>
      <c r="W9" s="219" t="s">
        <v>139</v>
      </c>
      <c r="X9" s="219" t="s">
        <v>136</v>
      </c>
      <c r="Y9" s="247" t="s">
        <v>136</v>
      </c>
      <c r="Z9" s="219" t="s">
        <v>89</v>
      </c>
      <c r="AA9" s="240" t="s">
        <v>89</v>
      </c>
      <c r="AB9" s="240" t="s">
        <v>89</v>
      </c>
      <c r="AC9" s="219" t="s">
        <v>141</v>
      </c>
      <c r="AD9" s="240" t="s">
        <v>141</v>
      </c>
      <c r="AE9" s="240" t="s">
        <v>155</v>
      </c>
      <c r="AF9" s="240" t="s">
        <v>135</v>
      </c>
      <c r="AG9" s="240" t="s">
        <v>135</v>
      </c>
      <c r="AH9" s="240" t="s">
        <v>135</v>
      </c>
      <c r="AI9" s="219" t="s">
        <v>135</v>
      </c>
      <c r="AJ9" s="238"/>
      <c r="AK9" s="219" t="str">
        <f t="shared" ref="AK9:AT9" si="1">P9</f>
        <v>IRP17 Aeolus Wind</v>
      </c>
      <c r="AL9" s="219" t="str">
        <f t="shared" si="1"/>
        <v>IRP17 WYAE WindCDR2021</v>
      </c>
      <c r="AM9" s="219" t="str">
        <f t="shared" si="1"/>
        <v>IRP17 Dave Johnston Wind</v>
      </c>
      <c r="AN9" s="219" t="str">
        <f t="shared" si="1"/>
        <v>IRP17 Goshen Wind 2</v>
      </c>
      <c r="AO9" s="247" t="str">
        <f t="shared" si="1"/>
        <v>IRP17 Goshen Wind 2</v>
      </c>
      <c r="AP9" s="219" t="str">
        <f t="shared" si="1"/>
        <v>IRP17 WallaW Wind</v>
      </c>
      <c r="AQ9" s="219" t="str">
        <f t="shared" si="1"/>
        <v>IRP17 Yakima Wind</v>
      </c>
      <c r="AR9" s="219" t="str">
        <f t="shared" si="1"/>
        <v>IRP17 S Oregon Wind</v>
      </c>
      <c r="AS9" s="219" t="str">
        <f t="shared" si="1"/>
        <v>IRP17 UT Wind</v>
      </c>
      <c r="AT9" s="247" t="str">
        <f t="shared" si="1"/>
        <v>IRP17 UT Wind</v>
      </c>
      <c r="AU9" s="219" t="str">
        <f t="shared" si="0"/>
        <v>IRP17 Yakima Solar</v>
      </c>
      <c r="AV9" s="240" t="str">
        <f t="shared" si="0"/>
        <v>IRP17 Yakima Solar</v>
      </c>
      <c r="AW9" s="240" t="str">
        <f t="shared" si="0"/>
        <v>IRP17 Yakima Solar</v>
      </c>
      <c r="AX9" s="240" t="str">
        <f t="shared" si="0"/>
        <v>IRP17 Utah South Solar T</v>
      </c>
      <c r="AY9" s="240" t="str">
        <f t="shared" si="0"/>
        <v>IRP17 Utah South Solar T</v>
      </c>
      <c r="AZ9" s="240" t="str">
        <f t="shared" si="0"/>
        <v>IRP17 Utah South Solar F</v>
      </c>
      <c r="BA9" s="240" t="str">
        <f t="shared" si="0"/>
        <v>IRP17 SOregonCal Solar</v>
      </c>
      <c r="BB9" s="240" t="str">
        <f t="shared" si="0"/>
        <v>IRP17 SOregonCal Solar</v>
      </c>
      <c r="BC9" s="240" t="str">
        <f t="shared" si="0"/>
        <v>IRP17 SOregonCal Solar</v>
      </c>
      <c r="BD9" s="240" t="str">
        <f t="shared" si="0"/>
        <v>IRP17 SOregonCal Solar</v>
      </c>
      <c r="BF9" s="219" t="str">
        <f>P9</f>
        <v>IRP17 Aeolus Wind</v>
      </c>
      <c r="BG9" s="219" t="str">
        <f>Q9</f>
        <v>IRP17 WYAE WindCDR2021</v>
      </c>
      <c r="BH9" s="219" t="str">
        <f>R9</f>
        <v>IRP17 Dave Johnston Wind</v>
      </c>
      <c r="BI9" s="248" t="str">
        <f>S8</f>
        <v>IRP17 Goshen Wind 2 2030</v>
      </c>
      <c r="BJ9" s="248" t="str">
        <f>T8</f>
        <v>IRP17 Goshen Wind 2 2033</v>
      </c>
      <c r="BK9" s="219" t="str">
        <f>U9</f>
        <v>IRP17 WallaW Wind</v>
      </c>
      <c r="BL9" s="219" t="str">
        <f>V9</f>
        <v>IRP17 Yakima Wind</v>
      </c>
      <c r="BM9" s="219" t="str">
        <f>W9</f>
        <v>IRP17 S Oregon Wind</v>
      </c>
      <c r="BN9" s="248" t="str">
        <f>X8</f>
        <v>IRP17 UT Wind 2030</v>
      </c>
      <c r="BO9" s="248" t="str">
        <f>Y8</f>
        <v>IRP17 UT Wind 2036</v>
      </c>
      <c r="BP9" s="242" t="s">
        <v>143</v>
      </c>
      <c r="BQ9" s="242" t="s">
        <v>144</v>
      </c>
      <c r="BR9" s="242" t="s">
        <v>145</v>
      </c>
      <c r="BS9" s="242" t="s">
        <v>146</v>
      </c>
      <c r="BT9" s="242" t="s">
        <v>147</v>
      </c>
      <c r="BU9" s="242" t="s">
        <v>148</v>
      </c>
      <c r="BV9" s="242" t="s">
        <v>149</v>
      </c>
      <c r="BW9" s="242" t="s">
        <v>150</v>
      </c>
      <c r="BX9" s="242" t="s">
        <v>151</v>
      </c>
      <c r="BY9" s="242" t="s">
        <v>152</v>
      </c>
      <c r="CA9" s="219" t="str">
        <f t="shared" ref="CA9:CT9" si="2">BF9</f>
        <v>IRP17 Aeolus Wind</v>
      </c>
      <c r="CB9" s="240" t="str">
        <f t="shared" si="2"/>
        <v>IRP17 WYAE WindCDR2021</v>
      </c>
      <c r="CC9" s="240" t="str">
        <f t="shared" si="2"/>
        <v>IRP17 Dave Johnston Wind</v>
      </c>
      <c r="CD9" s="240" t="str">
        <f t="shared" si="2"/>
        <v>IRP17 Goshen Wind 2 2030</v>
      </c>
      <c r="CE9" s="248" t="str">
        <f t="shared" si="2"/>
        <v>IRP17 Goshen Wind 2 2033</v>
      </c>
      <c r="CF9" s="240" t="str">
        <f t="shared" si="2"/>
        <v>IRP17 WallaW Wind</v>
      </c>
      <c r="CG9" s="240" t="str">
        <f t="shared" si="2"/>
        <v>IRP17 Yakima Wind</v>
      </c>
      <c r="CH9" s="240" t="str">
        <f t="shared" si="2"/>
        <v>IRP17 S Oregon Wind</v>
      </c>
      <c r="CI9" s="240" t="str">
        <f t="shared" si="2"/>
        <v>IRP17 UT Wind 2030</v>
      </c>
      <c r="CJ9" s="248" t="str">
        <f t="shared" si="2"/>
        <v>IRP17 UT Wind 2036</v>
      </c>
      <c r="CK9" s="240" t="str">
        <f t="shared" si="2"/>
        <v xml:space="preserve">IRP17 Yakima Solar2030 </v>
      </c>
      <c r="CL9" s="240" t="str">
        <f t="shared" si="2"/>
        <v>IRP17 Yakima Solar2032</v>
      </c>
      <c r="CM9" s="240" t="str">
        <f t="shared" si="2"/>
        <v>IRP17 Yakima Solar2033</v>
      </c>
      <c r="CN9" s="240" t="str">
        <f t="shared" si="2"/>
        <v>IRP17 Utah South Solar T2033</v>
      </c>
      <c r="CO9" s="240" t="str">
        <f t="shared" si="2"/>
        <v>IRP17 Utah South Solar T2035</v>
      </c>
      <c r="CP9" s="240" t="str">
        <f t="shared" si="2"/>
        <v>IRP17 Utah South Solar F2035</v>
      </c>
      <c r="CQ9" s="240" t="str">
        <f t="shared" si="2"/>
        <v>IRP17 SOregonCal Solar2030'</v>
      </c>
      <c r="CR9" s="240" t="str">
        <f t="shared" si="2"/>
        <v>IRP17 SOregonCal Solar2031</v>
      </c>
      <c r="CS9" s="240" t="str">
        <f t="shared" si="2"/>
        <v>IRP17 SOregonCal Solar2032</v>
      </c>
      <c r="CT9" s="240" t="str">
        <f t="shared" si="2"/>
        <v>IRP17 SOregonCal Solar2033</v>
      </c>
      <c r="CU9" s="219" t="s">
        <v>96</v>
      </c>
      <c r="CX9" s="219" t="s">
        <v>106</v>
      </c>
      <c r="CY9" s="219" t="s">
        <v>106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9"/>
      <c r="K10" s="112"/>
      <c r="L10" s="112"/>
      <c r="M10" s="184"/>
    </row>
    <row r="11" spans="2:103" customFormat="1" ht="13.5">
      <c r="B11" s="6"/>
      <c r="C11" s="6" t="s">
        <v>17</v>
      </c>
      <c r="D11" s="6"/>
      <c r="E11" s="84" t="s">
        <v>56</v>
      </c>
      <c r="F11" s="39"/>
      <c r="G11" s="12" t="s">
        <v>33</v>
      </c>
      <c r="H11" s="36"/>
      <c r="I11" s="89"/>
      <c r="K11" s="113" t="s">
        <v>62</v>
      </c>
      <c r="L11" s="114">
        <v>0.158</v>
      </c>
      <c r="M11" s="114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97</v>
      </c>
      <c r="BG11" t="s">
        <v>97</v>
      </c>
      <c r="BH11" t="s">
        <v>97</v>
      </c>
      <c r="BI11" t="s">
        <v>97</v>
      </c>
      <c r="BK11" t="s">
        <v>97</v>
      </c>
      <c r="BL11" t="s">
        <v>97</v>
      </c>
      <c r="BM11" t="s">
        <v>97</v>
      </c>
      <c r="BN11" t="s">
        <v>97</v>
      </c>
      <c r="BP11" t="s">
        <v>97</v>
      </c>
      <c r="BQ11" t="s">
        <v>97</v>
      </c>
      <c r="BR11" t="s">
        <v>97</v>
      </c>
      <c r="BS11" t="s">
        <v>97</v>
      </c>
      <c r="BT11" t="s">
        <v>97</v>
      </c>
      <c r="BU11" t="s">
        <v>97</v>
      </c>
      <c r="BV11" t="s">
        <v>97</v>
      </c>
      <c r="BW11" t="s">
        <v>97</v>
      </c>
      <c r="BX11" t="s">
        <v>97</v>
      </c>
      <c r="BY11" t="s">
        <v>97</v>
      </c>
      <c r="CA11" t="s">
        <v>98</v>
      </c>
      <c r="CB11" t="s">
        <v>98</v>
      </c>
      <c r="CC11" t="s">
        <v>98</v>
      </c>
      <c r="CD11" t="s">
        <v>98</v>
      </c>
      <c r="CE11" t="s">
        <v>98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X11" t="s">
        <v>97</v>
      </c>
      <c r="CY11" t="s">
        <v>98</v>
      </c>
    </row>
    <row r="12" spans="2:103" customFormat="1">
      <c r="B12" s="188"/>
      <c r="C12" s="189"/>
      <c r="D12" s="188"/>
      <c r="E12" s="12"/>
      <c r="F12" s="12"/>
      <c r="G12" s="3"/>
      <c r="H12" s="36"/>
      <c r="I12" s="89"/>
      <c r="K12" s="113" t="s">
        <v>35</v>
      </c>
      <c r="L12" s="114">
        <v>0.37912293315598289</v>
      </c>
      <c r="M12" s="114">
        <v>0.53861399146353772</v>
      </c>
    </row>
    <row r="13" spans="2:103" customFormat="1">
      <c r="B13" s="15">
        <f>'Table 5'!J13</f>
        <v>2020</v>
      </c>
      <c r="C13" s="9">
        <f t="shared" ref="C13:C34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20.981757494963073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20.981757494963073</v>
      </c>
      <c r="H13" s="36"/>
      <c r="I13" s="193"/>
      <c r="J13" s="193"/>
      <c r="K13" s="113" t="s">
        <v>63</v>
      </c>
      <c r="L13" s="114">
        <v>0.59672377662708742</v>
      </c>
      <c r="M13" s="114">
        <v>0.64803174039612643</v>
      </c>
      <c r="O13">
        <f t="shared" ref="O13:O32" si="4">B13</f>
        <v>2020</v>
      </c>
      <c r="P13">
        <v>0</v>
      </c>
      <c r="Q13">
        <v>0</v>
      </c>
      <c r="R13">
        <v>0</v>
      </c>
      <c r="S13" s="193">
        <v>0</v>
      </c>
      <c r="T13" s="19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-0.91</v>
      </c>
      <c r="BG13">
        <f>VLOOKUP($O13,'Table 3 EV2020 Wind_2021'!$B$10:$K$36,10,FALSE)</f>
        <v>38.85</v>
      </c>
      <c r="BH13">
        <f>VLOOKUP($O13,'Table 3 DJ Wind 2030'!$B$10:$J$36,9,FALSE)</f>
        <v>42.52</v>
      </c>
      <c r="BI13">
        <f>VLOOKUP($O13,'Table 3 ID Wind 2030'!$B$10:$J$36,9,FALSE)</f>
        <v>40.06</v>
      </c>
      <c r="BJ13">
        <f>VLOOKUP($O13,'Table 3 ID Wind 2033'!$B$10:$J$36,9,FALSE)</f>
        <v>40.06</v>
      </c>
      <c r="BK13">
        <f>VLOOKUP($O13,'Table 3 WW Wind 2035'!$B$10:$J$36,9,FALSE)</f>
        <v>40.06</v>
      </c>
      <c r="BL13">
        <f>VLOOKUP($O13,'Table 3 YK Wind 2035'!$B$10:$J$36,9,FALSE)</f>
        <v>40.06</v>
      </c>
      <c r="BM13">
        <f>VLOOKUP($O13,'Table 3 OR Wind 2035'!$B$10:$J$36,9,FALSE)</f>
        <v>40.06</v>
      </c>
      <c r="BN13">
        <f>VLOOKUP($O13,'Table 3 UT Wind 2030'!$B$10:$J$36,9,FALSE)</f>
        <v>40.06</v>
      </c>
      <c r="BO13">
        <f>VLOOKUP($O13,'Table 3 UT Wind 2036'!$B$10:$J$36,9,FALSE)</f>
        <v>40.06</v>
      </c>
      <c r="BP13">
        <f>VLOOKUP($O13,'Table 3 YK Solar 2030'!$B$10:$J$36,9,FALSE)</f>
        <v>19.98</v>
      </c>
      <c r="BQ13">
        <f>VLOOKUP($O13,'Table 3 YK Solar 2032'!$B$10:$J$36,9,FALSE)</f>
        <v>19.98</v>
      </c>
      <c r="BR13">
        <f>VLOOKUP($O13,'Table 3 YK Solar 2033'!$B$10:$J$36,9,FALSE)</f>
        <v>19.98</v>
      </c>
      <c r="BS13">
        <f>VLOOKUP($O13,'Table 3 UT Solar 2033 ST'!$B$10:$J$36,9,FALSE)</f>
        <v>20.99</v>
      </c>
      <c r="BT13">
        <f>VLOOKUP($O13,'Table 3 UT Solar 2035 ST'!$B$10:$J$36,9,FALSE)</f>
        <v>20.99</v>
      </c>
      <c r="BU13">
        <f>VLOOKUP($O13,'Table 3 UT Solar 2035 FT'!$B$10:$J$36,9,FALSE)</f>
        <v>19.96</v>
      </c>
      <c r="BV13">
        <f>VLOOKUP($O13,'Table 3 OR Solar 2030'!$B$10:$J$36,9,FALSE)</f>
        <v>21.02</v>
      </c>
      <c r="BW13">
        <f>VLOOKUP($O13,'Table 3 OR Solar 2031'!$B$10:$J$36,9,FALSE)</f>
        <v>21.02</v>
      </c>
      <c r="BX13">
        <f>VLOOKUP($O13,'Table 3 OR Solar 2032'!$B$10:$J$36,9,FALSE)</f>
        <v>21.02</v>
      </c>
      <c r="BY13">
        <f>VLOOKUP($O13,'Table 3 OR Solar 2033'!$B$10:$J$36,9,FALSE)</f>
        <v>21.02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2020</v>
      </c>
      <c r="CX13" s="89">
        <f>IFERROR(VLOOKUP($CW13,'Table 3 TransCost D2 '!$B$10:$E$34,4,FALSE),0)</f>
        <v>7.9249999999999998</v>
      </c>
      <c r="CY13" s="193">
        <f>$CX$5*CX13/1000</f>
        <v>0</v>
      </c>
    </row>
    <row r="14" spans="2:103" customFormat="1" hidden="1">
      <c r="B14" s="15">
        <f t="shared" ref="B14:B34" si="25">B13+1</f>
        <v>2021</v>
      </c>
      <c r="C14" s="9">
        <f t="shared" si="3"/>
        <v>0</v>
      </c>
      <c r="D14" s="45"/>
      <c r="E14" s="9" t="e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93"/>
      <c r="J14" s="193"/>
      <c r="K14" s="113" t="s">
        <v>64</v>
      </c>
      <c r="L14" s="114">
        <v>1</v>
      </c>
      <c r="M14" s="114">
        <v>1</v>
      </c>
      <c r="O14">
        <f t="shared" si="4"/>
        <v>2021</v>
      </c>
      <c r="P14">
        <v>0</v>
      </c>
      <c r="Q14">
        <v>0</v>
      </c>
      <c r="R14">
        <v>0</v>
      </c>
      <c r="S14" s="193">
        <v>0</v>
      </c>
      <c r="T14" s="193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-7.39</v>
      </c>
      <c r="BG14">
        <f>VLOOKUP($O14,'Table 3 EV2020 Wind_2021'!$B$10:$K$36,10,FALSE)</f>
        <v>-9.2899999999999991</v>
      </c>
      <c r="BH14">
        <f>VLOOKUP($O14,'Table 3 DJ Wind 2030'!$B$10:$J$36,9,FALSE)</f>
        <v>43.55</v>
      </c>
      <c r="BI14">
        <f>VLOOKUP($O14,'Table 3 ID Wind 2030'!$B$10:$J$36,9,FALSE)</f>
        <v>41.02</v>
      </c>
      <c r="BJ14">
        <f>VLOOKUP($O14,'Table 3 ID Wind 2033'!$B$10:$J$36,9,FALSE)</f>
        <v>41.02</v>
      </c>
      <c r="BK14">
        <f>VLOOKUP($O14,'Table 3 WW Wind 2035'!$B$10:$J$36,9,FALSE)</f>
        <v>41.02</v>
      </c>
      <c r="BL14">
        <f>VLOOKUP($O14,'Table 3 YK Wind 2035'!$B$10:$J$36,9,FALSE)</f>
        <v>41.02</v>
      </c>
      <c r="BM14">
        <f>VLOOKUP($O14,'Table 3 OR Wind 2035'!$B$10:$J$36,9,FALSE)</f>
        <v>41.02</v>
      </c>
      <c r="BN14">
        <f>VLOOKUP($O14,'Table 3 UT Wind 2030'!$B$10:$J$36,9,FALSE)</f>
        <v>41.02</v>
      </c>
      <c r="BO14">
        <f>VLOOKUP($O14,'Table 3 UT Wind 2036'!$B$10:$J$36,9,FALSE)</f>
        <v>41.02</v>
      </c>
      <c r="BP14">
        <f>VLOOKUP($O14,'Table 3 YK Solar 2030'!$B$10:$J$36,9,FALSE)</f>
        <v>20.46</v>
      </c>
      <c r="BQ14">
        <f>VLOOKUP($O14,'Table 3 YK Solar 2032'!$B$10:$J$36,9,FALSE)</f>
        <v>20.46</v>
      </c>
      <c r="BR14">
        <f>VLOOKUP($O14,'Table 3 YK Solar 2033'!$B$10:$J$36,9,FALSE)</f>
        <v>20.46</v>
      </c>
      <c r="BS14">
        <f>VLOOKUP($O14,'Table 3 UT Solar 2033 ST'!$B$10:$J$36,9,FALSE)</f>
        <v>21.49</v>
      </c>
      <c r="BT14">
        <f>VLOOKUP($O14,'Table 3 UT Solar 2035 ST'!$B$10:$J$36,9,FALSE)</f>
        <v>21.49</v>
      </c>
      <c r="BU14">
        <f>VLOOKUP($O14,'Table 3 UT Solar 2035 FT'!$B$10:$J$36,9,FALSE)</f>
        <v>20.440000000000001</v>
      </c>
      <c r="BV14">
        <f>VLOOKUP($O14,'Table 3 OR Solar 2030'!$B$10:$J$36,9,FALSE)</f>
        <v>21.52</v>
      </c>
      <c r="BW14">
        <f>VLOOKUP($O14,'Table 3 OR Solar 2031'!$B$10:$J$36,9,FALSE)</f>
        <v>21.52</v>
      </c>
      <c r="BX14">
        <f>VLOOKUP($O14,'Table 3 OR Solar 2032'!$B$10:$J$36,9,FALSE)</f>
        <v>21.52</v>
      </c>
      <c r="BY14">
        <f>VLOOKUP($O14,'Table 3 OR Solar 2033'!$B$10:$J$36,9,FALSE)</f>
        <v>21.52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2021</v>
      </c>
      <c r="CX14" s="89">
        <f>IFERROR(VLOOKUP($CW14,'Table 3 TransCost D2 '!$B$10:$E$34,4,FALSE),0)</f>
        <v>48.5910167356733</v>
      </c>
      <c r="CY14" s="193">
        <f t="shared" ref="CY14:CY33" si="27">$CX$5*CX14/1000</f>
        <v>0</v>
      </c>
    </row>
    <row r="15" spans="2:103" customFormat="1" hidden="1">
      <c r="B15" s="15">
        <f t="shared" si="25"/>
        <v>2022</v>
      </c>
      <c r="C15" s="9">
        <f t="shared" si="3"/>
        <v>0</v>
      </c>
      <c r="D15" s="45"/>
      <c r="E15" s="9" t="e">
        <f t="shared" ca="1" si="26"/>
        <v>#DIV/0!</v>
      </c>
      <c r="F15" s="37"/>
      <c r="G15" s="14" t="e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93"/>
      <c r="J15" s="193"/>
      <c r="K15" s="113" t="s">
        <v>65</v>
      </c>
      <c r="L15" s="114">
        <v>1</v>
      </c>
      <c r="M15" s="114">
        <v>1</v>
      </c>
      <c r="O15">
        <f t="shared" si="4"/>
        <v>2022</v>
      </c>
      <c r="P15">
        <v>0</v>
      </c>
      <c r="Q15">
        <v>0</v>
      </c>
      <c r="R15">
        <v>0</v>
      </c>
      <c r="S15" s="193">
        <v>0</v>
      </c>
      <c r="T15" s="193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-4.75</v>
      </c>
      <c r="BG15">
        <f>VLOOKUP($O15,'Table 3 EV2020 Wind_2021'!$B$10:$K$36,10,FALSE)</f>
        <v>-6.7</v>
      </c>
      <c r="BH15">
        <f>VLOOKUP($O15,'Table 3 DJ Wind 2030'!$B$10:$J$36,9,FALSE)</f>
        <v>44.6</v>
      </c>
      <c r="BI15">
        <f>VLOOKUP($O15,'Table 3 ID Wind 2030'!$B$10:$J$36,9,FALSE)</f>
        <v>42</v>
      </c>
      <c r="BJ15">
        <f>VLOOKUP($O15,'Table 3 ID Wind 2033'!$B$10:$J$36,9,FALSE)</f>
        <v>42</v>
      </c>
      <c r="BK15">
        <f>VLOOKUP($O15,'Table 3 WW Wind 2035'!$B$10:$J$36,9,FALSE)</f>
        <v>42</v>
      </c>
      <c r="BL15">
        <f>VLOOKUP($O15,'Table 3 YK Wind 2035'!$B$10:$J$36,9,FALSE)</f>
        <v>42</v>
      </c>
      <c r="BM15">
        <f>VLOOKUP($O15,'Table 3 OR Wind 2035'!$B$10:$J$36,9,FALSE)</f>
        <v>42</v>
      </c>
      <c r="BN15">
        <f>VLOOKUP($O15,'Table 3 UT Wind 2030'!$B$10:$J$36,9,FALSE)</f>
        <v>42</v>
      </c>
      <c r="BO15">
        <f>VLOOKUP($O15,'Table 3 UT Wind 2036'!$B$10:$J$36,9,FALSE)</f>
        <v>42</v>
      </c>
      <c r="BP15">
        <f>VLOOKUP($O15,'Table 3 YK Solar 2030'!$B$10:$J$36,9,FALSE)</f>
        <v>20.95</v>
      </c>
      <c r="BQ15">
        <f>VLOOKUP($O15,'Table 3 YK Solar 2032'!$B$10:$J$36,9,FALSE)</f>
        <v>20.95</v>
      </c>
      <c r="BR15">
        <f>VLOOKUP($O15,'Table 3 YK Solar 2033'!$B$10:$J$36,9,FALSE)</f>
        <v>20.95</v>
      </c>
      <c r="BS15">
        <f>VLOOKUP($O15,'Table 3 UT Solar 2033 ST'!$B$10:$J$36,9,FALSE)</f>
        <v>22.01</v>
      </c>
      <c r="BT15">
        <f>VLOOKUP($O15,'Table 3 UT Solar 2035 ST'!$B$10:$J$36,9,FALSE)</f>
        <v>22.01</v>
      </c>
      <c r="BU15">
        <f>VLOOKUP($O15,'Table 3 UT Solar 2035 FT'!$B$10:$J$36,9,FALSE)</f>
        <v>20.93</v>
      </c>
      <c r="BV15">
        <f>VLOOKUP($O15,'Table 3 OR Solar 2030'!$B$10:$J$36,9,FALSE)</f>
        <v>22.04</v>
      </c>
      <c r="BW15">
        <f>VLOOKUP($O15,'Table 3 OR Solar 2031'!$B$10:$J$36,9,FALSE)</f>
        <v>22.04</v>
      </c>
      <c r="BX15">
        <f>VLOOKUP($O15,'Table 3 OR Solar 2032'!$B$10:$J$36,9,FALSE)</f>
        <v>22.04</v>
      </c>
      <c r="BY15">
        <f>VLOOKUP($O15,'Table 3 OR Solar 2033'!$B$10:$J$36,9,FALSE)</f>
        <v>22.04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2022</v>
      </c>
      <c r="CX15" s="89">
        <f>IFERROR(VLOOKUP($CW15,'Table 3 TransCost D2 '!$B$10:$E$34,4,FALSE),0)</f>
        <v>49.76</v>
      </c>
      <c r="CY15" s="193">
        <f t="shared" si="27"/>
        <v>0</v>
      </c>
    </row>
    <row r="16" spans="2:103" customFormat="1" hidden="1">
      <c r="B16" s="15">
        <f t="shared" si="25"/>
        <v>2023</v>
      </c>
      <c r="C16" s="9">
        <f t="shared" si="3"/>
        <v>0</v>
      </c>
      <c r="D16" s="45"/>
      <c r="E16" s="9" t="e">
        <f t="shared" ca="1" si="26"/>
        <v>#DIV/0!</v>
      </c>
      <c r="F16" s="37"/>
      <c r="G16" s="14" t="e">
        <f t="shared" ca="1" si="28"/>
        <v>#DIV/0!</v>
      </c>
      <c r="H16" s="36"/>
      <c r="I16" s="193"/>
      <c r="J16" s="193"/>
      <c r="M16" s="115"/>
      <c r="O16">
        <f t="shared" si="4"/>
        <v>2023</v>
      </c>
      <c r="P16">
        <v>0</v>
      </c>
      <c r="Q16">
        <v>0</v>
      </c>
      <c r="R16">
        <v>0</v>
      </c>
      <c r="S16" s="193">
        <v>0</v>
      </c>
      <c r="T16" s="193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-6.53</v>
      </c>
      <c r="BG16">
        <f>VLOOKUP($O16,'Table 3 EV2020 Wind_2021'!$B$10:$K$36,10,FALSE)</f>
        <v>-8.5299999999999994</v>
      </c>
      <c r="BH16">
        <f>VLOOKUP($O16,'Table 3 DJ Wind 2030'!$B$10:$J$36,9,FALSE)</f>
        <v>45.69</v>
      </c>
      <c r="BI16">
        <f>VLOOKUP($O16,'Table 3 ID Wind 2030'!$B$10:$J$36,9,FALSE)</f>
        <v>43.01</v>
      </c>
      <c r="BJ16">
        <f>VLOOKUP($O16,'Table 3 ID Wind 2033'!$B$10:$J$36,9,FALSE)</f>
        <v>43.01</v>
      </c>
      <c r="BK16">
        <f>VLOOKUP($O16,'Table 3 WW Wind 2035'!$B$10:$J$36,9,FALSE)</f>
        <v>43.01</v>
      </c>
      <c r="BL16">
        <f>VLOOKUP($O16,'Table 3 YK Wind 2035'!$B$10:$J$36,9,FALSE)</f>
        <v>43.01</v>
      </c>
      <c r="BM16">
        <f>VLOOKUP($O16,'Table 3 OR Wind 2035'!$B$10:$J$36,9,FALSE)</f>
        <v>43.01</v>
      </c>
      <c r="BN16">
        <f>VLOOKUP($O16,'Table 3 UT Wind 2030'!$B$10:$J$36,9,FALSE)</f>
        <v>43.01</v>
      </c>
      <c r="BO16">
        <f>VLOOKUP($O16,'Table 3 UT Wind 2036'!$B$10:$J$36,9,FALSE)</f>
        <v>43.01</v>
      </c>
      <c r="BP16">
        <f>VLOOKUP($O16,'Table 3 YK Solar 2030'!$B$10:$J$36,9,FALSE)</f>
        <v>21.45</v>
      </c>
      <c r="BQ16">
        <f>VLOOKUP($O16,'Table 3 YK Solar 2032'!$B$10:$J$36,9,FALSE)</f>
        <v>21.45</v>
      </c>
      <c r="BR16">
        <f>VLOOKUP($O16,'Table 3 YK Solar 2033'!$B$10:$J$36,9,FALSE)</f>
        <v>21.45</v>
      </c>
      <c r="BS16">
        <f>VLOOKUP($O16,'Table 3 UT Solar 2033 ST'!$B$10:$J$36,9,FALSE)</f>
        <v>22.54</v>
      </c>
      <c r="BT16">
        <f>VLOOKUP($O16,'Table 3 UT Solar 2035 ST'!$B$10:$J$36,9,FALSE)</f>
        <v>22.54</v>
      </c>
      <c r="BU16">
        <f>VLOOKUP($O16,'Table 3 UT Solar 2035 FT'!$B$10:$J$36,9,FALSE)</f>
        <v>21.43</v>
      </c>
      <c r="BV16">
        <f>VLOOKUP($O16,'Table 3 OR Solar 2030'!$B$10:$J$36,9,FALSE)</f>
        <v>22.57</v>
      </c>
      <c r="BW16">
        <f>VLOOKUP($O16,'Table 3 OR Solar 2031'!$B$10:$J$36,9,FALSE)</f>
        <v>22.57</v>
      </c>
      <c r="BX16">
        <f>VLOOKUP($O16,'Table 3 OR Solar 2032'!$B$10:$J$36,9,FALSE)</f>
        <v>22.57</v>
      </c>
      <c r="BY16">
        <f>VLOOKUP($O16,'Table 3 OR Solar 2033'!$B$10:$J$36,9,FALSE)</f>
        <v>22.57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2023</v>
      </c>
      <c r="CX16" s="89">
        <f>IFERROR(VLOOKUP($CW16,'Table 3 TransCost D2 '!$B$10:$E$34,4,FALSE),0)</f>
        <v>50.95000000000001</v>
      </c>
      <c r="CY16" s="193">
        <f t="shared" si="27"/>
        <v>0</v>
      </c>
    </row>
    <row r="17" spans="2:103" hidden="1">
      <c r="B17" s="15">
        <f t="shared" si="25"/>
        <v>2024</v>
      </c>
      <c r="C17" s="9">
        <f t="shared" si="3"/>
        <v>0</v>
      </c>
      <c r="D17" s="45"/>
      <c r="E17" s="9" t="e">
        <f t="shared" ca="1" si="26"/>
        <v>#DIV/0!</v>
      </c>
      <c r="F17" s="37"/>
      <c r="G17" s="14" t="e">
        <f t="shared" ca="1" si="28"/>
        <v>#DIV/0!</v>
      </c>
      <c r="H17" s="36"/>
      <c r="I17" s="193"/>
      <c r="J17" s="193"/>
      <c r="M17" s="116"/>
      <c r="O17">
        <f t="shared" si="4"/>
        <v>2024</v>
      </c>
      <c r="P17">
        <v>0</v>
      </c>
      <c r="Q17">
        <v>0</v>
      </c>
      <c r="R17">
        <v>0</v>
      </c>
      <c r="S17" s="193">
        <v>0</v>
      </c>
      <c r="T17" s="193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-3.78</v>
      </c>
      <c r="BG17">
        <f>VLOOKUP($O17,'Table 3 EV2020 Wind_2021'!$B$10:$K$36,10,FALSE)</f>
        <v>-5.83</v>
      </c>
      <c r="BH17">
        <f>VLOOKUP($O17,'Table 3 DJ Wind 2030'!$B$10:$J$36,9,FALSE)</f>
        <v>46.79</v>
      </c>
      <c r="BI17">
        <f>VLOOKUP($O17,'Table 3 ID Wind 2030'!$B$10:$J$36,9,FALSE)</f>
        <v>44.04</v>
      </c>
      <c r="BJ17">
        <f>VLOOKUP($O17,'Table 3 ID Wind 2033'!$B$10:$J$36,9,FALSE)</f>
        <v>44.04</v>
      </c>
      <c r="BK17">
        <f>VLOOKUP($O17,'Table 3 WW Wind 2035'!$B$10:$J$36,9,FALSE)</f>
        <v>44.04</v>
      </c>
      <c r="BL17">
        <f>VLOOKUP($O17,'Table 3 YK Wind 2035'!$B$10:$J$36,9,FALSE)</f>
        <v>44.04</v>
      </c>
      <c r="BM17">
        <f>VLOOKUP($O17,'Table 3 OR Wind 2035'!$B$10:$J$36,9,FALSE)</f>
        <v>44.04</v>
      </c>
      <c r="BN17">
        <f>VLOOKUP($O17,'Table 3 UT Wind 2030'!$B$10:$J$36,9,FALSE)</f>
        <v>44.04</v>
      </c>
      <c r="BO17">
        <f>VLOOKUP($O17,'Table 3 UT Wind 2036'!$B$10:$J$36,9,FALSE)</f>
        <v>44.04</v>
      </c>
      <c r="BP17">
        <f>VLOOKUP($O17,'Table 3 YK Solar 2030'!$B$10:$J$36,9,FALSE)</f>
        <v>21.96</v>
      </c>
      <c r="BQ17">
        <f>VLOOKUP($O17,'Table 3 YK Solar 2032'!$B$10:$J$36,9,FALSE)</f>
        <v>21.96</v>
      </c>
      <c r="BR17">
        <f>VLOOKUP($O17,'Table 3 YK Solar 2033'!$B$10:$J$36,9,FALSE)</f>
        <v>21.96</v>
      </c>
      <c r="BS17">
        <f>VLOOKUP($O17,'Table 3 UT Solar 2033 ST'!$B$10:$J$36,9,FALSE)</f>
        <v>23.08</v>
      </c>
      <c r="BT17">
        <f>VLOOKUP($O17,'Table 3 UT Solar 2035 ST'!$B$10:$J$36,9,FALSE)</f>
        <v>23.08</v>
      </c>
      <c r="BU17">
        <f>VLOOKUP($O17,'Table 3 UT Solar 2035 FT'!$B$10:$J$36,9,FALSE)</f>
        <v>21.94</v>
      </c>
      <c r="BV17">
        <f>VLOOKUP($O17,'Table 3 OR Solar 2030'!$B$10:$J$36,9,FALSE)</f>
        <v>23.11</v>
      </c>
      <c r="BW17">
        <f>VLOOKUP($O17,'Table 3 OR Solar 2031'!$B$10:$J$36,9,FALSE)</f>
        <v>23.11</v>
      </c>
      <c r="BX17">
        <f>VLOOKUP($O17,'Table 3 OR Solar 2032'!$B$10:$J$36,9,FALSE)</f>
        <v>23.11</v>
      </c>
      <c r="BY17">
        <f>VLOOKUP($O17,'Table 3 OR Solar 2033'!$B$10:$J$36,9,FALSE)</f>
        <v>23.11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2024</v>
      </c>
      <c r="CX17" s="89">
        <f>IFERROR(VLOOKUP($CW17,'Table 3 TransCost D2 '!$B$10:$E$34,4,FALSE),0)</f>
        <v>52.169999999999995</v>
      </c>
      <c r="CY17" s="193">
        <f t="shared" si="27"/>
        <v>0</v>
      </c>
    </row>
    <row r="18" spans="2:103" hidden="1">
      <c r="B18" s="15">
        <f t="shared" si="25"/>
        <v>2025</v>
      </c>
      <c r="C18" s="9">
        <f t="shared" si="3"/>
        <v>0</v>
      </c>
      <c r="D18" s="45"/>
      <c r="E18" s="9" t="e">
        <f t="shared" ca="1" si="26"/>
        <v>#DIV/0!</v>
      </c>
      <c r="F18" s="37"/>
      <c r="G18" s="14" t="e">
        <f t="shared" ca="1" si="28"/>
        <v>#DIV/0!</v>
      </c>
      <c r="H18" s="36"/>
      <c r="I18" s="193"/>
      <c r="J18" s="193"/>
      <c r="M18" s="116"/>
      <c r="O18">
        <f t="shared" si="4"/>
        <v>2025</v>
      </c>
      <c r="P18">
        <v>0</v>
      </c>
      <c r="Q18">
        <v>0</v>
      </c>
      <c r="R18">
        <v>0</v>
      </c>
      <c r="S18" s="193">
        <v>0</v>
      </c>
      <c r="T18" s="193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-5.59</v>
      </c>
      <c r="BG18">
        <f>VLOOKUP($O18,'Table 3 EV2020 Wind_2021'!$B$10:$K$36,10,FALSE)</f>
        <v>-7.69</v>
      </c>
      <c r="BH18">
        <f>VLOOKUP($O18,'Table 3 DJ Wind 2030'!$B$10:$J$36,9,FALSE)</f>
        <v>47.87</v>
      </c>
      <c r="BI18">
        <f>VLOOKUP($O18,'Table 3 ID Wind 2030'!$B$10:$J$36,9,FALSE)</f>
        <v>45.05</v>
      </c>
      <c r="BJ18">
        <f>VLOOKUP($O18,'Table 3 ID Wind 2033'!$B$10:$J$36,9,FALSE)</f>
        <v>45.05</v>
      </c>
      <c r="BK18">
        <f>VLOOKUP($O18,'Table 3 WW Wind 2035'!$B$10:$J$36,9,FALSE)</f>
        <v>45.05</v>
      </c>
      <c r="BL18">
        <f>VLOOKUP($O18,'Table 3 YK Wind 2035'!$B$10:$J$36,9,FALSE)</f>
        <v>45.05</v>
      </c>
      <c r="BM18">
        <f>VLOOKUP($O18,'Table 3 OR Wind 2035'!$B$10:$J$36,9,FALSE)</f>
        <v>45.05</v>
      </c>
      <c r="BN18">
        <f>VLOOKUP($O18,'Table 3 UT Wind 2030'!$B$10:$J$36,9,FALSE)</f>
        <v>45.05</v>
      </c>
      <c r="BO18">
        <f>VLOOKUP($O18,'Table 3 UT Wind 2036'!$B$10:$J$36,9,FALSE)</f>
        <v>45.05</v>
      </c>
      <c r="BP18">
        <f>VLOOKUP($O18,'Table 3 YK Solar 2030'!$B$10:$J$36,9,FALSE)</f>
        <v>22.47</v>
      </c>
      <c r="BQ18">
        <f>VLOOKUP($O18,'Table 3 YK Solar 2032'!$B$10:$J$36,9,FALSE)</f>
        <v>22.47</v>
      </c>
      <c r="BR18">
        <f>VLOOKUP($O18,'Table 3 YK Solar 2033'!$B$10:$J$36,9,FALSE)</f>
        <v>22.47</v>
      </c>
      <c r="BS18">
        <f>VLOOKUP($O18,'Table 3 UT Solar 2033 ST'!$B$10:$J$36,9,FALSE)</f>
        <v>23.61</v>
      </c>
      <c r="BT18">
        <f>VLOOKUP($O18,'Table 3 UT Solar 2035 ST'!$B$10:$J$36,9,FALSE)</f>
        <v>23.61</v>
      </c>
      <c r="BU18">
        <f>VLOOKUP($O18,'Table 3 UT Solar 2035 FT'!$B$10:$J$36,9,FALSE)</f>
        <v>22.44</v>
      </c>
      <c r="BV18">
        <f>VLOOKUP($O18,'Table 3 OR Solar 2030'!$B$10:$J$36,9,FALSE)</f>
        <v>23.64</v>
      </c>
      <c r="BW18">
        <f>VLOOKUP($O18,'Table 3 OR Solar 2031'!$B$10:$J$36,9,FALSE)</f>
        <v>23.64</v>
      </c>
      <c r="BX18">
        <f>VLOOKUP($O18,'Table 3 OR Solar 2032'!$B$10:$J$36,9,FALSE)</f>
        <v>23.64</v>
      </c>
      <c r="BY18">
        <f>VLOOKUP($O18,'Table 3 OR Solar 2033'!$B$10:$J$36,9,FALSE)</f>
        <v>23.64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2025</v>
      </c>
      <c r="CX18" s="89">
        <f>IFERROR(VLOOKUP($CW18,'Table 3 TransCost D2 '!$B$10:$E$34,4,FALSE),0)</f>
        <v>53.37</v>
      </c>
      <c r="CY18" s="193">
        <f t="shared" si="27"/>
        <v>0</v>
      </c>
    </row>
    <row r="19" spans="2:103" hidden="1">
      <c r="B19" s="15">
        <f t="shared" si="25"/>
        <v>2026</v>
      </c>
      <c r="C19" s="9">
        <f t="shared" si="3"/>
        <v>0</v>
      </c>
      <c r="D19" s="45"/>
      <c r="E19" s="9" t="e">
        <f t="shared" ca="1" si="26"/>
        <v>#DIV/0!</v>
      </c>
      <c r="F19" s="37"/>
      <c r="G19" s="14" t="e">
        <f t="shared" ca="1" si="28"/>
        <v>#DIV/0!</v>
      </c>
      <c r="H19" s="36"/>
      <c r="I19" s="193"/>
      <c r="J19" s="193"/>
      <c r="M19" s="116"/>
      <c r="O19">
        <f t="shared" si="4"/>
        <v>2026</v>
      </c>
      <c r="P19">
        <v>0</v>
      </c>
      <c r="Q19">
        <v>0</v>
      </c>
      <c r="R19">
        <v>0</v>
      </c>
      <c r="S19" s="193">
        <v>0</v>
      </c>
      <c r="T19" s="193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-2.82</v>
      </c>
      <c r="BG19">
        <f>VLOOKUP($O19,'Table 3 EV2020 Wind_2021'!$B$10:$K$36,10,FALSE)</f>
        <v>-4.97</v>
      </c>
      <c r="BH19">
        <f>VLOOKUP($O19,'Table 3 DJ Wind 2030'!$B$10:$J$36,9,FALSE)</f>
        <v>48.98</v>
      </c>
      <c r="BI19">
        <f>VLOOKUP($O19,'Table 3 ID Wind 2030'!$B$10:$J$36,9,FALSE)</f>
        <v>46.09</v>
      </c>
      <c r="BJ19">
        <f>VLOOKUP($O19,'Table 3 ID Wind 2033'!$B$10:$J$36,9,FALSE)</f>
        <v>46.09</v>
      </c>
      <c r="BK19">
        <f>VLOOKUP($O19,'Table 3 WW Wind 2035'!$B$10:$J$36,9,FALSE)</f>
        <v>46.09</v>
      </c>
      <c r="BL19">
        <f>VLOOKUP($O19,'Table 3 YK Wind 2035'!$B$10:$J$36,9,FALSE)</f>
        <v>46.09</v>
      </c>
      <c r="BM19">
        <f>VLOOKUP($O19,'Table 3 OR Wind 2035'!$B$10:$J$36,9,FALSE)</f>
        <v>46.09</v>
      </c>
      <c r="BN19">
        <f>VLOOKUP($O19,'Table 3 UT Wind 2030'!$B$10:$J$36,9,FALSE)</f>
        <v>46.09</v>
      </c>
      <c r="BO19">
        <f>VLOOKUP($O19,'Table 3 UT Wind 2036'!$B$10:$J$36,9,FALSE)</f>
        <v>46.09</v>
      </c>
      <c r="BP19">
        <f>VLOOKUP($O19,'Table 3 YK Solar 2030'!$B$10:$J$36,9,FALSE)</f>
        <v>22.99</v>
      </c>
      <c r="BQ19">
        <f>VLOOKUP($O19,'Table 3 YK Solar 2032'!$B$10:$J$36,9,FALSE)</f>
        <v>22.99</v>
      </c>
      <c r="BR19">
        <f>VLOOKUP($O19,'Table 3 YK Solar 2033'!$B$10:$J$36,9,FALSE)</f>
        <v>22.99</v>
      </c>
      <c r="BS19">
        <f>VLOOKUP($O19,'Table 3 UT Solar 2033 ST'!$B$10:$J$36,9,FALSE)</f>
        <v>24.15</v>
      </c>
      <c r="BT19">
        <f>VLOOKUP($O19,'Table 3 UT Solar 2035 ST'!$B$10:$J$36,9,FALSE)</f>
        <v>24.15</v>
      </c>
      <c r="BU19">
        <f>VLOOKUP($O19,'Table 3 UT Solar 2035 FT'!$B$10:$J$36,9,FALSE)</f>
        <v>22.96</v>
      </c>
      <c r="BV19">
        <f>VLOOKUP($O19,'Table 3 OR Solar 2030'!$B$10:$J$36,9,FALSE)</f>
        <v>24.18</v>
      </c>
      <c r="BW19">
        <f>VLOOKUP($O19,'Table 3 OR Solar 2031'!$B$10:$J$36,9,FALSE)</f>
        <v>24.18</v>
      </c>
      <c r="BX19">
        <f>VLOOKUP($O19,'Table 3 OR Solar 2032'!$B$10:$J$36,9,FALSE)</f>
        <v>24.18</v>
      </c>
      <c r="BY19">
        <f>VLOOKUP($O19,'Table 3 OR Solar 2033'!$B$10:$J$36,9,FALSE)</f>
        <v>24.18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2026</v>
      </c>
      <c r="CX19" s="89">
        <f>IFERROR(VLOOKUP($CW19,'Table 3 TransCost D2 '!$B$10:$E$34,4,FALSE),0)</f>
        <v>54.6</v>
      </c>
      <c r="CY19" s="193">
        <f t="shared" si="27"/>
        <v>0</v>
      </c>
    </row>
    <row r="20" spans="2:103" hidden="1">
      <c r="B20" s="15">
        <f t="shared" si="25"/>
        <v>2027</v>
      </c>
      <c r="C20" s="9">
        <f t="shared" si="3"/>
        <v>0</v>
      </c>
      <c r="D20" s="45"/>
      <c r="E20" s="9" t="e">
        <f t="shared" ca="1" si="26"/>
        <v>#DIV/0!</v>
      </c>
      <c r="F20" s="37"/>
      <c r="G20" s="14" t="e">
        <f t="shared" ca="1" si="28"/>
        <v>#DIV/0!</v>
      </c>
      <c r="H20" s="36"/>
      <c r="I20" s="193"/>
      <c r="J20" s="193"/>
      <c r="M20" s="116"/>
      <c r="O20">
        <f t="shared" si="4"/>
        <v>2027</v>
      </c>
      <c r="P20">
        <v>0</v>
      </c>
      <c r="Q20">
        <v>0</v>
      </c>
      <c r="R20">
        <v>0</v>
      </c>
      <c r="S20" s="193">
        <v>0</v>
      </c>
      <c r="T20" s="193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-4.4800000000000004</v>
      </c>
      <c r="BG20">
        <f>VLOOKUP($O20,'Table 3 EV2020 Wind_2021'!$B$10:$K$36,10,FALSE)</f>
        <v>-6.68</v>
      </c>
      <c r="BH20">
        <f>VLOOKUP($O20,'Table 3 DJ Wind 2030'!$B$10:$J$36,9,FALSE)</f>
        <v>50.12</v>
      </c>
      <c r="BI20">
        <f>VLOOKUP($O20,'Table 3 ID Wind 2030'!$B$10:$J$36,9,FALSE)</f>
        <v>47.15</v>
      </c>
      <c r="BJ20">
        <f>VLOOKUP($O20,'Table 3 ID Wind 2033'!$B$10:$J$36,9,FALSE)</f>
        <v>47.15</v>
      </c>
      <c r="BK20">
        <f>VLOOKUP($O20,'Table 3 WW Wind 2035'!$B$10:$J$36,9,FALSE)</f>
        <v>47.15</v>
      </c>
      <c r="BL20">
        <f>VLOOKUP($O20,'Table 3 YK Wind 2035'!$B$10:$J$36,9,FALSE)</f>
        <v>47.15</v>
      </c>
      <c r="BM20">
        <f>VLOOKUP($O20,'Table 3 OR Wind 2035'!$B$10:$J$36,9,FALSE)</f>
        <v>47.15</v>
      </c>
      <c r="BN20">
        <f>VLOOKUP($O20,'Table 3 UT Wind 2030'!$B$10:$J$36,9,FALSE)</f>
        <v>47.15</v>
      </c>
      <c r="BO20">
        <f>VLOOKUP($O20,'Table 3 UT Wind 2036'!$B$10:$J$36,9,FALSE)</f>
        <v>47.15</v>
      </c>
      <c r="BP20">
        <f>VLOOKUP($O20,'Table 3 YK Solar 2030'!$B$10:$J$36,9,FALSE)</f>
        <v>23.52</v>
      </c>
      <c r="BQ20">
        <f>VLOOKUP($O20,'Table 3 YK Solar 2032'!$B$10:$J$36,9,FALSE)</f>
        <v>23.52</v>
      </c>
      <c r="BR20">
        <f>VLOOKUP($O20,'Table 3 YK Solar 2033'!$B$10:$J$36,9,FALSE)</f>
        <v>23.52</v>
      </c>
      <c r="BS20">
        <f>VLOOKUP($O20,'Table 3 UT Solar 2033 ST'!$B$10:$J$36,9,FALSE)</f>
        <v>24.71</v>
      </c>
      <c r="BT20">
        <f>VLOOKUP($O20,'Table 3 UT Solar 2035 ST'!$B$10:$J$36,9,FALSE)</f>
        <v>24.71</v>
      </c>
      <c r="BU20">
        <f>VLOOKUP($O20,'Table 3 UT Solar 2035 FT'!$B$10:$J$36,9,FALSE)</f>
        <v>23.49</v>
      </c>
      <c r="BV20">
        <f>VLOOKUP($O20,'Table 3 OR Solar 2030'!$B$10:$J$36,9,FALSE)</f>
        <v>24.74</v>
      </c>
      <c r="BW20">
        <f>VLOOKUP($O20,'Table 3 OR Solar 2031'!$B$10:$J$36,9,FALSE)</f>
        <v>24.74</v>
      </c>
      <c r="BX20">
        <f>VLOOKUP($O20,'Table 3 OR Solar 2032'!$B$10:$J$36,9,FALSE)</f>
        <v>24.74</v>
      </c>
      <c r="BY20">
        <f>VLOOKUP($O20,'Table 3 OR Solar 2033'!$B$10:$J$36,9,FALSE)</f>
        <v>24.74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2027</v>
      </c>
      <c r="CX20" s="89">
        <f>IFERROR(VLOOKUP($CW20,'Table 3 TransCost D2 '!$B$10:$E$34,4,FALSE),0)</f>
        <v>55.859999999999992</v>
      </c>
      <c r="CY20" s="193">
        <f t="shared" si="27"/>
        <v>0</v>
      </c>
    </row>
    <row r="21" spans="2:103" hidden="1">
      <c r="B21" s="15">
        <f t="shared" si="25"/>
        <v>2028</v>
      </c>
      <c r="C21" s="9">
        <f t="shared" si="3"/>
        <v>0</v>
      </c>
      <c r="D21" s="45"/>
      <c r="E21" s="9" t="e">
        <f t="shared" ca="1" si="26"/>
        <v>#DIV/0!</v>
      </c>
      <c r="F21" s="37"/>
      <c r="G21" s="14" t="e">
        <f t="shared" ca="1" si="28"/>
        <v>#DIV/0!</v>
      </c>
      <c r="H21" s="36"/>
      <c r="I21" s="193"/>
      <c r="J21" s="193"/>
      <c r="M21" s="116"/>
      <c r="O21">
        <f t="shared" si="4"/>
        <v>2028</v>
      </c>
      <c r="P21">
        <v>0</v>
      </c>
      <c r="Q21">
        <v>0</v>
      </c>
      <c r="R21">
        <v>0</v>
      </c>
      <c r="S21" s="193">
        <v>0</v>
      </c>
      <c r="T21" s="193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-1.46</v>
      </c>
      <c r="BG21">
        <f>VLOOKUP($O21,'Table 3 EV2020 Wind_2021'!$B$10:$K$36,10,FALSE)</f>
        <v>-3.71</v>
      </c>
      <c r="BH21">
        <f>VLOOKUP($O21,'Table 3 DJ Wind 2030'!$B$10:$J$36,9,FALSE)</f>
        <v>51.32</v>
      </c>
      <c r="BI21">
        <f>VLOOKUP($O21,'Table 3 ID Wind 2030'!$B$10:$J$36,9,FALSE)</f>
        <v>48.28</v>
      </c>
      <c r="BJ21">
        <f>VLOOKUP($O21,'Table 3 ID Wind 2033'!$B$10:$J$36,9,FALSE)</f>
        <v>48.28</v>
      </c>
      <c r="BK21">
        <f>VLOOKUP($O21,'Table 3 WW Wind 2035'!$B$10:$J$36,9,FALSE)</f>
        <v>48.28</v>
      </c>
      <c r="BL21">
        <f>VLOOKUP($O21,'Table 3 YK Wind 2035'!$B$10:$J$36,9,FALSE)</f>
        <v>48.28</v>
      </c>
      <c r="BM21">
        <f>VLOOKUP($O21,'Table 3 OR Wind 2035'!$B$10:$J$36,9,FALSE)</f>
        <v>48.28</v>
      </c>
      <c r="BN21">
        <f>VLOOKUP($O21,'Table 3 UT Wind 2030'!$B$10:$J$36,9,FALSE)</f>
        <v>48.28</v>
      </c>
      <c r="BO21">
        <f>VLOOKUP($O21,'Table 3 UT Wind 2036'!$B$10:$J$36,9,FALSE)</f>
        <v>48.28</v>
      </c>
      <c r="BP21">
        <f>VLOOKUP($O21,'Table 3 YK Solar 2030'!$B$10:$J$36,9,FALSE)</f>
        <v>24.08</v>
      </c>
      <c r="BQ21">
        <f>VLOOKUP($O21,'Table 3 YK Solar 2032'!$B$10:$J$36,9,FALSE)</f>
        <v>24.08</v>
      </c>
      <c r="BR21">
        <f>VLOOKUP($O21,'Table 3 YK Solar 2033'!$B$10:$J$36,9,FALSE)</f>
        <v>24.08</v>
      </c>
      <c r="BS21">
        <f>VLOOKUP($O21,'Table 3 UT Solar 2033 ST'!$B$10:$J$36,9,FALSE)</f>
        <v>25.3</v>
      </c>
      <c r="BT21">
        <f>VLOOKUP($O21,'Table 3 UT Solar 2035 ST'!$B$10:$J$36,9,FALSE)</f>
        <v>25.3</v>
      </c>
      <c r="BU21">
        <f>VLOOKUP($O21,'Table 3 UT Solar 2035 FT'!$B$10:$J$36,9,FALSE)</f>
        <v>24.05</v>
      </c>
      <c r="BV21">
        <f>VLOOKUP($O21,'Table 3 OR Solar 2030'!$B$10:$J$36,9,FALSE)</f>
        <v>25.33</v>
      </c>
      <c r="BW21">
        <f>VLOOKUP($O21,'Table 3 OR Solar 2031'!$B$10:$J$36,9,FALSE)</f>
        <v>25.33</v>
      </c>
      <c r="BX21">
        <f>VLOOKUP($O21,'Table 3 OR Solar 2032'!$B$10:$J$36,9,FALSE)</f>
        <v>25.33</v>
      </c>
      <c r="BY21">
        <f>VLOOKUP($O21,'Table 3 OR Solar 2033'!$B$10:$J$36,9,FALSE)</f>
        <v>25.33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2028</v>
      </c>
      <c r="CX21" s="89">
        <f>IFERROR(VLOOKUP($CW21,'Table 3 TransCost D2 '!$B$10:$E$34,4,FALSE),0)</f>
        <v>57.20000000000001</v>
      </c>
      <c r="CY21" s="193">
        <f t="shared" si="27"/>
        <v>0</v>
      </c>
    </row>
    <row r="22" spans="2:103" hidden="1">
      <c r="B22" s="15">
        <f t="shared" si="25"/>
        <v>2029</v>
      </c>
      <c r="C22" s="9">
        <f t="shared" si="3"/>
        <v>0</v>
      </c>
      <c r="D22" s="45"/>
      <c r="E22" s="9" t="e">
        <f t="shared" ca="1" si="26"/>
        <v>#DIV/0!</v>
      </c>
      <c r="F22" s="37"/>
      <c r="G22" s="14" t="e">
        <f t="shared" ca="1" si="28"/>
        <v>#DIV/0!</v>
      </c>
      <c r="H22" s="36"/>
      <c r="I22" s="193"/>
      <c r="J22" s="193"/>
      <c r="M22" s="116"/>
      <c r="O22">
        <f t="shared" si="4"/>
        <v>2029</v>
      </c>
      <c r="P22">
        <v>0</v>
      </c>
      <c r="Q22">
        <v>0</v>
      </c>
      <c r="R22">
        <v>0</v>
      </c>
      <c r="S22" s="193">
        <v>0</v>
      </c>
      <c r="T22" s="193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-2.85</v>
      </c>
      <c r="BG22">
        <f>VLOOKUP($O22,'Table 3 EV2020 Wind_2021'!$B$10:$K$36,10,FALSE)</f>
        <v>-5.16</v>
      </c>
      <c r="BH22">
        <f>VLOOKUP($O22,'Table 3 DJ Wind 2030'!$B$10:$J$36,9,FALSE)</f>
        <v>52.55</v>
      </c>
      <c r="BI22">
        <f>VLOOKUP($O22,'Table 3 ID Wind 2030'!$B$10:$J$36,9,FALSE)</f>
        <v>49.44</v>
      </c>
      <c r="BJ22">
        <f>VLOOKUP($O22,'Table 3 ID Wind 2033'!$B$10:$J$36,9,FALSE)</f>
        <v>49.44</v>
      </c>
      <c r="BK22">
        <f>VLOOKUP($O22,'Table 3 WW Wind 2035'!$B$10:$J$36,9,FALSE)</f>
        <v>49.44</v>
      </c>
      <c r="BL22">
        <f>VLOOKUP($O22,'Table 3 YK Wind 2035'!$B$10:$J$36,9,FALSE)</f>
        <v>49.44</v>
      </c>
      <c r="BM22">
        <f>VLOOKUP($O22,'Table 3 OR Wind 2035'!$B$10:$J$36,9,FALSE)</f>
        <v>49.44</v>
      </c>
      <c r="BN22">
        <f>VLOOKUP($O22,'Table 3 UT Wind 2030'!$B$10:$J$36,9,FALSE)</f>
        <v>49.44</v>
      </c>
      <c r="BO22">
        <f>VLOOKUP($O22,'Table 3 UT Wind 2036'!$B$10:$J$36,9,FALSE)</f>
        <v>49.44</v>
      </c>
      <c r="BP22">
        <f>VLOOKUP($O22,'Table 3 YK Solar 2030'!$B$10:$J$36,9,FALSE)</f>
        <v>24.66</v>
      </c>
      <c r="BQ22">
        <f>VLOOKUP($O22,'Table 3 YK Solar 2032'!$B$10:$J$36,9,FALSE)</f>
        <v>24.66</v>
      </c>
      <c r="BR22">
        <f>VLOOKUP($O22,'Table 3 YK Solar 2033'!$B$10:$J$36,9,FALSE)</f>
        <v>24.66</v>
      </c>
      <c r="BS22">
        <f>VLOOKUP($O22,'Table 3 UT Solar 2033 ST'!$B$10:$J$36,9,FALSE)</f>
        <v>25.91</v>
      </c>
      <c r="BT22">
        <f>VLOOKUP($O22,'Table 3 UT Solar 2035 ST'!$B$10:$J$36,9,FALSE)</f>
        <v>25.91</v>
      </c>
      <c r="BU22">
        <f>VLOOKUP($O22,'Table 3 UT Solar 2035 FT'!$B$10:$J$36,9,FALSE)</f>
        <v>24.63</v>
      </c>
      <c r="BV22">
        <f>VLOOKUP($O22,'Table 3 OR Solar 2030'!$B$10:$J$36,9,FALSE)</f>
        <v>25.94</v>
      </c>
      <c r="BW22">
        <f>VLOOKUP($O22,'Table 3 OR Solar 2031'!$B$10:$J$36,9,FALSE)</f>
        <v>25.94</v>
      </c>
      <c r="BX22">
        <f>VLOOKUP($O22,'Table 3 OR Solar 2032'!$B$10:$J$36,9,FALSE)</f>
        <v>25.94</v>
      </c>
      <c r="BY22">
        <f>VLOOKUP($O22,'Table 3 OR Solar 2033'!$B$10:$J$36,9,FALSE)</f>
        <v>25.94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2029</v>
      </c>
      <c r="CX22" s="89">
        <f>IFERROR(VLOOKUP($CW22,'Table 3 TransCost D2 '!$B$10:$E$34,4,FALSE),0)</f>
        <v>58.57</v>
      </c>
      <c r="CY22" s="193">
        <f t="shared" si="27"/>
        <v>0</v>
      </c>
    </row>
    <row r="23" spans="2:103" hidden="1">
      <c r="B23" s="15">
        <f t="shared" si="25"/>
        <v>2030</v>
      </c>
      <c r="C23" s="9">
        <f t="shared" si="3"/>
        <v>0</v>
      </c>
      <c r="D23" s="45"/>
      <c r="E23" s="9" t="e">
        <f t="shared" ca="1" si="26"/>
        <v>#DIV/0!</v>
      </c>
      <c r="F23" s="37"/>
      <c r="G23" s="14" t="e">
        <f t="shared" ca="1" si="28"/>
        <v>#DIV/0!</v>
      </c>
      <c r="H23" s="36"/>
      <c r="I23" s="193"/>
      <c r="J23" s="193"/>
      <c r="M23" s="116"/>
      <c r="O23">
        <f t="shared" si="4"/>
        <v>2030</v>
      </c>
      <c r="P23">
        <v>0</v>
      </c>
      <c r="Q23">
        <v>0</v>
      </c>
      <c r="R23">
        <v>0</v>
      </c>
      <c r="S23" s="193">
        <v>0</v>
      </c>
      <c r="T23" s="19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18.97</v>
      </c>
      <c r="BG23">
        <f>VLOOKUP($O23,'Table 3 EV2020 Wind_2021'!$B$10:$K$36,10,FALSE)</f>
        <v>-6.68</v>
      </c>
      <c r="BH23">
        <f>VLOOKUP($O23,'Table 3 DJ Wind 2030'!$B$10:$J$36,9,FALSE)</f>
        <v>149.93</v>
      </c>
      <c r="BI23">
        <f>VLOOKUP($O23,'Table 3 ID Wind 2030'!$B$10:$J$36,9,FALSE)</f>
        <v>150.82</v>
      </c>
      <c r="BJ23">
        <f>VLOOKUP($O23,'Table 3 ID Wind 2033'!$B$10:$J$36,9,FALSE)</f>
        <v>50.58</v>
      </c>
      <c r="BK23">
        <f>VLOOKUP($O23,'Table 3 WW Wind 2035'!$B$10:$J$36,9,FALSE)</f>
        <v>50.58</v>
      </c>
      <c r="BL23">
        <f>VLOOKUP($O23,'Table 3 YK Wind 2035'!$B$10:$J$36,9,FALSE)</f>
        <v>50.58</v>
      </c>
      <c r="BM23">
        <f>VLOOKUP($O23,'Table 3 OR Wind 2035'!$B$10:$J$36,9,FALSE)</f>
        <v>50.58</v>
      </c>
      <c r="BN23">
        <f>VLOOKUP($O23,'Table 3 UT Wind 2030'!$B$10:$J$36,9,FALSE)</f>
        <v>146.63999999999999</v>
      </c>
      <c r="BO23">
        <f>VLOOKUP($O23,'Table 3 UT Wind 2036'!$B$10:$J$36,9,FALSE)</f>
        <v>50.58</v>
      </c>
      <c r="BP23">
        <f>VLOOKUP($O23,'Table 3 YK Solar 2030'!$B$10:$J$36,9,FALSE)</f>
        <v>117.29</v>
      </c>
      <c r="BQ23">
        <f>VLOOKUP($O23,'Table 3 YK Solar 2032'!$B$10:$J$36,9,FALSE)</f>
        <v>25.23</v>
      </c>
      <c r="BR23">
        <f>VLOOKUP($O23,'Table 3 YK Solar 2033'!$B$10:$J$36,9,FALSE)</f>
        <v>25.23</v>
      </c>
      <c r="BS23">
        <f>VLOOKUP($O23,'Table 3 UT Solar 2033 ST'!$B$10:$J$36,9,FALSE)</f>
        <v>26.51</v>
      </c>
      <c r="BT23">
        <f>VLOOKUP($O23,'Table 3 UT Solar 2035 ST'!$B$10:$J$36,9,FALSE)</f>
        <v>26.51</v>
      </c>
      <c r="BU23">
        <f>VLOOKUP($O23,'Table 3 UT Solar 2035 FT'!$B$10:$J$36,9,FALSE)</f>
        <v>25.2</v>
      </c>
      <c r="BV23">
        <f>VLOOKUP($O23,'Table 3 OR Solar 2030'!$B$10:$J$36,9,FALSE)</f>
        <v>120.37</v>
      </c>
      <c r="BW23">
        <f>VLOOKUP($O23,'Table 3 OR Solar 2031'!$B$10:$J$36,9,FALSE)</f>
        <v>26.54</v>
      </c>
      <c r="BX23">
        <f>VLOOKUP($O23,'Table 3 OR Solar 2032'!$B$10:$J$36,9,FALSE)</f>
        <v>26.54</v>
      </c>
      <c r="BY23">
        <f>VLOOKUP($O23,'Table 3 OR Solar 2033'!$B$10:$J$36,9,FALSE)</f>
        <v>26.54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2030</v>
      </c>
      <c r="CX23" s="89">
        <f>IFERROR(VLOOKUP($CW23,'Table 3 TransCost D2 '!$B$10:$E$34,4,FALSE),0)</f>
        <v>59.919999999999995</v>
      </c>
      <c r="CY23" s="193">
        <f t="shared" si="27"/>
        <v>0</v>
      </c>
    </row>
    <row r="24" spans="2:103" hidden="1">
      <c r="B24" s="15">
        <f t="shared" si="25"/>
        <v>2031</v>
      </c>
      <c r="C24" s="9">
        <f t="shared" si="3"/>
        <v>0</v>
      </c>
      <c r="D24" s="45"/>
      <c r="E24" s="9" t="e">
        <f t="shared" ca="1" si="26"/>
        <v>#DIV/0!</v>
      </c>
      <c r="F24" s="37"/>
      <c r="G24" s="14" t="e">
        <f t="shared" ca="1" si="28"/>
        <v>#DIV/0!</v>
      </c>
      <c r="H24" s="36"/>
      <c r="I24" s="193"/>
      <c r="J24" s="193"/>
      <c r="M24" s="116"/>
      <c r="O24">
        <f t="shared" si="4"/>
        <v>2031</v>
      </c>
      <c r="P24">
        <v>0</v>
      </c>
      <c r="Q24">
        <v>0</v>
      </c>
      <c r="R24">
        <v>0</v>
      </c>
      <c r="S24" s="193">
        <v>0</v>
      </c>
      <c r="T24" s="193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138.53</v>
      </c>
      <c r="BG24">
        <f>VLOOKUP($O24,'Table 3 EV2020 Wind_2021'!$B$10:$K$36,10,FALSE)</f>
        <v>136.11000000000001</v>
      </c>
      <c r="BH24">
        <f>VLOOKUP($O24,'Table 3 DJ Wind 2030'!$B$10:$J$36,9,FALSE)</f>
        <v>153.38</v>
      </c>
      <c r="BI24">
        <f>VLOOKUP($O24,'Table 3 ID Wind 2030'!$B$10:$J$36,9,FALSE)</f>
        <v>154.29</v>
      </c>
      <c r="BJ24">
        <f>VLOOKUP($O24,'Table 3 ID Wind 2033'!$B$10:$J$36,9,FALSE)</f>
        <v>51.74</v>
      </c>
      <c r="BK24">
        <f>VLOOKUP($O24,'Table 3 WW Wind 2035'!$B$10:$J$36,9,FALSE)</f>
        <v>51.74</v>
      </c>
      <c r="BL24">
        <f>VLOOKUP($O24,'Table 3 YK Wind 2035'!$B$10:$J$36,9,FALSE)</f>
        <v>51.74</v>
      </c>
      <c r="BM24">
        <f>VLOOKUP($O24,'Table 3 OR Wind 2035'!$B$10:$J$36,9,FALSE)</f>
        <v>51.74</v>
      </c>
      <c r="BN24">
        <f>VLOOKUP($O24,'Table 3 UT Wind 2030'!$B$10:$J$36,9,FALSE)</f>
        <v>150.01</v>
      </c>
      <c r="BO24">
        <f>VLOOKUP($O24,'Table 3 UT Wind 2036'!$B$10:$J$36,9,FALSE)</f>
        <v>51.74</v>
      </c>
      <c r="BP24">
        <f>VLOOKUP($O24,'Table 3 YK Solar 2030'!$B$10:$J$36,9,FALSE)</f>
        <v>119.98</v>
      </c>
      <c r="BQ24">
        <f>VLOOKUP($O24,'Table 3 YK Solar 2032'!$B$10:$J$36,9,FALSE)</f>
        <v>25.81</v>
      </c>
      <c r="BR24">
        <f>VLOOKUP($O24,'Table 3 YK Solar 2033'!$B$10:$J$36,9,FALSE)</f>
        <v>25.81</v>
      </c>
      <c r="BS24">
        <f>VLOOKUP($O24,'Table 3 UT Solar 2033 ST'!$B$10:$J$36,9,FALSE)</f>
        <v>27.12</v>
      </c>
      <c r="BT24">
        <f>VLOOKUP($O24,'Table 3 UT Solar 2035 ST'!$B$10:$J$36,9,FALSE)</f>
        <v>27.12</v>
      </c>
      <c r="BU24">
        <f>VLOOKUP($O24,'Table 3 UT Solar 2035 FT'!$B$10:$J$36,9,FALSE)</f>
        <v>25.78</v>
      </c>
      <c r="BV24">
        <f>VLOOKUP($O24,'Table 3 OR Solar 2030'!$B$10:$J$36,9,FALSE)</f>
        <v>123.13</v>
      </c>
      <c r="BW24">
        <f>VLOOKUP($O24,'Table 3 OR Solar 2031'!$B$10:$J$36,9,FALSE)</f>
        <v>120.44</v>
      </c>
      <c r="BX24">
        <f>VLOOKUP($O24,'Table 3 OR Solar 2032'!$B$10:$J$36,9,FALSE)</f>
        <v>27.15</v>
      </c>
      <c r="BY24">
        <f>VLOOKUP($O24,'Table 3 OR Solar 2033'!$B$10:$J$36,9,FALSE)</f>
        <v>27.15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2031</v>
      </c>
      <c r="CX24" s="89">
        <f>IFERROR(VLOOKUP($CW24,'Table 3 TransCost D2 '!$B$10:$E$34,4,FALSE),0)</f>
        <v>61.29999999999999</v>
      </c>
      <c r="CY24" s="193">
        <f t="shared" si="27"/>
        <v>0</v>
      </c>
    </row>
    <row r="25" spans="2:103" hidden="1">
      <c r="B25" s="15">
        <f t="shared" si="25"/>
        <v>2032</v>
      </c>
      <c r="C25" s="9">
        <f t="shared" si="3"/>
        <v>0</v>
      </c>
      <c r="D25" s="45"/>
      <c r="E25" s="9" t="e">
        <f t="shared" ca="1" si="26"/>
        <v>#DIV/0!</v>
      </c>
      <c r="F25" s="37"/>
      <c r="G25" s="14" t="e">
        <f t="shared" ca="1" si="28"/>
        <v>#DIV/0!</v>
      </c>
      <c r="H25" s="36"/>
      <c r="I25" s="193"/>
      <c r="J25" s="193"/>
      <c r="M25" s="116"/>
      <c r="O25">
        <f t="shared" si="4"/>
        <v>2032</v>
      </c>
      <c r="P25">
        <v>0</v>
      </c>
      <c r="Q25">
        <v>0</v>
      </c>
      <c r="R25">
        <v>0</v>
      </c>
      <c r="S25" s="193">
        <v>0</v>
      </c>
      <c r="T25" s="193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141.72999999999999</v>
      </c>
      <c r="BG25">
        <f>VLOOKUP($O25,'Table 3 EV2020 Wind_2021'!$B$10:$K$36,10,FALSE)</f>
        <v>139.26</v>
      </c>
      <c r="BH25">
        <f>VLOOKUP($O25,'Table 3 DJ Wind 2030'!$B$10:$J$36,9,FALSE)</f>
        <v>156.9</v>
      </c>
      <c r="BI25">
        <f>VLOOKUP($O25,'Table 3 ID Wind 2030'!$B$10:$J$36,9,FALSE)</f>
        <v>157.84</v>
      </c>
      <c r="BJ25">
        <f>VLOOKUP($O25,'Table 3 ID Wind 2033'!$B$10:$J$36,9,FALSE)</f>
        <v>52.93</v>
      </c>
      <c r="BK25">
        <f>VLOOKUP($O25,'Table 3 WW Wind 2035'!$B$10:$J$36,9,FALSE)</f>
        <v>52.93</v>
      </c>
      <c r="BL25">
        <f>VLOOKUP($O25,'Table 3 YK Wind 2035'!$B$10:$J$36,9,FALSE)</f>
        <v>52.93</v>
      </c>
      <c r="BM25">
        <f>VLOOKUP($O25,'Table 3 OR Wind 2035'!$B$10:$J$36,9,FALSE)</f>
        <v>52.93</v>
      </c>
      <c r="BN25">
        <f>VLOOKUP($O25,'Table 3 UT Wind 2030'!$B$10:$J$36,9,FALSE)</f>
        <v>153.46</v>
      </c>
      <c r="BO25">
        <f>VLOOKUP($O25,'Table 3 UT Wind 2036'!$B$10:$J$36,9,FALSE)</f>
        <v>52.93</v>
      </c>
      <c r="BP25">
        <f>VLOOKUP($O25,'Table 3 YK Solar 2030'!$B$10:$J$36,9,FALSE)</f>
        <v>122.74</v>
      </c>
      <c r="BQ25">
        <f>VLOOKUP($O25,'Table 3 YK Solar 2032'!$B$10:$J$36,9,FALSE)</f>
        <v>117.41</v>
      </c>
      <c r="BR25">
        <f>VLOOKUP($O25,'Table 3 YK Solar 2033'!$B$10:$J$36,9,FALSE)</f>
        <v>26.4</v>
      </c>
      <c r="BS25">
        <f>VLOOKUP($O25,'Table 3 UT Solar 2033 ST'!$B$10:$J$36,9,FALSE)</f>
        <v>27.74</v>
      </c>
      <c r="BT25">
        <f>VLOOKUP($O25,'Table 3 UT Solar 2035 ST'!$B$10:$J$36,9,FALSE)</f>
        <v>27.74</v>
      </c>
      <c r="BU25">
        <f>VLOOKUP($O25,'Table 3 UT Solar 2035 FT'!$B$10:$J$36,9,FALSE)</f>
        <v>26.37</v>
      </c>
      <c r="BV25">
        <f>VLOOKUP($O25,'Table 3 OR Solar 2030'!$B$10:$J$36,9,FALSE)</f>
        <v>125.96</v>
      </c>
      <c r="BW25">
        <f>VLOOKUP($O25,'Table 3 OR Solar 2031'!$B$10:$J$36,9,FALSE)</f>
        <v>123.21</v>
      </c>
      <c r="BX25">
        <f>VLOOKUP($O25,'Table 3 OR Solar 2032'!$B$10:$J$36,9,FALSE)</f>
        <v>120.53</v>
      </c>
      <c r="BY25">
        <f>VLOOKUP($O25,'Table 3 OR Solar 2033'!$B$10:$J$36,9,FALSE)</f>
        <v>27.77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2032</v>
      </c>
      <c r="CX25" s="89">
        <f>IFERROR(VLOOKUP($CW25,'Table 3 TransCost D2 '!$B$10:$E$34,4,FALSE),0)</f>
        <v>62.71</v>
      </c>
      <c r="CY25" s="193">
        <f t="shared" si="27"/>
        <v>0</v>
      </c>
    </row>
    <row r="26" spans="2:103" hidden="1">
      <c r="B26" s="15">
        <f t="shared" si="25"/>
        <v>2033</v>
      </c>
      <c r="C26" s="9">
        <f t="shared" si="3"/>
        <v>0</v>
      </c>
      <c r="D26" s="45"/>
      <c r="E26" s="9" t="e">
        <f t="shared" ca="1" si="26"/>
        <v>#DIV/0!</v>
      </c>
      <c r="F26" s="37"/>
      <c r="G26" s="14" t="e">
        <f t="shared" ca="1" si="28"/>
        <v>#DIV/0!</v>
      </c>
      <c r="H26" s="36"/>
      <c r="I26" s="193"/>
      <c r="J26" s="193"/>
      <c r="M26" s="116"/>
      <c r="O26">
        <f t="shared" si="4"/>
        <v>2033</v>
      </c>
      <c r="P26">
        <v>0</v>
      </c>
      <c r="Q26">
        <v>0</v>
      </c>
      <c r="R26">
        <v>0</v>
      </c>
      <c r="S26" s="193">
        <v>0</v>
      </c>
      <c r="T26" s="193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145</v>
      </c>
      <c r="BG26">
        <f>VLOOKUP($O26,'Table 3 EV2020 Wind_2021'!$B$10:$K$36,10,FALSE)</f>
        <v>142.47</v>
      </c>
      <c r="BH26">
        <f>VLOOKUP($O26,'Table 3 DJ Wind 2030'!$B$10:$J$36,9,FALSE)</f>
        <v>160.5</v>
      </c>
      <c r="BI26">
        <f>VLOOKUP($O26,'Table 3 ID Wind 2030'!$B$10:$J$36,9,FALSE)</f>
        <v>161.47</v>
      </c>
      <c r="BJ26">
        <f>VLOOKUP($O26,'Table 3 ID Wind 2033'!$B$10:$J$36,9,FALSE)</f>
        <v>155.06</v>
      </c>
      <c r="BK26">
        <f>VLOOKUP($O26,'Table 3 WW Wind 2035'!$B$10:$J$36,9,FALSE)</f>
        <v>54.15</v>
      </c>
      <c r="BL26">
        <f>VLOOKUP($O26,'Table 3 YK Wind 2035'!$B$10:$J$36,9,FALSE)</f>
        <v>54.15</v>
      </c>
      <c r="BM26">
        <f>VLOOKUP($O26,'Table 3 OR Wind 2035'!$B$10:$J$36,9,FALSE)</f>
        <v>54.15</v>
      </c>
      <c r="BN26">
        <f>VLOOKUP($O26,'Table 3 UT Wind 2030'!$B$10:$J$36,9,FALSE)</f>
        <v>156.99</v>
      </c>
      <c r="BO26">
        <f>VLOOKUP($O26,'Table 3 UT Wind 2036'!$B$10:$J$36,9,FALSE)</f>
        <v>54.15</v>
      </c>
      <c r="BP26">
        <f>VLOOKUP($O26,'Table 3 YK Solar 2030'!$B$10:$J$36,9,FALSE)</f>
        <v>125.57</v>
      </c>
      <c r="BQ26">
        <f>VLOOKUP($O26,'Table 3 YK Solar 2032'!$B$10:$J$36,9,FALSE)</f>
        <v>120.11</v>
      </c>
      <c r="BR26">
        <f>VLOOKUP($O26,'Table 3 YK Solar 2033'!$B$10:$J$36,9,FALSE)</f>
        <v>117.5</v>
      </c>
      <c r="BS26">
        <f>VLOOKUP($O26,'Table 3 UT Solar 2033 ST'!$B$10:$J$36,9,FALSE)</f>
        <v>118.38</v>
      </c>
      <c r="BT26">
        <f>VLOOKUP($O26,'Table 3 UT Solar 2035 ST'!$B$10:$J$36,9,FALSE)</f>
        <v>28.38</v>
      </c>
      <c r="BU26">
        <f>VLOOKUP($O26,'Table 3 UT Solar 2035 FT'!$B$10:$J$36,9,FALSE)</f>
        <v>26.98</v>
      </c>
      <c r="BV26">
        <f>VLOOKUP($O26,'Table 3 OR Solar 2030'!$B$10:$J$36,9,FALSE)</f>
        <v>128.86000000000001</v>
      </c>
      <c r="BW26">
        <f>VLOOKUP($O26,'Table 3 OR Solar 2031'!$B$10:$J$36,9,FALSE)</f>
        <v>126.05</v>
      </c>
      <c r="BX26">
        <f>VLOOKUP($O26,'Table 3 OR Solar 2032'!$B$10:$J$36,9,FALSE)</f>
        <v>123.3</v>
      </c>
      <c r="BY26">
        <f>VLOOKUP($O26,'Table 3 OR Solar 2033'!$B$10:$J$36,9,FALSE)</f>
        <v>120.64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2033</v>
      </c>
      <c r="CX26" s="89">
        <f>IFERROR(VLOOKUP($CW26,'Table 3 TransCost D2 '!$B$10:$E$34,4,FALSE),0)</f>
        <v>64.150000000000006</v>
      </c>
      <c r="CY26" s="193">
        <f t="shared" si="27"/>
        <v>0</v>
      </c>
    </row>
    <row r="27" spans="2:103" hidden="1">
      <c r="B27" s="15">
        <f t="shared" si="25"/>
        <v>2034</v>
      </c>
      <c r="C27" s="9">
        <f t="shared" si="3"/>
        <v>0</v>
      </c>
      <c r="D27" s="45"/>
      <c r="E27" s="9" t="e">
        <f t="shared" ca="1" si="26"/>
        <v>#DIV/0!</v>
      </c>
      <c r="F27" s="37"/>
      <c r="G27" s="14" t="e">
        <f t="shared" ca="1" si="28"/>
        <v>#DIV/0!</v>
      </c>
      <c r="H27" s="36"/>
      <c r="I27" s="193"/>
      <c r="J27" s="193"/>
      <c r="M27" s="116"/>
      <c r="O27">
        <f t="shared" si="4"/>
        <v>2034</v>
      </c>
      <c r="P27">
        <v>0</v>
      </c>
      <c r="Q27">
        <v>0</v>
      </c>
      <c r="R27">
        <v>0</v>
      </c>
      <c r="S27" s="193">
        <v>0</v>
      </c>
      <c r="T27" s="193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148.34</v>
      </c>
      <c r="BG27">
        <f>VLOOKUP($O27,'Table 3 EV2020 Wind_2021'!$B$10:$K$36,10,FALSE)</f>
        <v>145.75</v>
      </c>
      <c r="BH27">
        <f>VLOOKUP($O27,'Table 3 DJ Wind 2030'!$B$10:$J$36,9,FALSE)</f>
        <v>164.19</v>
      </c>
      <c r="BI27">
        <f>VLOOKUP($O27,'Table 3 ID Wind 2030'!$B$10:$J$36,9,FALSE)</f>
        <v>165.19</v>
      </c>
      <c r="BJ27">
        <f>VLOOKUP($O27,'Table 3 ID Wind 2033'!$B$10:$J$36,9,FALSE)</f>
        <v>158.63</v>
      </c>
      <c r="BK27">
        <f>VLOOKUP($O27,'Table 3 WW Wind 2035'!$B$10:$J$36,9,FALSE)</f>
        <v>55.4</v>
      </c>
      <c r="BL27">
        <f>VLOOKUP($O27,'Table 3 YK Wind 2035'!$B$10:$J$36,9,FALSE)</f>
        <v>55.4</v>
      </c>
      <c r="BM27">
        <f>VLOOKUP($O27,'Table 3 OR Wind 2035'!$B$10:$J$36,9,FALSE)</f>
        <v>55.4</v>
      </c>
      <c r="BN27">
        <f>VLOOKUP($O27,'Table 3 UT Wind 2030'!$B$10:$J$36,9,FALSE)</f>
        <v>160.61000000000001</v>
      </c>
      <c r="BO27">
        <f>VLOOKUP($O27,'Table 3 UT Wind 2036'!$B$10:$J$36,9,FALSE)</f>
        <v>55.4</v>
      </c>
      <c r="BP27">
        <f>VLOOKUP($O27,'Table 3 YK Solar 2030'!$B$10:$J$36,9,FALSE)</f>
        <v>128.46</v>
      </c>
      <c r="BQ27">
        <f>VLOOKUP($O27,'Table 3 YK Solar 2032'!$B$10:$J$36,9,FALSE)</f>
        <v>122.87</v>
      </c>
      <c r="BR27">
        <f>VLOOKUP($O27,'Table 3 YK Solar 2033'!$B$10:$J$36,9,FALSE)</f>
        <v>120.2</v>
      </c>
      <c r="BS27">
        <f>VLOOKUP($O27,'Table 3 UT Solar 2033 ST'!$B$10:$J$36,9,FALSE)</f>
        <v>121.1</v>
      </c>
      <c r="BT27">
        <f>VLOOKUP($O27,'Table 3 UT Solar 2035 ST'!$B$10:$J$36,9,FALSE)</f>
        <v>29.03</v>
      </c>
      <c r="BU27">
        <f>VLOOKUP($O27,'Table 3 UT Solar 2035 FT'!$B$10:$J$36,9,FALSE)</f>
        <v>27.6</v>
      </c>
      <c r="BV27">
        <f>VLOOKUP($O27,'Table 3 OR Solar 2030'!$B$10:$J$36,9,FALSE)</f>
        <v>131.82</v>
      </c>
      <c r="BW27">
        <f>VLOOKUP($O27,'Table 3 OR Solar 2031'!$B$10:$J$36,9,FALSE)</f>
        <v>128.94999999999999</v>
      </c>
      <c r="BX27">
        <f>VLOOKUP($O27,'Table 3 OR Solar 2032'!$B$10:$J$36,9,FALSE)</f>
        <v>126.13</v>
      </c>
      <c r="BY27">
        <f>VLOOKUP($O27,'Table 3 OR Solar 2033'!$B$10:$J$36,9,FALSE)</f>
        <v>123.41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2034</v>
      </c>
      <c r="CX27" s="89">
        <f>IFERROR(VLOOKUP($CW27,'Table 3 TransCost D2 '!$B$10:$E$34,4,FALSE),0)</f>
        <v>65.63</v>
      </c>
      <c r="CY27" s="193">
        <f t="shared" si="27"/>
        <v>0</v>
      </c>
    </row>
    <row r="28" spans="2:103" hidden="1">
      <c r="B28" s="15">
        <f t="shared" si="25"/>
        <v>2035</v>
      </c>
      <c r="C28" s="9">
        <f t="shared" si="3"/>
        <v>0</v>
      </c>
      <c r="D28" s="45"/>
      <c r="E28" s="9" t="e">
        <f t="shared" ca="1" si="26"/>
        <v>#DIV/0!</v>
      </c>
      <c r="F28" s="37"/>
      <c r="G28" s="14" t="e">
        <f t="shared" ca="1" si="28"/>
        <v>#DIV/0!</v>
      </c>
      <c r="H28" s="36"/>
      <c r="I28" s="193"/>
      <c r="J28" s="193"/>
      <c r="M28" s="116"/>
      <c r="O28">
        <f t="shared" si="4"/>
        <v>2035</v>
      </c>
      <c r="P28">
        <v>0</v>
      </c>
      <c r="Q28">
        <v>0</v>
      </c>
      <c r="R28">
        <v>0</v>
      </c>
      <c r="S28" s="193">
        <v>0</v>
      </c>
      <c r="T28" s="193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151.61000000000001</v>
      </c>
      <c r="BG28">
        <f>VLOOKUP($O28,'Table 3 EV2020 Wind_2021'!$B$10:$K$36,10,FALSE)</f>
        <v>148.96</v>
      </c>
      <c r="BH28">
        <f>VLOOKUP($O28,'Table 3 DJ Wind 2030'!$B$10:$J$36,9,FALSE)</f>
        <v>167.81</v>
      </c>
      <c r="BI28">
        <f>VLOOKUP($O28,'Table 3 ID Wind 2030'!$B$10:$J$36,9,FALSE)</f>
        <v>168.83</v>
      </c>
      <c r="BJ28">
        <f>VLOOKUP($O28,'Table 3 ID Wind 2033'!$B$10:$J$36,9,FALSE)</f>
        <v>162.12</v>
      </c>
      <c r="BK28">
        <f>VLOOKUP($O28,'Table 3 WW Wind 2035'!$B$10:$J$36,9,FALSE)</f>
        <v>157.34</v>
      </c>
      <c r="BL28">
        <f>VLOOKUP($O28,'Table 3 YK Wind 2035'!$B$10:$J$36,9,FALSE)</f>
        <v>157.34</v>
      </c>
      <c r="BM28">
        <f>VLOOKUP($O28,'Table 3 OR Wind 2035'!$B$10:$J$36,9,FALSE)</f>
        <v>155.9</v>
      </c>
      <c r="BN28">
        <f>VLOOKUP($O28,'Table 3 UT Wind 2030'!$B$10:$J$36,9,FALSE)</f>
        <v>164.14</v>
      </c>
      <c r="BO28">
        <f>VLOOKUP($O28,'Table 3 UT Wind 2036'!$B$10:$J$36,9,FALSE)</f>
        <v>56.62</v>
      </c>
      <c r="BP28">
        <f>VLOOKUP($O28,'Table 3 YK Solar 2030'!$B$10:$J$36,9,FALSE)</f>
        <v>131.29</v>
      </c>
      <c r="BQ28">
        <f>VLOOKUP($O28,'Table 3 YK Solar 2032'!$B$10:$J$36,9,FALSE)</f>
        <v>125.58</v>
      </c>
      <c r="BR28">
        <f>VLOOKUP($O28,'Table 3 YK Solar 2033'!$B$10:$J$36,9,FALSE)</f>
        <v>122.85</v>
      </c>
      <c r="BS28">
        <f>VLOOKUP($O28,'Table 3 UT Solar 2033 ST'!$B$10:$J$36,9,FALSE)</f>
        <v>123.77</v>
      </c>
      <c r="BT28">
        <f>VLOOKUP($O28,'Table 3 UT Solar 2035 ST'!$B$10:$J$36,9,FALSE)</f>
        <v>118.65</v>
      </c>
      <c r="BU28">
        <f>VLOOKUP($O28,'Table 3 UT Solar 2035 FT'!$B$10:$J$36,9,FALSE)</f>
        <v>115.37</v>
      </c>
      <c r="BV28">
        <f>VLOOKUP($O28,'Table 3 OR Solar 2030'!$B$10:$J$36,9,FALSE)</f>
        <v>134.72</v>
      </c>
      <c r="BW28">
        <f>VLOOKUP($O28,'Table 3 OR Solar 2031'!$B$10:$J$36,9,FALSE)</f>
        <v>131.79</v>
      </c>
      <c r="BX28">
        <f>VLOOKUP($O28,'Table 3 OR Solar 2032'!$B$10:$J$36,9,FALSE)</f>
        <v>128.91</v>
      </c>
      <c r="BY28">
        <f>VLOOKUP($O28,'Table 3 OR Solar 2033'!$B$10:$J$36,9,FALSE)</f>
        <v>126.13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2035</v>
      </c>
      <c r="CX28" s="89">
        <f>IFERROR(VLOOKUP($CW28,'Table 3 TransCost D2 '!$B$10:$E$34,4,FALSE),0)</f>
        <v>67.069999999999993</v>
      </c>
      <c r="CY28" s="193">
        <f t="shared" si="27"/>
        <v>0</v>
      </c>
    </row>
    <row r="29" spans="2:103" hidden="1">
      <c r="B29" s="15">
        <f t="shared" si="25"/>
        <v>2036</v>
      </c>
      <c r="C29" s="9">
        <f t="shared" si="3"/>
        <v>0</v>
      </c>
      <c r="D29" s="45"/>
      <c r="E29" s="9" t="e">
        <f t="shared" ca="1" si="26"/>
        <v>#DIV/0!</v>
      </c>
      <c r="F29" s="37"/>
      <c r="G29" s="14" t="e">
        <f t="shared" ca="1" si="28"/>
        <v>#DIV/0!</v>
      </c>
      <c r="H29" s="36"/>
      <c r="I29" s="193"/>
      <c r="J29" s="193"/>
      <c r="M29" s="116"/>
      <c r="O29">
        <f t="shared" si="4"/>
        <v>2036</v>
      </c>
      <c r="P29">
        <v>0</v>
      </c>
      <c r="Q29">
        <v>0</v>
      </c>
      <c r="R29">
        <v>0</v>
      </c>
      <c r="S29" s="193">
        <v>0</v>
      </c>
      <c r="T29" s="193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154.94999999999999</v>
      </c>
      <c r="BG29">
        <f>VLOOKUP($O29,'Table 3 EV2020 Wind_2021'!$B$10:$K$36,10,FALSE)</f>
        <v>152.24</v>
      </c>
      <c r="BH29">
        <f>VLOOKUP($O29,'Table 3 DJ Wind 2030'!$B$10:$J$36,9,FALSE)</f>
        <v>171.5</v>
      </c>
      <c r="BI29">
        <f>VLOOKUP($O29,'Table 3 ID Wind 2030'!$B$10:$J$36,9,FALSE)</f>
        <v>172.55</v>
      </c>
      <c r="BJ29">
        <f>VLOOKUP($O29,'Table 3 ID Wind 2033'!$B$10:$J$36,9,FALSE)</f>
        <v>165.69</v>
      </c>
      <c r="BK29">
        <f>VLOOKUP($O29,'Table 3 WW Wind 2035'!$B$10:$J$36,9,FALSE)</f>
        <v>160.81</v>
      </c>
      <c r="BL29">
        <f>VLOOKUP($O29,'Table 3 YK Wind 2035'!$B$10:$J$36,9,FALSE)</f>
        <v>160.81</v>
      </c>
      <c r="BM29">
        <f>VLOOKUP($O29,'Table 3 OR Wind 2035'!$B$10:$J$36,9,FALSE)</f>
        <v>159.33000000000001</v>
      </c>
      <c r="BN29">
        <f>VLOOKUP($O29,'Table 3 UT Wind 2030'!$B$10:$J$36,9,FALSE)</f>
        <v>167.76</v>
      </c>
      <c r="BO29">
        <f>VLOOKUP($O29,'Table 3 UT Wind 2036'!$B$10:$J$36,9,FALSE)</f>
        <v>155.19999999999999</v>
      </c>
      <c r="BP29">
        <f>VLOOKUP($O29,'Table 3 YK Solar 2030'!$B$10:$J$36,9,FALSE)</f>
        <v>134.18</v>
      </c>
      <c r="BQ29">
        <f>VLOOKUP($O29,'Table 3 YK Solar 2032'!$B$10:$J$36,9,FALSE)</f>
        <v>128.34</v>
      </c>
      <c r="BR29">
        <f>VLOOKUP($O29,'Table 3 YK Solar 2033'!$B$10:$J$36,9,FALSE)</f>
        <v>125.55</v>
      </c>
      <c r="BS29">
        <f>VLOOKUP($O29,'Table 3 UT Solar 2033 ST'!$B$10:$J$36,9,FALSE)</f>
        <v>126.49</v>
      </c>
      <c r="BT29">
        <f>VLOOKUP($O29,'Table 3 UT Solar 2035 ST'!$B$10:$J$36,9,FALSE)</f>
        <v>121.26</v>
      </c>
      <c r="BU29">
        <f>VLOOKUP($O29,'Table 3 UT Solar 2035 FT'!$B$10:$J$36,9,FALSE)</f>
        <v>117.91</v>
      </c>
      <c r="BV29">
        <f>VLOOKUP($O29,'Table 3 OR Solar 2030'!$B$10:$J$36,9,FALSE)</f>
        <v>137.68</v>
      </c>
      <c r="BW29">
        <f>VLOOKUP($O29,'Table 3 OR Solar 2031'!$B$10:$J$36,9,FALSE)</f>
        <v>134.69</v>
      </c>
      <c r="BX29">
        <f>VLOOKUP($O29,'Table 3 OR Solar 2032'!$B$10:$J$36,9,FALSE)</f>
        <v>131.74</v>
      </c>
      <c r="BY29">
        <f>VLOOKUP($O29,'Table 3 OR Solar 2033'!$B$10:$J$36,9,FALSE)</f>
        <v>128.9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2036</v>
      </c>
      <c r="CX29" s="89">
        <f>IFERROR(VLOOKUP($CW29,'Table 3 TransCost D2 '!$B$10:$E$34,4,FALSE),0)</f>
        <v>68.55</v>
      </c>
      <c r="CY29" s="193">
        <f t="shared" si="27"/>
        <v>0</v>
      </c>
    </row>
    <row r="30" spans="2:103" hidden="1">
      <c r="B30" s="15">
        <f t="shared" si="25"/>
        <v>2037</v>
      </c>
      <c r="C30" s="9">
        <f t="shared" si="3"/>
        <v>0</v>
      </c>
      <c r="D30" s="45"/>
      <c r="E30" s="9" t="e">
        <f t="shared" ca="1" si="26"/>
        <v>#DIV/0!</v>
      </c>
      <c r="F30" s="37"/>
      <c r="G30" s="14" t="e">
        <f t="shared" ca="1" si="28"/>
        <v>#DIV/0!</v>
      </c>
      <c r="H30" s="36"/>
      <c r="I30" s="193"/>
      <c r="J30" s="193"/>
      <c r="M30" s="116"/>
      <c r="O30">
        <f t="shared" si="4"/>
        <v>2037</v>
      </c>
      <c r="P30">
        <v>0</v>
      </c>
      <c r="Q30">
        <v>0</v>
      </c>
      <c r="R30">
        <v>0</v>
      </c>
      <c r="S30" s="193">
        <v>0</v>
      </c>
      <c r="T30" s="193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158.35</v>
      </c>
      <c r="BG30">
        <f>VLOOKUP($O30,'Table 3 EV2020 Wind_2021'!$B$10:$K$36,10,FALSE)</f>
        <v>155.58000000000001</v>
      </c>
      <c r="BH30">
        <f>VLOOKUP($O30,'Table 3 DJ Wind 2030'!$B$10:$J$36,9,FALSE)</f>
        <v>175.26</v>
      </c>
      <c r="BI30">
        <f>VLOOKUP($O30,'Table 3 ID Wind 2030'!$B$10:$J$36,9,FALSE)</f>
        <v>176.34</v>
      </c>
      <c r="BJ30">
        <f>VLOOKUP($O30,'Table 3 ID Wind 2033'!$B$10:$J$36,9,FALSE)</f>
        <v>169.33</v>
      </c>
      <c r="BK30">
        <f>VLOOKUP($O30,'Table 3 WW Wind 2035'!$B$10:$J$36,9,FALSE)</f>
        <v>164.34</v>
      </c>
      <c r="BL30">
        <f>VLOOKUP($O30,'Table 3 YK Wind 2035'!$B$10:$J$36,9,FALSE)</f>
        <v>164.34</v>
      </c>
      <c r="BM30">
        <f>VLOOKUP($O30,'Table 3 OR Wind 2035'!$B$10:$J$36,9,FALSE)</f>
        <v>162.83000000000001</v>
      </c>
      <c r="BN30">
        <f>VLOOKUP($O30,'Table 3 UT Wind 2030'!$B$10:$J$36,9,FALSE)</f>
        <v>171.45</v>
      </c>
      <c r="BO30">
        <f>VLOOKUP($O30,'Table 3 UT Wind 2036'!$B$10:$J$36,9,FALSE)</f>
        <v>158.62</v>
      </c>
      <c r="BP30">
        <f>VLOOKUP($O30,'Table 3 YK Solar 2030'!$B$10:$J$36,9,FALSE)</f>
        <v>137.13</v>
      </c>
      <c r="BQ30">
        <f>VLOOKUP($O30,'Table 3 YK Solar 2032'!$B$10:$J$36,9,FALSE)</f>
        <v>131.16</v>
      </c>
      <c r="BR30">
        <f>VLOOKUP($O30,'Table 3 YK Solar 2033'!$B$10:$J$36,9,FALSE)</f>
        <v>128.31</v>
      </c>
      <c r="BS30">
        <f>VLOOKUP($O30,'Table 3 UT Solar 2033 ST'!$B$10:$J$36,9,FALSE)</f>
        <v>129.28</v>
      </c>
      <c r="BT30">
        <f>VLOOKUP($O30,'Table 3 UT Solar 2035 ST'!$B$10:$J$36,9,FALSE)</f>
        <v>123.93</v>
      </c>
      <c r="BU30">
        <f>VLOOKUP($O30,'Table 3 UT Solar 2035 FT'!$B$10:$J$36,9,FALSE)</f>
        <v>120.5</v>
      </c>
      <c r="BV30">
        <f>VLOOKUP($O30,'Table 3 OR Solar 2030'!$B$10:$J$36,9,FALSE)</f>
        <v>140.71</v>
      </c>
      <c r="BW30">
        <f>VLOOKUP($O30,'Table 3 OR Solar 2031'!$B$10:$J$36,9,FALSE)</f>
        <v>137.66</v>
      </c>
      <c r="BX30">
        <f>VLOOKUP($O30,'Table 3 OR Solar 2032'!$B$10:$J$36,9,FALSE)</f>
        <v>134.63999999999999</v>
      </c>
      <c r="BY30">
        <f>VLOOKUP($O30,'Table 3 OR Solar 2033'!$B$10:$J$36,9,FALSE)</f>
        <v>131.74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2037</v>
      </c>
      <c r="CX30" s="89">
        <f>IFERROR(VLOOKUP($CW30,'Table 3 TransCost D2 '!$B$10:$E$34,4,FALSE),0)</f>
        <v>70.06</v>
      </c>
      <c r="CY30" s="193">
        <f t="shared" si="27"/>
        <v>0</v>
      </c>
    </row>
    <row r="31" spans="2:103" hidden="1">
      <c r="B31" s="15">
        <f t="shared" si="25"/>
        <v>2038</v>
      </c>
      <c r="C31" s="9">
        <f t="shared" si="3"/>
        <v>0</v>
      </c>
      <c r="D31" s="45"/>
      <c r="E31" s="9" t="e">
        <f t="shared" ca="1" si="26"/>
        <v>#DIV/0!</v>
      </c>
      <c r="F31" s="37"/>
      <c r="G31" s="14" t="e">
        <f t="shared" ca="1" si="28"/>
        <v>#DIV/0!</v>
      </c>
      <c r="H31" s="36"/>
      <c r="I31" s="193"/>
      <c r="J31" s="193"/>
      <c r="M31" s="116"/>
      <c r="O31">
        <f t="shared" si="4"/>
        <v>2038</v>
      </c>
      <c r="P31">
        <v>0</v>
      </c>
      <c r="Q31">
        <v>0</v>
      </c>
      <c r="R31">
        <v>0</v>
      </c>
      <c r="S31" s="193">
        <v>0</v>
      </c>
      <c r="T31" s="193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161.99</v>
      </c>
      <c r="BG31">
        <f>VLOOKUP($O31,'Table 3 EV2020 Wind_2021'!$B$10:$K$36,10,FALSE)</f>
        <v>159.16</v>
      </c>
      <c r="BH31">
        <f>VLOOKUP($O31,'Table 3 DJ Wind 2030'!$B$10:$J$36,9,FALSE)</f>
        <v>179.28</v>
      </c>
      <c r="BI31">
        <f>VLOOKUP($O31,'Table 3 ID Wind 2030'!$B$10:$J$36,9,FALSE)</f>
        <v>180.4</v>
      </c>
      <c r="BJ31">
        <f>VLOOKUP($O31,'Table 3 ID Wind 2033'!$B$10:$J$36,9,FALSE)</f>
        <v>173.22</v>
      </c>
      <c r="BK31">
        <f>VLOOKUP($O31,'Table 3 WW Wind 2035'!$B$10:$J$36,9,FALSE)</f>
        <v>168.12</v>
      </c>
      <c r="BL31">
        <f>VLOOKUP($O31,'Table 3 YK Wind 2035'!$B$10:$J$36,9,FALSE)</f>
        <v>168.12</v>
      </c>
      <c r="BM31">
        <f>VLOOKUP($O31,'Table 3 OR Wind 2035'!$B$10:$J$36,9,FALSE)</f>
        <v>166.57</v>
      </c>
      <c r="BN31">
        <f>VLOOKUP($O31,'Table 3 UT Wind 2030'!$B$10:$J$36,9,FALSE)</f>
        <v>175.39</v>
      </c>
      <c r="BO31">
        <f>VLOOKUP($O31,'Table 3 UT Wind 2036'!$B$10:$J$36,9,FALSE)</f>
        <v>162.27000000000001</v>
      </c>
      <c r="BP31">
        <f>VLOOKUP($O31,'Table 3 YK Solar 2030'!$B$10:$J$36,9,FALSE)</f>
        <v>140.29</v>
      </c>
      <c r="BQ31">
        <f>VLOOKUP($O31,'Table 3 YK Solar 2032'!$B$10:$J$36,9,FALSE)</f>
        <v>134.18</v>
      </c>
      <c r="BR31">
        <f>VLOOKUP($O31,'Table 3 YK Solar 2033'!$B$10:$J$36,9,FALSE)</f>
        <v>131.26</v>
      </c>
      <c r="BS31">
        <f>VLOOKUP($O31,'Table 3 UT Solar 2033 ST'!$B$10:$J$36,9,FALSE)</f>
        <v>132.25</v>
      </c>
      <c r="BT31">
        <f>VLOOKUP($O31,'Table 3 UT Solar 2035 ST'!$B$10:$J$36,9,FALSE)</f>
        <v>126.78</v>
      </c>
      <c r="BU31">
        <f>VLOOKUP($O31,'Table 3 UT Solar 2035 FT'!$B$10:$J$36,9,FALSE)</f>
        <v>123.27</v>
      </c>
      <c r="BV31">
        <f>VLOOKUP($O31,'Table 3 OR Solar 2030'!$B$10:$J$36,9,FALSE)</f>
        <v>143.94</v>
      </c>
      <c r="BW31">
        <f>VLOOKUP($O31,'Table 3 OR Solar 2031'!$B$10:$J$36,9,FALSE)</f>
        <v>140.82</v>
      </c>
      <c r="BX31">
        <f>VLOOKUP($O31,'Table 3 OR Solar 2032'!$B$10:$J$36,9,FALSE)</f>
        <v>137.72999999999999</v>
      </c>
      <c r="BY31">
        <f>VLOOKUP($O31,'Table 3 OR Solar 2033'!$B$10:$J$36,9,FALSE)</f>
        <v>134.77000000000001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2038</v>
      </c>
      <c r="CX31" s="89">
        <f>IFERROR(VLOOKUP($CW31,'Table 3 TransCost D2 '!$B$10:$E$34,4,FALSE),0)</f>
        <v>71.67</v>
      </c>
      <c r="CY31" s="193">
        <f t="shared" si="27"/>
        <v>0</v>
      </c>
    </row>
    <row r="32" spans="2:103" hidden="1">
      <c r="B32" s="15">
        <f t="shared" si="25"/>
        <v>2039</v>
      </c>
      <c r="C32" s="9">
        <f t="shared" si="3"/>
        <v>0</v>
      </c>
      <c r="D32" s="45"/>
      <c r="E32" s="9" t="e">
        <f t="shared" ca="1" si="26"/>
        <v>#DIV/0!</v>
      </c>
      <c r="F32" s="37"/>
      <c r="G32" s="14" t="e">
        <f t="shared" ca="1" si="28"/>
        <v>#DIV/0!</v>
      </c>
      <c r="H32" s="36"/>
      <c r="I32" s="193"/>
      <c r="J32" s="193"/>
      <c r="M32" s="116"/>
      <c r="O32">
        <f t="shared" si="4"/>
        <v>2039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165.71</v>
      </c>
      <c r="BG32">
        <f>VLOOKUP($O32,'Table 3 EV2020 Wind_2021'!$B$10:$K$36,10,FALSE)</f>
        <v>162.82</v>
      </c>
      <c r="BH32">
        <f>VLOOKUP($O32,'Table 3 DJ Wind 2030'!$B$10:$J$36,9,FALSE)</f>
        <v>183.39</v>
      </c>
      <c r="BI32">
        <f>VLOOKUP($O32,'Table 3 ID Wind 2030'!$B$10:$J$36,9,FALSE)</f>
        <v>184.55</v>
      </c>
      <c r="BJ32">
        <f>VLOOKUP($O32,'Table 3 ID Wind 2033'!$B$10:$J$36,9,FALSE)</f>
        <v>177.2</v>
      </c>
      <c r="BK32">
        <f>VLOOKUP($O32,'Table 3 WW Wind 2035'!$B$10:$J$36,9,FALSE)</f>
        <v>171.99</v>
      </c>
      <c r="BL32">
        <f>VLOOKUP($O32,'Table 3 YK Wind 2035'!$B$10:$J$36,9,FALSE)</f>
        <v>171.99</v>
      </c>
      <c r="BM32">
        <f>VLOOKUP($O32,'Table 3 OR Wind 2035'!$B$10:$J$36,9,FALSE)</f>
        <v>170.4</v>
      </c>
      <c r="BN32">
        <f>VLOOKUP($O32,'Table 3 UT Wind 2030'!$B$10:$J$36,9,FALSE)</f>
        <v>179.42</v>
      </c>
      <c r="BO32">
        <f>VLOOKUP($O32,'Table 3 UT Wind 2036'!$B$10:$J$36,9,FALSE)</f>
        <v>166</v>
      </c>
      <c r="BP32">
        <f>VLOOKUP($O32,'Table 3 YK Solar 2030'!$B$10:$J$36,9,FALSE)</f>
        <v>143.51</v>
      </c>
      <c r="BQ32">
        <f>VLOOKUP($O32,'Table 3 YK Solar 2032'!$B$10:$J$36,9,FALSE)</f>
        <v>137.26</v>
      </c>
      <c r="BR32">
        <f>VLOOKUP($O32,'Table 3 YK Solar 2033'!$B$10:$J$36,9,FALSE)</f>
        <v>134.28</v>
      </c>
      <c r="BS32">
        <f>VLOOKUP($O32,'Table 3 UT Solar 2033 ST'!$B$10:$J$36,9,FALSE)</f>
        <v>135.29</v>
      </c>
      <c r="BT32">
        <f>VLOOKUP($O32,'Table 3 UT Solar 2035 ST'!$B$10:$J$36,9,FALSE)</f>
        <v>129.69999999999999</v>
      </c>
      <c r="BU32">
        <f>VLOOKUP($O32,'Table 3 UT Solar 2035 FT'!$B$10:$J$36,9,FALSE)</f>
        <v>126.1</v>
      </c>
      <c r="BV32">
        <f>VLOOKUP($O32,'Table 3 OR Solar 2030'!$B$10:$J$36,9,FALSE)</f>
        <v>147.25</v>
      </c>
      <c r="BW32">
        <f>VLOOKUP($O32,'Table 3 OR Solar 2031'!$B$10:$J$36,9,FALSE)</f>
        <v>144.06</v>
      </c>
      <c r="BX32">
        <f>VLOOKUP($O32,'Table 3 OR Solar 2032'!$B$10:$J$36,9,FALSE)</f>
        <v>140.9</v>
      </c>
      <c r="BY32">
        <f>VLOOKUP($O32,'Table 3 OR Solar 2033'!$B$10:$J$36,9,FALSE)</f>
        <v>137.87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7">
        <f t="shared" si="29"/>
        <v>0</v>
      </c>
      <c r="CW32">
        <f t="shared" si="24"/>
        <v>2039</v>
      </c>
      <c r="CX32" s="89">
        <f>IFERROR(VLOOKUP($CW32,'Table 3 TransCost D2 '!$B$10:$E$34,4,FALSE),0)</f>
        <v>73.319999999999993</v>
      </c>
      <c r="CY32" s="193">
        <f t="shared" si="27"/>
        <v>0</v>
      </c>
    </row>
    <row r="33" spans="1:103" hidden="1">
      <c r="B33" s="15">
        <f t="shared" si="25"/>
        <v>2040</v>
      </c>
      <c r="C33" s="9">
        <f t="shared" si="3"/>
        <v>0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3"/>
      <c r="J33" s="193"/>
      <c r="M33" s="116"/>
      <c r="O33">
        <f t="shared" ref="O33" si="31">B33</f>
        <v>2040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169.51</v>
      </c>
      <c r="BG33">
        <f>VLOOKUP($O33,'Table 3 EV2020 Wind_2021'!$B$10:$K$36,10,FALSE)</f>
        <v>166.55</v>
      </c>
      <c r="BH33">
        <f>VLOOKUP($O33,'Table 3 DJ Wind 2030'!$B$10:$J$36,9,FALSE)</f>
        <v>187.6</v>
      </c>
      <c r="BI33">
        <f>VLOOKUP($O33,'Table 3 ID Wind 2030'!$B$10:$J$36,9,FALSE)</f>
        <v>188.79</v>
      </c>
      <c r="BJ33">
        <f>VLOOKUP($O33,'Table 3 ID Wind 2033'!$B$10:$J$36,9,FALSE)</f>
        <v>181.27</v>
      </c>
      <c r="BK33">
        <f>VLOOKUP($O33,'Table 3 WW Wind 2035'!$B$10:$J$36,9,FALSE)</f>
        <v>175.94</v>
      </c>
      <c r="BL33">
        <f>VLOOKUP($O33,'Table 3 YK Wind 2035'!$B$10:$J$36,9,FALSE)</f>
        <v>175.94</v>
      </c>
      <c r="BM33">
        <f>VLOOKUP($O33,'Table 3 OR Wind 2035'!$B$10:$J$36,9,FALSE)</f>
        <v>174.32</v>
      </c>
      <c r="BN33">
        <f>VLOOKUP($O33,'Table 3 UT Wind 2030'!$B$10:$J$36,9,FALSE)</f>
        <v>183.54</v>
      </c>
      <c r="BO33">
        <f>VLOOKUP($O33,'Table 3 UT Wind 2036'!$B$10:$J$36,9,FALSE)</f>
        <v>169.81</v>
      </c>
      <c r="BP33">
        <f>VLOOKUP($O33,'Table 3 YK Solar 2030'!$B$10:$J$36,9,FALSE)</f>
        <v>146.81</v>
      </c>
      <c r="BQ33">
        <f>VLOOKUP($O33,'Table 3 YK Solar 2032'!$B$10:$J$36,9,FALSE)</f>
        <v>140.41999999999999</v>
      </c>
      <c r="BR33">
        <f>VLOOKUP($O33,'Table 3 YK Solar 2033'!$B$10:$J$36,9,FALSE)</f>
        <v>137.37</v>
      </c>
      <c r="BS33">
        <f>VLOOKUP($O33,'Table 3 UT Solar 2033 ST'!$B$10:$J$36,9,FALSE)</f>
        <v>138.41</v>
      </c>
      <c r="BT33">
        <f>VLOOKUP($O33,'Table 3 UT Solar 2035 ST'!$B$10:$J$36,9,FALSE)</f>
        <v>132.69</v>
      </c>
      <c r="BU33">
        <f>VLOOKUP($O33,'Table 3 UT Solar 2035 FT'!$B$10:$J$36,9,FALSE)</f>
        <v>129</v>
      </c>
      <c r="BV33">
        <f>VLOOKUP($O33,'Table 3 OR Solar 2030'!$B$10:$J$36,9,FALSE)</f>
        <v>150.63999999999999</v>
      </c>
      <c r="BW33">
        <f>VLOOKUP($O33,'Table 3 OR Solar 2031'!$B$10:$J$36,9,FALSE)</f>
        <v>147.38</v>
      </c>
      <c r="BX33">
        <f>VLOOKUP($O33,'Table 3 OR Solar 2032'!$B$10:$J$36,9,FALSE)</f>
        <v>144.13999999999999</v>
      </c>
      <c r="BY33">
        <f>VLOOKUP($O33,'Table 3 OR Solar 2033'!$B$10:$J$36,9,FALSE)</f>
        <v>141.04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7">
        <f t="shared" ref="CU33" si="32">SUM(CA33:CT33)</f>
        <v>0</v>
      </c>
      <c r="CW33">
        <f t="shared" si="24"/>
        <v>2040</v>
      </c>
      <c r="CX33" s="89">
        <f>IFERROR(VLOOKUP($CW33,'Table 3 TransCost D2 '!$B$10:$E$34,4,FALSE),0)</f>
        <v>75.010000000000005</v>
      </c>
      <c r="CY33" s="193">
        <f t="shared" si="27"/>
        <v>0</v>
      </c>
    </row>
    <row r="34" spans="1:103" hidden="1">
      <c r="B34" s="15">
        <f t="shared" si="25"/>
        <v>2041</v>
      </c>
      <c r="C34" s="9" t="e">
        <f t="shared" si="3"/>
        <v>#N/A</v>
      </c>
      <c r="D34" s="45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3"/>
      <c r="J34" s="193"/>
      <c r="M34" s="116"/>
      <c r="O34">
        <f t="shared" ref="O34" si="35">B34</f>
        <v>2041</v>
      </c>
      <c r="P34" t="e">
        <v>#N/A</v>
      </c>
      <c r="Q34" t="e">
        <v>#N/A</v>
      </c>
      <c r="R34" t="e">
        <v>#N/A</v>
      </c>
      <c r="S34" s="193" t="e">
        <v>#N/A</v>
      </c>
      <c r="T34" s="193" t="e">
        <v>#N/A</v>
      </c>
      <c r="U34" t="e">
        <v>#N/A</v>
      </c>
      <c r="V34" t="e">
        <v>#N/A</v>
      </c>
      <c r="W34" t="e">
        <v>#N/A</v>
      </c>
      <c r="X34" t="e">
        <v>#N/A</v>
      </c>
      <c r="Y34" t="e">
        <v>#N/A</v>
      </c>
      <c r="Z34" t="e">
        <v>#N/A</v>
      </c>
      <c r="AA34" t="e">
        <v>#N/A</v>
      </c>
      <c r="AB34" t="e">
        <v>#N/A</v>
      </c>
      <c r="AC34" t="e">
        <v>#N/A</v>
      </c>
      <c r="AD34" t="e">
        <v>#N/A</v>
      </c>
      <c r="AE34" t="e">
        <v>#N/A</v>
      </c>
      <c r="AF34" t="e">
        <v>#N/A</v>
      </c>
      <c r="AG34" t="e">
        <v>#N/A</v>
      </c>
      <c r="AH34" t="e">
        <v>#N/A</v>
      </c>
      <c r="AI34" t="e">
        <v>#N/A</v>
      </c>
      <c r="AK34" t="e">
        <f t="shared" ref="AK34" si="36">P34/P$5</f>
        <v>#N/A</v>
      </c>
      <c r="AL34" t="e">
        <f t="shared" ref="AL34" si="37">Q34/Q$5</f>
        <v>#N/A</v>
      </c>
      <c r="AM34" t="e">
        <f t="shared" ref="AM34" si="38">R34/R$5</f>
        <v>#N/A</v>
      </c>
      <c r="AN34" t="e">
        <f t="shared" ref="AN34" si="39">S34/S$5</f>
        <v>#N/A</v>
      </c>
      <c r="AO34" t="e">
        <f t="shared" ref="AO34" si="40">T34/T$5</f>
        <v>#N/A</v>
      </c>
      <c r="AP34" t="e">
        <f t="shared" ref="AP34" si="41">U34/U$5</f>
        <v>#N/A</v>
      </c>
      <c r="AQ34" t="e">
        <f t="shared" ref="AQ34" si="42">V34/V$5</f>
        <v>#N/A</v>
      </c>
      <c r="AR34" t="e">
        <f t="shared" ref="AR34" si="43">W34/W$5</f>
        <v>#N/A</v>
      </c>
      <c r="AS34" t="e">
        <f t="shared" ref="AS34" si="44">X34/X$5</f>
        <v>#N/A</v>
      </c>
      <c r="AT34" t="e">
        <f t="shared" ref="AT34" si="45">Y34/Y$5</f>
        <v>#N/A</v>
      </c>
      <c r="AU34" t="e">
        <f t="shared" ref="AU34" si="46">Z34/Z$5</f>
        <v>#N/A</v>
      </c>
      <c r="AV34" t="e">
        <f t="shared" ref="AV34" si="47">AA34/AA$5</f>
        <v>#N/A</v>
      </c>
      <c r="AW34" t="e">
        <f t="shared" ref="AW34" si="48">AB34/AB$5</f>
        <v>#N/A</v>
      </c>
      <c r="AX34" t="e">
        <f t="shared" ref="AX34" si="49">AC34/AC$5</f>
        <v>#N/A</v>
      </c>
      <c r="AY34" t="e">
        <f t="shared" ref="AY34" si="50">AD34/AD$5</f>
        <v>#N/A</v>
      </c>
      <c r="AZ34" t="e">
        <f t="shared" ref="AZ34" si="51">AE34/AE$5</f>
        <v>#N/A</v>
      </c>
      <c r="BA34" t="e">
        <f t="shared" ref="BA34" si="52">AF34/AF$5</f>
        <v>#N/A</v>
      </c>
      <c r="BB34" t="e">
        <f t="shared" ref="BB34" si="53">AG34/AG$5</f>
        <v>#N/A</v>
      </c>
      <c r="BC34" t="e">
        <f t="shared" ref="BC34" si="54">AH34/AH$5</f>
        <v>#N/A</v>
      </c>
      <c r="BD34" t="e">
        <f t="shared" ref="BD34" si="55">AI34/AI$5</f>
        <v>#N/A</v>
      </c>
      <c r="BF34">
        <f>VLOOKUP($O34,'Table 3 EV2020 Wind_2020'!$B$10:$K$36,10,FALSE)</f>
        <v>173.43</v>
      </c>
      <c r="BG34">
        <f>VLOOKUP($O34,'Table 3 EV2020 Wind_2021'!$B$10:$K$36,10,FALSE)</f>
        <v>170.4</v>
      </c>
      <c r="BH34">
        <f>VLOOKUP($O34,'Table 3 DJ Wind 2030'!$B$10:$J$36,9,FALSE)</f>
        <v>191.9</v>
      </c>
      <c r="BI34">
        <f>VLOOKUP($O34,'Table 3 ID Wind 2030'!$B$10:$J$36,9,FALSE)</f>
        <v>193.14</v>
      </c>
      <c r="BJ34">
        <f>VLOOKUP($O34,'Table 3 ID Wind 2033'!$B$10:$J$36,9,FALSE)</f>
        <v>185.44</v>
      </c>
      <c r="BK34">
        <f>VLOOKUP($O34,'Table 3 WW Wind 2035'!$B$10:$J$36,9,FALSE)</f>
        <v>179.99</v>
      </c>
      <c r="BL34">
        <f>VLOOKUP($O34,'Table 3 YK Wind 2035'!$B$10:$J$36,9,FALSE)</f>
        <v>179.99</v>
      </c>
      <c r="BM34">
        <f>VLOOKUP($O34,'Table 3 OR Wind 2035'!$B$10:$J$36,9,FALSE)</f>
        <v>178.33</v>
      </c>
      <c r="BN34">
        <f>VLOOKUP($O34,'Table 3 UT Wind 2030'!$B$10:$J$36,9,FALSE)</f>
        <v>187.77</v>
      </c>
      <c r="BO34">
        <f>VLOOKUP($O34,'Table 3 UT Wind 2036'!$B$10:$J$36,9,FALSE)</f>
        <v>173.72</v>
      </c>
      <c r="BP34">
        <f>VLOOKUP($O34,'Table 3 YK Solar 2030'!$B$10:$J$36,9,FALSE)</f>
        <v>150.19</v>
      </c>
      <c r="BQ34">
        <f>VLOOKUP($O34,'Table 3 YK Solar 2032'!$B$10:$J$36,9,FALSE)</f>
        <v>143.65</v>
      </c>
      <c r="BR34">
        <f>VLOOKUP($O34,'Table 3 YK Solar 2033'!$B$10:$J$36,9,FALSE)</f>
        <v>140.53</v>
      </c>
      <c r="BS34">
        <f>VLOOKUP($O34,'Table 3 UT Solar 2033 ST'!$B$10:$J$36,9,FALSE)</f>
        <v>141.59</v>
      </c>
      <c r="BT34">
        <f>VLOOKUP($O34,'Table 3 UT Solar 2035 ST'!$B$10:$J$36,9,FALSE)</f>
        <v>135.74</v>
      </c>
      <c r="BU34">
        <f>VLOOKUP($O34,'Table 3 UT Solar 2035 FT'!$B$10:$J$36,9,FALSE)</f>
        <v>131.97</v>
      </c>
      <c r="BV34">
        <f>VLOOKUP($O34,'Table 3 OR Solar 2030'!$B$10:$J$36,9,FALSE)</f>
        <v>154.1</v>
      </c>
      <c r="BW34">
        <f>VLOOKUP($O34,'Table 3 OR Solar 2031'!$B$10:$J$36,9,FALSE)</f>
        <v>150.77000000000001</v>
      </c>
      <c r="BX34">
        <f>VLOOKUP($O34,'Table 3 OR Solar 2032'!$B$10:$J$36,9,FALSE)</f>
        <v>147.44999999999999</v>
      </c>
      <c r="BY34">
        <f>VLOOKUP($O34,'Table 3 OR Solar 2033'!$B$10:$J$36,9,FALSE)</f>
        <v>144.28</v>
      </c>
      <c r="CA34" t="e">
        <f>SUM(AK$13:AK34)*BF34/1000</f>
        <v>#N/A</v>
      </c>
      <c r="CB34" t="e">
        <f>SUM(AL$13:AL34)*BG34/1000</f>
        <v>#N/A</v>
      </c>
      <c r="CC34" t="e">
        <f>SUM(AM$13:AM34)*BH34/1000</f>
        <v>#N/A</v>
      </c>
      <c r="CD34" t="e">
        <f>SUM(AN$13:AN34)*BI34/1000</f>
        <v>#N/A</v>
      </c>
      <c r="CF34" t="e">
        <f>SUM(AP$13:AP34)*BK34/1000</f>
        <v>#N/A</v>
      </c>
      <c r="CG34" t="e">
        <f>SUM(AQ$13:AQ34)*BL34/1000</f>
        <v>#N/A</v>
      </c>
      <c r="CH34" t="e">
        <f>SUM(AR$13:AR34)*BM34/1000</f>
        <v>#N/A</v>
      </c>
      <c r="CI34" t="e">
        <f>SUM(AS$13:AS34)*BN34/1000</f>
        <v>#N/A</v>
      </c>
      <c r="CJ34" t="e">
        <f>SUM(AT$13:AT34)*BO34/1000</f>
        <v>#N/A</v>
      </c>
      <c r="CK34" t="e">
        <f>SUM(AU$13:AU34)*BP34/1000</f>
        <v>#N/A</v>
      </c>
      <c r="CL34" t="e">
        <f>SUM(AV$13:AV34)*BQ34/1000</f>
        <v>#N/A</v>
      </c>
      <c r="CM34" t="e">
        <f>SUM(AW$13:AW34)*BR34/1000</f>
        <v>#N/A</v>
      </c>
      <c r="CN34" t="e">
        <f>SUM(AX$13:AX34)*BS34/1000</f>
        <v>#N/A</v>
      </c>
      <c r="CO34" t="e">
        <f>SUM(AY$13:AY34)*BT34/1000</f>
        <v>#N/A</v>
      </c>
      <c r="CP34" t="e">
        <f>SUM(AZ$13:AZ34)*BU34/1000</f>
        <v>#N/A</v>
      </c>
      <c r="CQ34" t="e">
        <f>SUM(BA$13:BA34)*BV34/1000</f>
        <v>#N/A</v>
      </c>
      <c r="CR34" t="e">
        <f>SUM(BB$13:BB34)*BW34/1000</f>
        <v>#N/A</v>
      </c>
      <c r="CS34" t="e">
        <f>SUM(BC$13:BC34)*BX34/1000</f>
        <v>#N/A</v>
      </c>
      <c r="CT34" t="e">
        <f>SUM(BD$13:BD34)*BY34/1000</f>
        <v>#N/A</v>
      </c>
      <c r="CU34" s="187" t="e">
        <f t="shared" ref="CU34" si="56">SUM(CA34:CT34)</f>
        <v>#N/A</v>
      </c>
      <c r="CW34">
        <f t="shared" ref="CW34" si="57">O34</f>
        <v>2041</v>
      </c>
      <c r="CX34" s="89">
        <f>IFERROR(VLOOKUP($CW34,'Table 3 TransCost D2 '!$B$10:$E$34,4,FALSE),0)</f>
        <v>76.739999999999995</v>
      </c>
      <c r="CY34" s="193">
        <f t="shared" ref="CY34" si="58">$CX$5*CX34/1000</f>
        <v>0</v>
      </c>
    </row>
    <row r="35" spans="1:103">
      <c r="B35" s="181"/>
      <c r="C35" s="9"/>
      <c r="D35" s="45"/>
      <c r="E35" s="9"/>
      <c r="F35" s="37"/>
      <c r="G35" s="9"/>
      <c r="H35" s="36"/>
      <c r="I35" s="49"/>
      <c r="M35" s="116"/>
    </row>
    <row r="36" spans="1:103" ht="12" customHeight="1">
      <c r="B36" s="181"/>
      <c r="C36" s="9"/>
      <c r="D36" s="45"/>
      <c r="E36" s="9"/>
      <c r="F36" s="37"/>
      <c r="G36" s="9"/>
      <c r="H36" s="36"/>
      <c r="I36" s="49"/>
      <c r="M36" s="116"/>
      <c r="N36" t="s">
        <v>142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01" t="str">
        <f>'Table 5'!$A$9</f>
        <v>1 Year Starting 2020</v>
      </c>
      <c r="B37" s="301"/>
      <c r="D37" s="9"/>
      <c r="F37" s="37"/>
      <c r="H37" s="36"/>
      <c r="I37"/>
      <c r="N37" t="s">
        <v>154</v>
      </c>
      <c r="S37" s="241">
        <v>0</v>
      </c>
      <c r="T37" s="241">
        <v>0</v>
      </c>
      <c r="X37" s="241">
        <v>0</v>
      </c>
      <c r="Y37" s="241">
        <v>0</v>
      </c>
      <c r="Z37" s="241">
        <v>0</v>
      </c>
      <c r="AA37" s="241">
        <v>0</v>
      </c>
      <c r="AB37" s="241">
        <v>0</v>
      </c>
      <c r="AC37" s="241">
        <v>0</v>
      </c>
      <c r="AD37" s="241">
        <v>0</v>
      </c>
      <c r="AE37" s="241">
        <v>0</v>
      </c>
      <c r="AF37" s="241">
        <v>0</v>
      </c>
      <c r="AG37" s="241">
        <v>0</v>
      </c>
      <c r="AH37" s="241">
        <v>0</v>
      </c>
      <c r="AI37" s="241">
        <v>0</v>
      </c>
    </row>
    <row r="38" spans="1:103">
      <c r="A38" s="214"/>
      <c r="B38" s="55" t="str">
        <f>"1 year Levelized Prices (Nominal) @ "&amp;TEXT(I39,"0.00%")&amp;" Discount Rate (1) (3) "</f>
        <v xml:space="preserve">1 year Levelized Prices (Nominal) @ 6.91% Discount Rate (1) (3) </v>
      </c>
      <c r="E38" s="5"/>
      <c r="I38" s="49" t="s">
        <v>159</v>
      </c>
      <c r="P38" s="183"/>
      <c r="Q38" s="183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</row>
    <row r="39" spans="1:103">
      <c r="B39" s="47" t="s">
        <v>8</v>
      </c>
      <c r="C39" s="9">
        <f ca="1">'Table 5'!$D$9*(Study_CF*8.76)/'Table 5'!$F$9</f>
        <v>0</v>
      </c>
      <c r="D39" s="9"/>
      <c r="H39" s="36"/>
      <c r="I39" s="109">
        <v>6.9099999999999995E-2</v>
      </c>
    </row>
    <row r="40" spans="1:103">
      <c r="B40" s="48" t="s">
        <v>33</v>
      </c>
      <c r="E40" s="9">
        <f ca="1">'Table 5'!$C$9/'Table 5'!$F$9</f>
        <v>20.969630164256539</v>
      </c>
      <c r="G40" s="216">
        <f ca="1">'Table 5'!$G$9</f>
        <v>20.969630164256539</v>
      </c>
      <c r="H40" s="36"/>
    </row>
    <row r="41" spans="1:103">
      <c r="B41" s="48"/>
      <c r="E41" s="9"/>
      <c r="G41" s="216"/>
      <c r="H41" s="36"/>
    </row>
    <row r="42" spans="1:103" hidden="1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6"/>
    </row>
    <row r="43" spans="1:103" hidden="1">
      <c r="B43" s="47" t="s">
        <v>8</v>
      </c>
      <c r="C43" s="9" t="e">
        <f ca="1">'Table 5'!$D$7*(Study_CF*8.76)/'Table 5'!$F$7</f>
        <v>#DIV/0!</v>
      </c>
      <c r="D43" s="9"/>
      <c r="H43" s="36"/>
      <c r="I43"/>
    </row>
    <row r="44" spans="1:103" hidden="1">
      <c r="B44" s="48" t="s">
        <v>33</v>
      </c>
      <c r="E44" s="9" t="e">
        <f>'Table 5'!$C$7/'Table 5'!$F$7</f>
        <v>#DIV/0!</v>
      </c>
      <c r="G44" s="216">
        <f>'Table 5'!$G$7</f>
        <v>0</v>
      </c>
      <c r="H44" s="36"/>
      <c r="I44"/>
      <c r="R44" s="193"/>
    </row>
    <row r="45" spans="1:103" hidden="1">
      <c r="B45" s="55"/>
      <c r="E45" s="5"/>
      <c r="H45" s="36"/>
    </row>
    <row r="46" spans="1:103" hidden="1">
      <c r="B46" s="47"/>
      <c r="C46" s="9"/>
      <c r="D46" s="9"/>
      <c r="H46" s="36"/>
    </row>
    <row r="47" spans="1:103" hidden="1">
      <c r="B47" s="48"/>
      <c r="E47" s="9"/>
      <c r="G47" s="108"/>
      <c r="H47" s="36"/>
    </row>
    <row r="48" spans="1:103" hidden="1">
      <c r="B48" s="47"/>
      <c r="C48" s="9"/>
      <c r="D48" s="9"/>
      <c r="H48" s="36"/>
    </row>
    <row r="49" spans="1:9" hidden="1">
      <c r="B49" s="55"/>
      <c r="E49" s="5"/>
      <c r="H49" s="36"/>
    </row>
    <row r="50" spans="1:9" hidden="1">
      <c r="B50" s="47"/>
      <c r="C50" s="9"/>
      <c r="D50" s="9"/>
      <c r="H50" s="36"/>
    </row>
    <row r="51" spans="1:9" hidden="1">
      <c r="A51" s="302">
        <f>'Table 5'!A10</f>
        <v>0</v>
      </c>
      <c r="B51" s="302"/>
      <c r="E51" s="9"/>
      <c r="G51" s="108"/>
      <c r="H51" s="36"/>
    </row>
    <row r="52" spans="1:9" hidden="1">
      <c r="B52" s="55" t="str">
        <f>"15 year Levelized Prices (Nominal) @ "&amp;TEXT(I53,"0.00%")&amp;" Discount Rate (1) (3) "</f>
        <v xml:space="preserve">15 year Levelized Prices (Nominal) @ 0.00% Discount Rate (1) (3) </v>
      </c>
      <c r="E52" s="5"/>
      <c r="H52" s="36"/>
    </row>
    <row r="53" spans="1:9" hidden="1">
      <c r="B53" s="47" t="s">
        <v>8</v>
      </c>
      <c r="C53" s="9" t="e">
        <f ca="1">'Table 5'!$D$10*(Study_CF*8.76)/'Table 5'!$F$10</f>
        <v>#DIV/0!</v>
      </c>
      <c r="D53" s="9"/>
      <c r="H53" s="36"/>
    </row>
    <row r="54" spans="1:9" hidden="1">
      <c r="B54" s="48" t="s">
        <v>33</v>
      </c>
      <c r="E54" s="9" t="e">
        <f>'Table 5'!$C$10/'Table 5'!$F$10</f>
        <v>#DIV/0!</v>
      </c>
      <c r="G54" s="216">
        <f>'Table 5'!$G$10</f>
        <v>0</v>
      </c>
      <c r="H54" s="36"/>
    </row>
    <row r="55" spans="1:9">
      <c r="B55" s="3" t="s">
        <v>16</v>
      </c>
      <c r="E55" s="38"/>
      <c r="G55" s="38"/>
      <c r="H55" s="36"/>
      <c r="I55" s="108"/>
    </row>
    <row r="56" spans="1:9">
      <c r="B56" s="50" t="str">
        <f>"(1)   "&amp;I38</f>
        <v>(1)   Discount Rate - 2017 IRP Update</v>
      </c>
      <c r="E56" s="36"/>
      <c r="F56" s="38"/>
      <c r="G56" s="36"/>
      <c r="H56" s="36"/>
      <c r="I56" s="108"/>
    </row>
    <row r="57" spans="1:9">
      <c r="B57" s="3" t="s">
        <v>22</v>
      </c>
      <c r="F57" s="38"/>
      <c r="H57" s="36"/>
      <c r="I57" s="108"/>
    </row>
    <row r="58" spans="1:9">
      <c r="G58" s="5"/>
    </row>
    <row r="59" spans="1:9">
      <c r="B59" s="3" t="str">
        <f>IF(Study_Cap_Adj&gt;0,"(4)  The capacity payment is derived from:","")</f>
        <v/>
      </c>
    </row>
    <row r="60" spans="1:9" hidden="1">
      <c r="B60" s="94" t="str">
        <f>IF(AND(Study_Cap_Adj&gt;0,_30_Geo_West&lt;&gt;0),"       2028 - "&amp;#REF!&amp;"   ("&amp;TEXT(_30_Geo_West," 0.0%")&amp;")","")</f>
        <v/>
      </c>
    </row>
    <row r="61" spans="1:9" ht="12.75" customHeight="1">
      <c r="B61" s="94"/>
    </row>
    <row r="62" spans="1:9" ht="12.75" customHeight="1">
      <c r="A62" s="3" t="b">
        <f>SUM(P13:AI28)&gt;0</f>
        <v>0</v>
      </c>
      <c r="B62" s="94"/>
    </row>
    <row r="63" spans="1:9">
      <c r="A63" s="3" t="b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0</v>
      </c>
      <c r="B63" s="10"/>
      <c r="C63" s="7"/>
      <c r="D63" s="7"/>
      <c r="E63" s="7"/>
      <c r="G63" s="7"/>
    </row>
    <row r="64" spans="1:9">
      <c r="A64" t="e">
        <f>INDEX($O$13:$AI$33,IF(SUM($P$13:$AI$33)&gt;0,SUM($P$13:$AI$33),FALSE)-1,1)</f>
        <v>#VALUE!</v>
      </c>
      <c r="I64"/>
    </row>
    <row r="65" spans="1:13" s="53" customFormat="1">
      <c r="A65" s="54"/>
      <c r="B65" s="10"/>
      <c r="C65" s="54"/>
      <c r="D65" s="54"/>
      <c r="E65" s="54"/>
      <c r="F65" s="54"/>
      <c r="G65" s="54"/>
      <c r="I65"/>
      <c r="J65"/>
      <c r="K65"/>
      <c r="L65"/>
      <c r="M65"/>
    </row>
    <row r="66" spans="1:13" s="53" customFormat="1">
      <c r="A66" s="54"/>
      <c r="B66" s="10"/>
      <c r="C66" s="54"/>
      <c r="D66" s="54"/>
      <c r="E66" s="54"/>
      <c r="F66" s="54"/>
      <c r="G66" s="54"/>
      <c r="I66" s="10"/>
      <c r="J66"/>
      <c r="K66"/>
    </row>
    <row r="67" spans="1:13">
      <c r="A67"/>
      <c r="B67" s="51"/>
      <c r="I67" s="53"/>
      <c r="L67" s="53"/>
      <c r="M67" s="53"/>
    </row>
    <row r="68" spans="1:13">
      <c r="A68"/>
      <c r="F68" s="7"/>
    </row>
    <row r="71" spans="1:13">
      <c r="A71"/>
      <c r="J71" s="53"/>
      <c r="K71" s="53"/>
    </row>
    <row r="72" spans="1:13">
      <c r="A72"/>
      <c r="J72" s="53"/>
      <c r="K72" s="53"/>
    </row>
  </sheetData>
  <mergeCells count="2">
    <mergeCell ref="A37:B37"/>
    <mergeCell ref="A51:B51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88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14.435115628222126</v>
      </c>
      <c r="G13" s="132">
        <f t="shared" si="5"/>
        <v>0</v>
      </c>
      <c r="H13" s="132">
        <f t="shared" si="5"/>
        <v>0</v>
      </c>
      <c r="I13" s="134">
        <f t="shared" si="2"/>
        <v>14.435115628222126</v>
      </c>
      <c r="J13" s="134">
        <f t="shared" si="3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14.751804389453529</v>
      </c>
      <c r="G14" s="132">
        <f t="shared" si="5"/>
        <v>0</v>
      </c>
      <c r="H14" s="132">
        <f t="shared" si="5"/>
        <v>0</v>
      </c>
      <c r="I14" s="134">
        <f t="shared" si="2"/>
        <v>14.751804389453529</v>
      </c>
      <c r="J14" s="134">
        <f t="shared" si="3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15.105317425246724</v>
      </c>
      <c r="G15" s="132">
        <f t="shared" si="5"/>
        <v>0</v>
      </c>
      <c r="H15" s="132">
        <f t="shared" si="5"/>
        <v>0</v>
      </c>
      <c r="I15" s="134">
        <f t="shared" si="2"/>
        <v>15.105317425246724</v>
      </c>
      <c r="J15" s="134">
        <f t="shared" si="3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15.466195315952277</v>
      </c>
      <c r="G16" s="132">
        <f t="shared" si="5"/>
        <v>0</v>
      </c>
      <c r="H16" s="132">
        <f t="shared" si="5"/>
        <v>0</v>
      </c>
      <c r="I16" s="134">
        <f t="shared" si="2"/>
        <v>15.466195315952277</v>
      </c>
      <c r="J16" s="134">
        <f t="shared" si="3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15.838120489026366</v>
      </c>
      <c r="G17" s="132">
        <f t="shared" si="5"/>
        <v>0</v>
      </c>
      <c r="H17" s="132">
        <f t="shared" si="5"/>
        <v>0</v>
      </c>
      <c r="I17" s="134">
        <f t="shared" si="2"/>
        <v>15.838120489026366</v>
      </c>
      <c r="J17" s="134">
        <f t="shared" si="3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16.217410517012816</v>
      </c>
      <c r="G18" s="132">
        <f t="shared" si="5"/>
        <v>0</v>
      </c>
      <c r="H18" s="132">
        <f t="shared" si="5"/>
        <v>0</v>
      </c>
      <c r="I18" s="134">
        <f t="shared" si="2"/>
        <v>16.217410517012816</v>
      </c>
      <c r="J18" s="134">
        <f t="shared" si="3"/>
        <v>44.04</v>
      </c>
      <c r="K18" s="132">
        <f t="shared" si="6"/>
        <v>0.69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16.589335690086905</v>
      </c>
      <c r="G19" s="132">
        <f t="shared" si="5"/>
        <v>0</v>
      </c>
      <c r="H19" s="132">
        <f t="shared" si="5"/>
        <v>0</v>
      </c>
      <c r="I19" s="134">
        <f t="shared" si="2"/>
        <v>16.589335690086905</v>
      </c>
      <c r="J19" s="134">
        <f t="shared" si="3"/>
        <v>45.05</v>
      </c>
      <c r="K19" s="132">
        <f t="shared" si="6"/>
        <v>0.71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16.972308145529535</v>
      </c>
      <c r="G20" s="132">
        <f t="shared" si="5"/>
        <v>0</v>
      </c>
      <c r="H20" s="132">
        <f t="shared" si="5"/>
        <v>0</v>
      </c>
      <c r="I20" s="134">
        <f t="shared" si="2"/>
        <v>16.972308145529535</v>
      </c>
      <c r="J20" s="134">
        <f t="shared" si="3"/>
        <v>46.09</v>
      </c>
      <c r="K20" s="132">
        <f t="shared" si="6"/>
        <v>0.73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17.362645455884518</v>
      </c>
      <c r="G21" s="132">
        <f t="shared" si="5"/>
        <v>0</v>
      </c>
      <c r="H21" s="132">
        <f t="shared" si="5"/>
        <v>0</v>
      </c>
      <c r="I21" s="134">
        <f t="shared" si="2"/>
        <v>17.362645455884518</v>
      </c>
      <c r="J21" s="134">
        <f t="shared" si="3"/>
        <v>47.15</v>
      </c>
      <c r="K21" s="132">
        <f t="shared" si="6"/>
        <v>0.75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17.778759758432759</v>
      </c>
      <c r="G22" s="132">
        <f t="shared" si="5"/>
        <v>0</v>
      </c>
      <c r="H22" s="132">
        <f t="shared" si="5"/>
        <v>0</v>
      </c>
      <c r="I22" s="134">
        <f t="shared" si="2"/>
        <v>17.778759758432759</v>
      </c>
      <c r="J22" s="134">
        <f t="shared" si="3"/>
        <v>48.28</v>
      </c>
      <c r="K22" s="132">
        <f t="shared" si="6"/>
        <v>0.77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18.205921343349537</v>
      </c>
      <c r="G23" s="132">
        <f t="shared" si="5"/>
        <v>0</v>
      </c>
      <c r="H23" s="132">
        <f t="shared" si="5"/>
        <v>0</v>
      </c>
      <c r="I23" s="134">
        <f t="shared" si="2"/>
        <v>18.205921343349537</v>
      </c>
      <c r="J23" s="134">
        <f t="shared" si="3"/>
        <v>49.44</v>
      </c>
      <c r="K23" s="132">
        <f t="shared" si="6"/>
        <v>0.79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18.625718073353955</v>
      </c>
      <c r="G24" s="132">
        <f t="shared" si="5"/>
        <v>0</v>
      </c>
      <c r="H24" s="132">
        <f t="shared" si="5"/>
        <v>0</v>
      </c>
      <c r="I24" s="134">
        <f t="shared" si="2"/>
        <v>18.625718073353955</v>
      </c>
      <c r="J24" s="134">
        <f t="shared" si="3"/>
        <v>50.58</v>
      </c>
      <c r="K24" s="132">
        <f t="shared" si="6"/>
        <v>0.81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19.052879658270733</v>
      </c>
      <c r="G25" s="132">
        <f t="shared" si="5"/>
        <v>0</v>
      </c>
      <c r="H25" s="132">
        <f t="shared" si="5"/>
        <v>0</v>
      </c>
      <c r="I25" s="134">
        <f t="shared" si="2"/>
        <v>19.052879658270733</v>
      </c>
      <c r="J25" s="134">
        <f t="shared" si="3"/>
        <v>51.74</v>
      </c>
      <c r="K25" s="132">
        <f t="shared" si="6"/>
        <v>0.83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19.491088525556048</v>
      </c>
      <c r="G26" s="132">
        <f t="shared" si="5"/>
        <v>0</v>
      </c>
      <c r="H26" s="132">
        <f t="shared" si="5"/>
        <v>0</v>
      </c>
      <c r="I26" s="134">
        <f t="shared" si="2"/>
        <v>19.491088525556048</v>
      </c>
      <c r="J26" s="134">
        <f t="shared" si="3"/>
        <v>52.93</v>
      </c>
      <c r="K26" s="132">
        <f t="shared" si="6"/>
        <v>0.85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/>
      <c r="E27" s="132">
        <f t="shared" si="5"/>
        <v>54.15</v>
      </c>
      <c r="F27" s="134">
        <f t="shared" si="1"/>
        <v>19.9403446752099</v>
      </c>
      <c r="G27" s="132">
        <f t="shared" si="5"/>
        <v>0</v>
      </c>
      <c r="H27" s="132">
        <f t="shared" si="5"/>
        <v>0</v>
      </c>
      <c r="I27" s="134">
        <f t="shared" si="2"/>
        <v>19.9403446752099</v>
      </c>
      <c r="J27" s="134">
        <f t="shared" si="3"/>
        <v>54.15</v>
      </c>
      <c r="K27" s="132">
        <f t="shared" si="6"/>
        <v>0.87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20.400648107232289</v>
      </c>
      <c r="G28" s="132">
        <f t="shared" si="5"/>
        <v>0</v>
      </c>
      <c r="H28" s="132">
        <f t="shared" si="5"/>
        <v>0</v>
      </c>
      <c r="I28" s="134">
        <f t="shared" si="2"/>
        <v>20.400648107232289</v>
      </c>
      <c r="J28" s="134">
        <f t="shared" si="3"/>
        <v>55.4</v>
      </c>
      <c r="K28" s="132">
        <f t="shared" si="6"/>
        <v>0.89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/>
      <c r="E29" s="132">
        <f t="shared" si="5"/>
        <v>56.62</v>
      </c>
      <c r="F29" s="134">
        <f t="shared" si="1"/>
        <v>20.849904256886141</v>
      </c>
      <c r="G29" s="132">
        <f t="shared" si="5"/>
        <v>0</v>
      </c>
      <c r="H29" s="132">
        <f t="shared" si="5"/>
        <v>0</v>
      </c>
      <c r="I29" s="134">
        <f t="shared" si="2"/>
        <v>20.849904256886141</v>
      </c>
      <c r="J29" s="134">
        <f t="shared" si="3"/>
        <v>56.62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>
        <f>$C$55</f>
        <v>1369.7572941249264</v>
      </c>
      <c r="D30" s="132">
        <f>C30*$C$62</f>
        <v>97.334833987164757</v>
      </c>
      <c r="E30" s="132">
        <f t="shared" si="5"/>
        <v>57.87</v>
      </c>
      <c r="F30" s="134">
        <f t="shared" si="1"/>
        <v>57.153054200605673</v>
      </c>
      <c r="G30" s="132">
        <f t="shared" si="5"/>
        <v>0</v>
      </c>
      <c r="H30" s="132">
        <f t="shared" si="5"/>
        <v>0</v>
      </c>
      <c r="I30" s="134">
        <f t="shared" si="2"/>
        <v>57.153054200605673</v>
      </c>
      <c r="J30" s="134">
        <f t="shared" si="3"/>
        <v>155.19999999999999</v>
      </c>
      <c r="K30" s="132">
        <f t="shared" si="6"/>
        <v>0.93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99.48</v>
      </c>
      <c r="E31" s="132">
        <f t="shared" si="5"/>
        <v>59.14</v>
      </c>
      <c r="F31" s="134">
        <f t="shared" si="1"/>
        <v>58.410664309913102</v>
      </c>
      <c r="G31" s="132">
        <f t="shared" si="5"/>
        <v>0</v>
      </c>
      <c r="H31" s="132">
        <f t="shared" si="5"/>
        <v>0</v>
      </c>
      <c r="I31" s="134">
        <f t="shared" si="2"/>
        <v>58.410664309913102</v>
      </c>
      <c r="J31" s="134">
        <f t="shared" si="3"/>
        <v>158.62</v>
      </c>
      <c r="K31" s="132">
        <f t="shared" si="6"/>
        <v>0.95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101.77</v>
      </c>
      <c r="E32" s="132">
        <f t="shared" si="5"/>
        <v>60.5</v>
      </c>
      <c r="F32" s="134">
        <f t="shared" si="1"/>
        <v>59.754750331418471</v>
      </c>
      <c r="G32" s="132">
        <f t="shared" si="5"/>
        <v>0</v>
      </c>
      <c r="H32" s="132">
        <f t="shared" si="5"/>
        <v>0</v>
      </c>
      <c r="I32" s="134">
        <f t="shared" si="2"/>
        <v>59.754750331418471</v>
      </c>
      <c r="J32" s="134">
        <f t="shared" si="3"/>
        <v>162.27000000000001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104.11</v>
      </c>
      <c r="E33" s="132">
        <f t="shared" si="5"/>
        <v>61.89</v>
      </c>
      <c r="F33" s="134">
        <f t="shared" si="1"/>
        <v>61.128295772573289</v>
      </c>
      <c r="G33" s="132">
        <f t="shared" si="5"/>
        <v>0</v>
      </c>
      <c r="H33" s="132">
        <f t="shared" si="5"/>
        <v>0</v>
      </c>
      <c r="I33" s="134">
        <f t="shared" si="2"/>
        <v>61.128295772573289</v>
      </c>
      <c r="J33" s="134">
        <f t="shared" si="3"/>
        <v>166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106.5</v>
      </c>
      <c r="E34" s="132">
        <f t="shared" si="5"/>
        <v>63.31</v>
      </c>
      <c r="F34" s="134">
        <f t="shared" si="1"/>
        <v>62.531300633377526</v>
      </c>
      <c r="G34" s="132">
        <f t="shared" si="5"/>
        <v>0</v>
      </c>
      <c r="H34" s="132">
        <f t="shared" si="5"/>
        <v>0</v>
      </c>
      <c r="I34" s="134">
        <f t="shared" si="2"/>
        <v>62.531300633377526</v>
      </c>
      <c r="J34" s="134">
        <f t="shared" si="3"/>
        <v>169.81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108.95</v>
      </c>
      <c r="E35" s="132">
        <f t="shared" si="5"/>
        <v>64.77</v>
      </c>
      <c r="F35" s="134">
        <f t="shared" si="1"/>
        <v>63.971129768743559</v>
      </c>
      <c r="G35" s="132">
        <f t="shared" si="5"/>
        <v>0</v>
      </c>
      <c r="H35" s="132">
        <f t="shared" si="5"/>
        <v>0</v>
      </c>
      <c r="I35" s="134">
        <f t="shared" si="2"/>
        <v>63.971129768743559</v>
      </c>
      <c r="J35" s="134">
        <f t="shared" si="3"/>
        <v>173.72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111.46</v>
      </c>
      <c r="E36" s="132">
        <f t="shared" si="5"/>
        <v>66.260000000000005</v>
      </c>
      <c r="F36" s="134">
        <f t="shared" si="1"/>
        <v>65.444100751215203</v>
      </c>
      <c r="G36" s="132">
        <f t="shared" si="5"/>
        <v>0</v>
      </c>
      <c r="H36" s="132">
        <f t="shared" si="5"/>
        <v>0</v>
      </c>
      <c r="I36" s="134">
        <f t="shared" si="2"/>
        <v>65.444100751215203</v>
      </c>
      <c r="J36" s="134">
        <f t="shared" si="3"/>
        <v>177.72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1369.7572941249264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127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Walla Walla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54.15</v>
      </c>
      <c r="F27" s="134">
        <f t="shared" si="1"/>
        <v>16.267123287671232</v>
      </c>
      <c r="G27" s="132">
        <f t="shared" si="5"/>
        <v>0</v>
      </c>
      <c r="H27" s="132">
        <f t="shared" si="5"/>
        <v>0</v>
      </c>
      <c r="I27" s="134">
        <f t="shared" si="3"/>
        <v>16.267123287671232</v>
      </c>
      <c r="J27" s="134">
        <f t="shared" si="2"/>
        <v>54.15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16.642633982215813</v>
      </c>
      <c r="G28" s="132">
        <f t="shared" si="5"/>
        <v>0</v>
      </c>
      <c r="H28" s="132">
        <f t="shared" si="5"/>
        <v>0</v>
      </c>
      <c r="I28" s="134">
        <f t="shared" si="3"/>
        <v>16.642633982215813</v>
      </c>
      <c r="J28" s="134">
        <f t="shared" si="2"/>
        <v>55.4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56.62</v>
      </c>
      <c r="F29" s="134">
        <f t="shared" si="1"/>
        <v>47.26667562075977</v>
      </c>
      <c r="G29" s="132">
        <f t="shared" si="5"/>
        <v>0</v>
      </c>
      <c r="H29" s="132">
        <f t="shared" si="5"/>
        <v>0</v>
      </c>
      <c r="I29" s="134">
        <f t="shared" si="3"/>
        <v>47.26667562075977</v>
      </c>
      <c r="J29" s="134">
        <f t="shared" si="2"/>
        <v>157.34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57.87</v>
      </c>
      <c r="F30" s="134">
        <f t="shared" si="1"/>
        <v>48.308699831771214</v>
      </c>
      <c r="G30" s="132">
        <f t="shared" si="5"/>
        <v>0</v>
      </c>
      <c r="H30" s="132">
        <f t="shared" si="5"/>
        <v>0</v>
      </c>
      <c r="I30" s="134">
        <f t="shared" si="3"/>
        <v>48.308699831771214</v>
      </c>
      <c r="J30" s="134">
        <f t="shared" si="2"/>
        <v>160.81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59.14</v>
      </c>
      <c r="F31" s="134">
        <f t="shared" si="1"/>
        <v>49.369142033165112</v>
      </c>
      <c r="G31" s="132">
        <f t="shared" si="5"/>
        <v>0</v>
      </c>
      <c r="H31" s="132">
        <f t="shared" si="5"/>
        <v>0</v>
      </c>
      <c r="I31" s="134">
        <f t="shared" si="3"/>
        <v>49.369142033165112</v>
      </c>
      <c r="J31" s="134">
        <f t="shared" si="2"/>
        <v>164.34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107.62</v>
      </c>
      <c r="E32" s="132">
        <f t="shared" si="5"/>
        <v>60.5</v>
      </c>
      <c r="F32" s="134">
        <f t="shared" si="1"/>
        <v>50.504686373467919</v>
      </c>
      <c r="G32" s="132">
        <f t="shared" si="5"/>
        <v>0</v>
      </c>
      <c r="H32" s="132">
        <f t="shared" si="5"/>
        <v>0</v>
      </c>
      <c r="I32" s="134">
        <f t="shared" si="3"/>
        <v>50.504686373467919</v>
      </c>
      <c r="J32" s="134">
        <f t="shared" si="2"/>
        <v>168.12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110.1</v>
      </c>
      <c r="E33" s="132">
        <f t="shared" si="5"/>
        <v>61.89</v>
      </c>
      <c r="F33" s="134">
        <f t="shared" si="1"/>
        <v>51.667267483777941</v>
      </c>
      <c r="G33" s="132">
        <f t="shared" si="5"/>
        <v>0</v>
      </c>
      <c r="H33" s="132">
        <f t="shared" si="5"/>
        <v>0</v>
      </c>
      <c r="I33" s="134">
        <f t="shared" si="3"/>
        <v>51.667267483777941</v>
      </c>
      <c r="J33" s="134">
        <f t="shared" si="2"/>
        <v>171.99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112.63</v>
      </c>
      <c r="E34" s="132">
        <f t="shared" si="5"/>
        <v>63.31</v>
      </c>
      <c r="F34" s="134">
        <f t="shared" si="1"/>
        <v>52.853881278538815</v>
      </c>
      <c r="G34" s="132">
        <f t="shared" si="5"/>
        <v>0</v>
      </c>
      <c r="H34" s="132">
        <f t="shared" si="5"/>
        <v>0</v>
      </c>
      <c r="I34" s="134">
        <f t="shared" si="3"/>
        <v>52.853881278538815</v>
      </c>
      <c r="J34" s="134">
        <f t="shared" si="2"/>
        <v>175.94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115.22</v>
      </c>
      <c r="E35" s="132">
        <f t="shared" si="5"/>
        <v>64.77</v>
      </c>
      <c r="F35" s="134">
        <f t="shared" si="1"/>
        <v>54.070535928863258</v>
      </c>
      <c r="G35" s="132">
        <f t="shared" si="5"/>
        <v>0</v>
      </c>
      <c r="H35" s="132">
        <f t="shared" si="5"/>
        <v>0</v>
      </c>
      <c r="I35" s="134">
        <f t="shared" si="3"/>
        <v>54.070535928863258</v>
      </c>
      <c r="J35" s="134">
        <f t="shared" si="2"/>
        <v>179.99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117.87</v>
      </c>
      <c r="E36" s="132">
        <f t="shared" si="5"/>
        <v>66.260000000000005</v>
      </c>
      <c r="F36" s="134">
        <f t="shared" si="1"/>
        <v>55.314227349194908</v>
      </c>
      <c r="G36" s="132">
        <f t="shared" si="5"/>
        <v>0</v>
      </c>
      <c r="H36" s="132">
        <f t="shared" si="5"/>
        <v>0</v>
      </c>
      <c r="I36" s="134">
        <f t="shared" si="3"/>
        <v>55.314227349194908</v>
      </c>
      <c r="J36" s="134">
        <f t="shared" si="2"/>
        <v>184.13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1417.4139219193135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128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54.15</v>
      </c>
      <c r="F27" s="134">
        <f t="shared" si="1"/>
        <v>16.267123287671232</v>
      </c>
      <c r="G27" s="132">
        <f t="shared" si="5"/>
        <v>0</v>
      </c>
      <c r="H27" s="132">
        <f t="shared" si="5"/>
        <v>0</v>
      </c>
      <c r="I27" s="134">
        <f t="shared" si="3"/>
        <v>16.267123287671232</v>
      </c>
      <c r="J27" s="134">
        <f t="shared" si="2"/>
        <v>54.15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16.642633982215813</v>
      </c>
      <c r="G28" s="132">
        <f t="shared" si="5"/>
        <v>0</v>
      </c>
      <c r="H28" s="132">
        <f t="shared" si="5"/>
        <v>0</v>
      </c>
      <c r="I28" s="134">
        <f t="shared" si="3"/>
        <v>16.642633982215813</v>
      </c>
      <c r="J28" s="134">
        <f t="shared" si="2"/>
        <v>55.4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56.62</v>
      </c>
      <c r="F29" s="134">
        <f t="shared" si="1"/>
        <v>47.26667562075977</v>
      </c>
      <c r="G29" s="132">
        <f t="shared" si="5"/>
        <v>0</v>
      </c>
      <c r="H29" s="132">
        <f t="shared" si="5"/>
        <v>0</v>
      </c>
      <c r="I29" s="134">
        <f t="shared" si="3"/>
        <v>47.26667562075977</v>
      </c>
      <c r="J29" s="134">
        <f t="shared" si="2"/>
        <v>157.34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57.87</v>
      </c>
      <c r="F30" s="134">
        <f t="shared" si="1"/>
        <v>48.308699831771214</v>
      </c>
      <c r="G30" s="132">
        <f t="shared" si="5"/>
        <v>0</v>
      </c>
      <c r="H30" s="132">
        <f t="shared" si="5"/>
        <v>0</v>
      </c>
      <c r="I30" s="134">
        <f t="shared" si="3"/>
        <v>48.308699831771214</v>
      </c>
      <c r="J30" s="134">
        <f t="shared" si="2"/>
        <v>160.81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59.14</v>
      </c>
      <c r="F31" s="134">
        <f t="shared" si="1"/>
        <v>49.369142033165112</v>
      </c>
      <c r="G31" s="132">
        <f t="shared" si="5"/>
        <v>0</v>
      </c>
      <c r="H31" s="132">
        <f t="shared" si="5"/>
        <v>0</v>
      </c>
      <c r="I31" s="134">
        <f t="shared" si="3"/>
        <v>49.369142033165112</v>
      </c>
      <c r="J31" s="134">
        <f t="shared" si="2"/>
        <v>164.34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107.62</v>
      </c>
      <c r="E32" s="132">
        <f t="shared" si="5"/>
        <v>60.5</v>
      </c>
      <c r="F32" s="134">
        <f t="shared" si="1"/>
        <v>50.504686373467919</v>
      </c>
      <c r="G32" s="132">
        <f t="shared" si="5"/>
        <v>0</v>
      </c>
      <c r="H32" s="132">
        <f t="shared" si="5"/>
        <v>0</v>
      </c>
      <c r="I32" s="134">
        <f t="shared" si="3"/>
        <v>50.504686373467919</v>
      </c>
      <c r="J32" s="134">
        <f t="shared" si="2"/>
        <v>168.12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110.1</v>
      </c>
      <c r="E33" s="132">
        <f t="shared" si="5"/>
        <v>61.89</v>
      </c>
      <c r="F33" s="134">
        <f t="shared" si="1"/>
        <v>51.667267483777941</v>
      </c>
      <c r="G33" s="132">
        <f t="shared" si="5"/>
        <v>0</v>
      </c>
      <c r="H33" s="132">
        <f t="shared" si="5"/>
        <v>0</v>
      </c>
      <c r="I33" s="134">
        <f t="shared" si="3"/>
        <v>51.667267483777941</v>
      </c>
      <c r="J33" s="134">
        <f t="shared" si="2"/>
        <v>171.99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112.63</v>
      </c>
      <c r="E34" s="132">
        <f t="shared" si="5"/>
        <v>63.31</v>
      </c>
      <c r="F34" s="134">
        <f t="shared" si="1"/>
        <v>52.853881278538815</v>
      </c>
      <c r="G34" s="132">
        <f t="shared" si="5"/>
        <v>0</v>
      </c>
      <c r="H34" s="132">
        <f t="shared" si="5"/>
        <v>0</v>
      </c>
      <c r="I34" s="134">
        <f t="shared" si="3"/>
        <v>52.853881278538815</v>
      </c>
      <c r="J34" s="134">
        <f t="shared" si="2"/>
        <v>175.94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115.22</v>
      </c>
      <c r="E35" s="132">
        <f t="shared" si="5"/>
        <v>64.77</v>
      </c>
      <c r="F35" s="134">
        <f t="shared" si="1"/>
        <v>54.070535928863258</v>
      </c>
      <c r="G35" s="132">
        <f t="shared" si="5"/>
        <v>0</v>
      </c>
      <c r="H35" s="132">
        <f t="shared" si="5"/>
        <v>0</v>
      </c>
      <c r="I35" s="134">
        <f t="shared" si="3"/>
        <v>54.070535928863258</v>
      </c>
      <c r="J35" s="134">
        <f t="shared" si="2"/>
        <v>179.99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117.87</v>
      </c>
      <c r="E36" s="132">
        <f t="shared" si="5"/>
        <v>66.260000000000005</v>
      </c>
      <c r="F36" s="134">
        <f t="shared" si="1"/>
        <v>55.314227349194908</v>
      </c>
      <c r="G36" s="132">
        <f t="shared" si="5"/>
        <v>0</v>
      </c>
      <c r="H36" s="132">
        <f t="shared" si="5"/>
        <v>0</v>
      </c>
      <c r="I36" s="134">
        <f t="shared" si="3"/>
        <v>55.314227349194908</v>
      </c>
      <c r="J36" s="134">
        <f t="shared" si="2"/>
        <v>184.13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1417.4139219193135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129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54.15</v>
      </c>
      <c r="F27" s="134">
        <f t="shared" si="1"/>
        <v>16.267123287671232</v>
      </c>
      <c r="G27" s="132">
        <f t="shared" si="5"/>
        <v>0</v>
      </c>
      <c r="H27" s="132">
        <f t="shared" si="5"/>
        <v>0</v>
      </c>
      <c r="I27" s="134">
        <f t="shared" si="3"/>
        <v>16.267123287671232</v>
      </c>
      <c r="J27" s="134">
        <f t="shared" si="2"/>
        <v>54.15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16.642633982215813</v>
      </c>
      <c r="G28" s="132">
        <f t="shared" si="5"/>
        <v>0</v>
      </c>
      <c r="H28" s="132">
        <f t="shared" si="5"/>
        <v>0</v>
      </c>
      <c r="I28" s="134">
        <f t="shared" si="3"/>
        <v>16.642633982215813</v>
      </c>
      <c r="J28" s="134">
        <f t="shared" si="2"/>
        <v>55.4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1397.0737350359179</v>
      </c>
      <c r="D29" s="132">
        <f>C29*$C$62</f>
        <v>99.275937898489545</v>
      </c>
      <c r="E29" s="132">
        <f t="shared" si="5"/>
        <v>56.62</v>
      </c>
      <c r="F29" s="134">
        <f t="shared" si="1"/>
        <v>46.832473533552495</v>
      </c>
      <c r="G29" s="132">
        <f t="shared" si="5"/>
        <v>0</v>
      </c>
      <c r="H29" s="132">
        <f t="shared" si="5"/>
        <v>0</v>
      </c>
      <c r="I29" s="134">
        <f t="shared" si="3"/>
        <v>46.832473533552495</v>
      </c>
      <c r="J29" s="134">
        <f t="shared" si="2"/>
        <v>155.9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101.46</v>
      </c>
      <c r="E30" s="132">
        <f t="shared" si="5"/>
        <v>57.87</v>
      </c>
      <c r="F30" s="134">
        <f t="shared" si="1"/>
        <v>47.864095169430421</v>
      </c>
      <c r="G30" s="132">
        <f t="shared" si="5"/>
        <v>0</v>
      </c>
      <c r="H30" s="132">
        <f t="shared" si="5"/>
        <v>0</v>
      </c>
      <c r="I30" s="134">
        <f t="shared" si="3"/>
        <v>47.864095169430421</v>
      </c>
      <c r="J30" s="134">
        <f t="shared" si="2"/>
        <v>159.33000000000001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103.69</v>
      </c>
      <c r="E31" s="132">
        <f t="shared" si="5"/>
        <v>59.14</v>
      </c>
      <c r="F31" s="134">
        <f t="shared" si="1"/>
        <v>48.915525114155251</v>
      </c>
      <c r="G31" s="132">
        <f t="shared" si="5"/>
        <v>0</v>
      </c>
      <c r="H31" s="132">
        <f t="shared" si="5"/>
        <v>0</v>
      </c>
      <c r="I31" s="134">
        <f t="shared" si="3"/>
        <v>48.915525114155251</v>
      </c>
      <c r="J31" s="134">
        <f t="shared" si="2"/>
        <v>162.83000000000001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106.07</v>
      </c>
      <c r="E32" s="132">
        <f t="shared" si="5"/>
        <v>60.5</v>
      </c>
      <c r="F32" s="134">
        <f t="shared" si="1"/>
        <v>50.039053112232637</v>
      </c>
      <c r="G32" s="132">
        <f t="shared" si="5"/>
        <v>0</v>
      </c>
      <c r="H32" s="132">
        <f t="shared" si="5"/>
        <v>0</v>
      </c>
      <c r="I32" s="134">
        <f t="shared" si="3"/>
        <v>50.039053112232637</v>
      </c>
      <c r="J32" s="134">
        <f t="shared" si="2"/>
        <v>166.57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108.51</v>
      </c>
      <c r="E33" s="132">
        <f t="shared" si="5"/>
        <v>61.89</v>
      </c>
      <c r="F33" s="134">
        <f t="shared" si="1"/>
        <v>51.189617880317236</v>
      </c>
      <c r="G33" s="132">
        <f t="shared" si="5"/>
        <v>0</v>
      </c>
      <c r="H33" s="132">
        <f t="shared" si="5"/>
        <v>0</v>
      </c>
      <c r="I33" s="134">
        <f t="shared" si="3"/>
        <v>51.189617880317236</v>
      </c>
      <c r="J33" s="134">
        <f t="shared" si="2"/>
        <v>170.4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111.01</v>
      </c>
      <c r="E34" s="132">
        <f t="shared" si="5"/>
        <v>63.31</v>
      </c>
      <c r="F34" s="134">
        <f t="shared" si="1"/>
        <v>52.367219418409036</v>
      </c>
      <c r="G34" s="132">
        <f t="shared" si="5"/>
        <v>0</v>
      </c>
      <c r="H34" s="132">
        <f t="shared" si="5"/>
        <v>0</v>
      </c>
      <c r="I34" s="134">
        <f t="shared" si="3"/>
        <v>52.367219418409036</v>
      </c>
      <c r="J34" s="134">
        <f t="shared" si="2"/>
        <v>174.32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113.56</v>
      </c>
      <c r="E35" s="132">
        <f t="shared" si="5"/>
        <v>64.77</v>
      </c>
      <c r="F35" s="134">
        <f t="shared" si="1"/>
        <v>53.57185772650805</v>
      </c>
      <c r="G35" s="132">
        <f t="shared" si="5"/>
        <v>0</v>
      </c>
      <c r="H35" s="132">
        <f t="shared" si="5"/>
        <v>0</v>
      </c>
      <c r="I35" s="134">
        <f t="shared" si="3"/>
        <v>53.57185772650805</v>
      </c>
      <c r="J35" s="134">
        <f t="shared" si="2"/>
        <v>178.33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116.17</v>
      </c>
      <c r="E36" s="132">
        <f t="shared" si="5"/>
        <v>66.260000000000005</v>
      </c>
      <c r="F36" s="134">
        <f t="shared" si="1"/>
        <v>54.803532804614278</v>
      </c>
      <c r="G36" s="132">
        <f t="shared" si="5"/>
        <v>0</v>
      </c>
      <c r="H36" s="132">
        <f t="shared" si="5"/>
        <v>0</v>
      </c>
      <c r="I36" s="134">
        <f t="shared" si="3"/>
        <v>54.803532804614278</v>
      </c>
      <c r="J36" s="134">
        <f t="shared" si="2"/>
        <v>182.43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1397.0737350359179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Resource-2030 - 25%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M11" s="239">
        <v>34.793006303232339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19.55</v>
      </c>
      <c r="F13" s="134">
        <f t="shared" si="1"/>
        <v>8.9627918064953889</v>
      </c>
      <c r="G13" s="132">
        <f t="shared" si="4"/>
        <v>0</v>
      </c>
      <c r="H13" s="132">
        <f t="shared" si="4"/>
        <v>0</v>
      </c>
      <c r="I13" s="134">
        <f t="shared" si="2"/>
        <v>8.9627918064953889</v>
      </c>
      <c r="J13" s="134">
        <f t="shared" si="3"/>
        <v>19.55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19.98</v>
      </c>
      <c r="F14" s="134">
        <f t="shared" si="1"/>
        <v>9.1599273807559012</v>
      </c>
      <c r="G14" s="132">
        <f t="shared" si="4"/>
        <v>0</v>
      </c>
      <c r="H14" s="132">
        <f t="shared" si="4"/>
        <v>0</v>
      </c>
      <c r="I14" s="134">
        <f t="shared" si="2"/>
        <v>9.1599273807559012</v>
      </c>
      <c r="J14" s="134">
        <f t="shared" si="3"/>
        <v>19.98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20.46</v>
      </c>
      <c r="F15" s="134">
        <f t="shared" si="1"/>
        <v>9.3799856962094967</v>
      </c>
      <c r="G15" s="132">
        <f t="shared" si="4"/>
        <v>0</v>
      </c>
      <c r="H15" s="132">
        <f t="shared" si="4"/>
        <v>0</v>
      </c>
      <c r="I15" s="134">
        <f t="shared" si="2"/>
        <v>9.3799856962094967</v>
      </c>
      <c r="J15" s="134">
        <f t="shared" si="3"/>
        <v>20.46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20.95</v>
      </c>
      <c r="F16" s="134">
        <f t="shared" si="1"/>
        <v>9.6046285599017072</v>
      </c>
      <c r="G16" s="132">
        <f t="shared" si="4"/>
        <v>0</v>
      </c>
      <c r="H16" s="132">
        <f t="shared" si="4"/>
        <v>0</v>
      </c>
      <c r="I16" s="134">
        <f t="shared" si="2"/>
        <v>9.6046285599017072</v>
      </c>
      <c r="J16" s="134">
        <f t="shared" si="3"/>
        <v>20.95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21.45</v>
      </c>
      <c r="F17" s="134">
        <f t="shared" si="1"/>
        <v>9.833855971832536</v>
      </c>
      <c r="G17" s="132">
        <f t="shared" si="4"/>
        <v>0</v>
      </c>
      <c r="H17" s="132">
        <f t="shared" si="4"/>
        <v>0</v>
      </c>
      <c r="I17" s="134">
        <f t="shared" si="2"/>
        <v>9.833855971832536</v>
      </c>
      <c r="J17" s="134">
        <f t="shared" si="3"/>
        <v>21.45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21.96</v>
      </c>
      <c r="F18" s="134">
        <f t="shared" si="1"/>
        <v>10.067667932001982</v>
      </c>
      <c r="G18" s="132">
        <f t="shared" si="4"/>
        <v>0</v>
      </c>
      <c r="H18" s="132">
        <f t="shared" si="4"/>
        <v>0</v>
      </c>
      <c r="I18" s="134">
        <f t="shared" si="2"/>
        <v>10.067667932001982</v>
      </c>
      <c r="J18" s="134">
        <f t="shared" si="3"/>
        <v>21.96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22.47</v>
      </c>
      <c r="F19" s="134">
        <f t="shared" si="1"/>
        <v>10.301479892171425</v>
      </c>
      <c r="G19" s="132">
        <f t="shared" si="4"/>
        <v>0</v>
      </c>
      <c r="H19" s="132">
        <f t="shared" si="4"/>
        <v>0</v>
      </c>
      <c r="I19" s="134">
        <f t="shared" si="2"/>
        <v>10.301479892171425</v>
      </c>
      <c r="J19" s="134">
        <f t="shared" si="3"/>
        <v>22.47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22.99</v>
      </c>
      <c r="F20" s="134">
        <f t="shared" si="1"/>
        <v>10.539876400579487</v>
      </c>
      <c r="G20" s="132">
        <f t="shared" si="4"/>
        <v>0</v>
      </c>
      <c r="H20" s="132">
        <f t="shared" si="4"/>
        <v>0</v>
      </c>
      <c r="I20" s="134">
        <f t="shared" si="2"/>
        <v>10.539876400579487</v>
      </c>
      <c r="J20" s="134">
        <f t="shared" si="3"/>
        <v>22.99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23.52</v>
      </c>
      <c r="F21" s="134">
        <f t="shared" si="1"/>
        <v>10.782857457226166</v>
      </c>
      <c r="G21" s="132">
        <f t="shared" si="4"/>
        <v>0</v>
      </c>
      <c r="H21" s="132">
        <f t="shared" si="4"/>
        <v>0</v>
      </c>
      <c r="I21" s="134">
        <f t="shared" si="2"/>
        <v>10.782857457226166</v>
      </c>
      <c r="J21" s="134">
        <f t="shared" si="3"/>
        <v>23.52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24.08</v>
      </c>
      <c r="F22" s="134">
        <f t="shared" si="1"/>
        <v>11.039592158588693</v>
      </c>
      <c r="G22" s="132">
        <f t="shared" si="4"/>
        <v>0</v>
      </c>
      <c r="H22" s="132">
        <f t="shared" si="4"/>
        <v>0</v>
      </c>
      <c r="I22" s="134">
        <f t="shared" si="2"/>
        <v>11.039592158588693</v>
      </c>
      <c r="J22" s="134">
        <f t="shared" si="3"/>
        <v>24.08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24.66</v>
      </c>
      <c r="F23" s="134">
        <f t="shared" si="1"/>
        <v>11.305495956428455</v>
      </c>
      <c r="G23" s="132">
        <f t="shared" si="4"/>
        <v>0</v>
      </c>
      <c r="H23" s="132">
        <f t="shared" si="4"/>
        <v>0</v>
      </c>
      <c r="I23" s="134">
        <f t="shared" si="2"/>
        <v>11.305495956428455</v>
      </c>
      <c r="J23" s="134">
        <f t="shared" si="3"/>
        <v>24.66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>
        <f>$C$55</f>
        <v>1192.5044909019937</v>
      </c>
      <c r="D24" s="132">
        <f>C24*$C$62</f>
        <v>92.05729505283152</v>
      </c>
      <c r="E24" s="132">
        <f t="shared" si="4"/>
        <v>25.23</v>
      </c>
      <c r="F24" s="134">
        <f t="shared" si="1"/>
        <v>53.770926194656035</v>
      </c>
      <c r="G24" s="132">
        <f t="shared" si="4"/>
        <v>0</v>
      </c>
      <c r="H24" s="132">
        <f t="shared" si="4"/>
        <v>0</v>
      </c>
      <c r="I24" s="134">
        <f t="shared" si="2"/>
        <v>53.770926194656035</v>
      </c>
      <c r="J24" s="134">
        <f t="shared" si="3"/>
        <v>117.29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94.17</v>
      </c>
      <c r="E25" s="132">
        <f t="shared" si="4"/>
        <v>25.81</v>
      </c>
      <c r="F25" s="134">
        <f t="shared" si="1"/>
        <v>55.005409766921574</v>
      </c>
      <c r="G25" s="132">
        <f t="shared" si="4"/>
        <v>0</v>
      </c>
      <c r="H25" s="132">
        <f t="shared" si="4"/>
        <v>0</v>
      </c>
      <c r="I25" s="134">
        <f t="shared" si="2"/>
        <v>55.005409766921574</v>
      </c>
      <c r="J25" s="134">
        <f t="shared" si="3"/>
        <v>119.98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96.34</v>
      </c>
      <c r="E26" s="132">
        <f t="shared" si="4"/>
        <v>26.4</v>
      </c>
      <c r="F26" s="134">
        <f t="shared" si="1"/>
        <v>56.270745080779747</v>
      </c>
      <c r="G26" s="132">
        <f t="shared" si="4"/>
        <v>0</v>
      </c>
      <c r="H26" s="132">
        <f t="shared" si="4"/>
        <v>0</v>
      </c>
      <c r="I26" s="134">
        <f t="shared" si="2"/>
        <v>56.270745080779747</v>
      </c>
      <c r="J26" s="134">
        <f t="shared" si="3"/>
        <v>122.74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98.56</v>
      </c>
      <c r="E27" s="132">
        <f t="shared" si="4"/>
        <v>27.01</v>
      </c>
      <c r="F27" s="134">
        <f t="shared" si="1"/>
        <v>57.568172232308235</v>
      </c>
      <c r="G27" s="132">
        <f t="shared" si="4"/>
        <v>0</v>
      </c>
      <c r="H27" s="132">
        <f t="shared" si="4"/>
        <v>0</v>
      </c>
      <c r="I27" s="134">
        <f t="shared" si="2"/>
        <v>57.568172232308235</v>
      </c>
      <c r="J27" s="134">
        <f t="shared" si="3"/>
        <v>125.57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100.83</v>
      </c>
      <c r="E28" s="132">
        <f t="shared" si="4"/>
        <v>27.63</v>
      </c>
      <c r="F28" s="134">
        <f t="shared" si="1"/>
        <v>58.893106673268427</v>
      </c>
      <c r="G28" s="132">
        <f t="shared" si="4"/>
        <v>0</v>
      </c>
      <c r="H28" s="132">
        <f t="shared" si="4"/>
        <v>0</v>
      </c>
      <c r="I28" s="134">
        <f t="shared" si="2"/>
        <v>58.893106673268427</v>
      </c>
      <c r="J28" s="134">
        <f t="shared" si="3"/>
        <v>128.46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103.05</v>
      </c>
      <c r="E29" s="132">
        <f t="shared" si="4"/>
        <v>28.24</v>
      </c>
      <c r="F29" s="134">
        <f t="shared" si="1"/>
        <v>60.190533824796908</v>
      </c>
      <c r="G29" s="132">
        <f t="shared" si="4"/>
        <v>0</v>
      </c>
      <c r="H29" s="132">
        <f t="shared" si="4"/>
        <v>0</v>
      </c>
      <c r="I29" s="134">
        <f t="shared" si="2"/>
        <v>60.190533824796908</v>
      </c>
      <c r="J29" s="134">
        <f t="shared" si="3"/>
        <v>131.29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105.32</v>
      </c>
      <c r="E30" s="132">
        <f t="shared" si="4"/>
        <v>28.86</v>
      </c>
      <c r="F30" s="134">
        <f t="shared" si="1"/>
        <v>61.5154682657571</v>
      </c>
      <c r="G30" s="132">
        <f t="shared" si="4"/>
        <v>0</v>
      </c>
      <c r="H30" s="132">
        <f t="shared" si="4"/>
        <v>0</v>
      </c>
      <c r="I30" s="134">
        <f t="shared" si="2"/>
        <v>61.5154682657571</v>
      </c>
      <c r="J30" s="134">
        <f t="shared" si="3"/>
        <v>134.18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107.64</v>
      </c>
      <c r="E31" s="132">
        <f t="shared" si="4"/>
        <v>29.49</v>
      </c>
      <c r="F31" s="134">
        <f t="shared" si="1"/>
        <v>62.867909996148981</v>
      </c>
      <c r="G31" s="132">
        <f t="shared" si="4"/>
        <v>0</v>
      </c>
      <c r="H31" s="132">
        <f t="shared" si="4"/>
        <v>0</v>
      </c>
      <c r="I31" s="134">
        <f t="shared" si="2"/>
        <v>62.867909996148981</v>
      </c>
      <c r="J31" s="134">
        <f t="shared" si="3"/>
        <v>137.13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110.12</v>
      </c>
      <c r="E32" s="132">
        <f t="shared" si="4"/>
        <v>30.17</v>
      </c>
      <c r="F32" s="134">
        <f t="shared" si="1"/>
        <v>64.316627239551835</v>
      </c>
      <c r="G32" s="132">
        <f t="shared" si="4"/>
        <v>0</v>
      </c>
      <c r="H32" s="132">
        <f t="shared" si="4"/>
        <v>0</v>
      </c>
      <c r="I32" s="134">
        <f t="shared" si="2"/>
        <v>64.316627239551835</v>
      </c>
      <c r="J32" s="134">
        <f t="shared" si="3"/>
        <v>140.29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112.65</v>
      </c>
      <c r="E33" s="132">
        <f t="shared" si="4"/>
        <v>30.86</v>
      </c>
      <c r="F33" s="134">
        <f t="shared" si="1"/>
        <v>65.792851772386356</v>
      </c>
      <c r="G33" s="132">
        <f t="shared" si="4"/>
        <v>0</v>
      </c>
      <c r="H33" s="132">
        <f t="shared" si="4"/>
        <v>0</v>
      </c>
      <c r="I33" s="134">
        <f t="shared" si="2"/>
        <v>65.792851772386356</v>
      </c>
      <c r="J33" s="134">
        <f t="shared" si="3"/>
        <v>143.51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115.24</v>
      </c>
      <c r="E34" s="132">
        <f t="shared" si="4"/>
        <v>31.57</v>
      </c>
      <c r="F34" s="134">
        <f t="shared" si="1"/>
        <v>67.305752691129825</v>
      </c>
      <c r="G34" s="132">
        <f t="shared" si="4"/>
        <v>0</v>
      </c>
      <c r="H34" s="132">
        <f t="shared" si="4"/>
        <v>0</v>
      </c>
      <c r="I34" s="134">
        <f t="shared" si="2"/>
        <v>67.305752691129825</v>
      </c>
      <c r="J34" s="134">
        <f t="shared" si="3"/>
        <v>146.81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117.89</v>
      </c>
      <c r="E35" s="132">
        <f t="shared" si="4"/>
        <v>32.299999999999997</v>
      </c>
      <c r="F35" s="134">
        <f t="shared" si="1"/>
        <v>68.855329995782213</v>
      </c>
      <c r="G35" s="132">
        <f t="shared" si="4"/>
        <v>0</v>
      </c>
      <c r="H35" s="132">
        <f t="shared" si="4"/>
        <v>0</v>
      </c>
      <c r="I35" s="134">
        <f t="shared" si="2"/>
        <v>68.855329995782213</v>
      </c>
      <c r="J35" s="134">
        <f t="shared" si="3"/>
        <v>150.19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120.6</v>
      </c>
      <c r="E36" s="132">
        <f t="shared" si="4"/>
        <v>33.04</v>
      </c>
      <c r="F36" s="134">
        <f t="shared" si="1"/>
        <v>70.436999138104923</v>
      </c>
      <c r="G36" s="132">
        <f t="shared" si="4"/>
        <v>0</v>
      </c>
      <c r="H36" s="132">
        <f t="shared" si="4"/>
        <v>0</v>
      </c>
      <c r="I36" s="134">
        <f t="shared" si="2"/>
        <v>70.436999138104923</v>
      </c>
      <c r="J36" s="134">
        <f t="shared" si="3"/>
        <v>153.63999999999999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Resource-2030 - 25%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1192.5044909019937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18.74175672264068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Resource-2032 - 25%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19.55</v>
      </c>
      <c r="F13" s="134">
        <f t="shared" si="1"/>
        <v>8.9627918064953889</v>
      </c>
      <c r="G13" s="132">
        <f t="shared" si="4"/>
        <v>0</v>
      </c>
      <c r="H13" s="132">
        <f t="shared" si="4"/>
        <v>0</v>
      </c>
      <c r="I13" s="134">
        <f t="shared" si="2"/>
        <v>8.9627918064953889</v>
      </c>
      <c r="J13" s="134">
        <f t="shared" si="3"/>
        <v>19.55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19.98</v>
      </c>
      <c r="F14" s="134">
        <f t="shared" si="1"/>
        <v>9.1599273807559012</v>
      </c>
      <c r="G14" s="132">
        <f t="shared" si="4"/>
        <v>0</v>
      </c>
      <c r="H14" s="132">
        <f t="shared" si="4"/>
        <v>0</v>
      </c>
      <c r="I14" s="134">
        <f t="shared" si="2"/>
        <v>9.1599273807559012</v>
      </c>
      <c r="J14" s="134">
        <f t="shared" si="3"/>
        <v>19.98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20.46</v>
      </c>
      <c r="F15" s="134">
        <f t="shared" si="1"/>
        <v>9.3799856962094967</v>
      </c>
      <c r="G15" s="132">
        <f t="shared" si="4"/>
        <v>0</v>
      </c>
      <c r="H15" s="132">
        <f t="shared" si="4"/>
        <v>0</v>
      </c>
      <c r="I15" s="134">
        <f t="shared" si="2"/>
        <v>9.3799856962094967</v>
      </c>
      <c r="J15" s="134">
        <f t="shared" si="3"/>
        <v>20.46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20.95</v>
      </c>
      <c r="F16" s="134">
        <f t="shared" si="1"/>
        <v>9.6046285599017072</v>
      </c>
      <c r="G16" s="132">
        <f t="shared" si="4"/>
        <v>0</v>
      </c>
      <c r="H16" s="132">
        <f t="shared" si="4"/>
        <v>0</v>
      </c>
      <c r="I16" s="134">
        <f t="shared" si="2"/>
        <v>9.6046285599017072</v>
      </c>
      <c r="J16" s="134">
        <f t="shared" si="3"/>
        <v>20.95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21.45</v>
      </c>
      <c r="F17" s="134">
        <f t="shared" si="1"/>
        <v>9.833855971832536</v>
      </c>
      <c r="G17" s="132">
        <f t="shared" si="4"/>
        <v>0</v>
      </c>
      <c r="H17" s="132">
        <f t="shared" si="4"/>
        <v>0</v>
      </c>
      <c r="I17" s="134">
        <f t="shared" si="2"/>
        <v>9.833855971832536</v>
      </c>
      <c r="J17" s="134">
        <f t="shared" si="3"/>
        <v>21.45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21.96</v>
      </c>
      <c r="F18" s="134">
        <f t="shared" si="1"/>
        <v>10.067667932001982</v>
      </c>
      <c r="G18" s="132">
        <f t="shared" si="4"/>
        <v>0</v>
      </c>
      <c r="H18" s="132">
        <f t="shared" si="4"/>
        <v>0</v>
      </c>
      <c r="I18" s="134">
        <f t="shared" si="2"/>
        <v>10.067667932001982</v>
      </c>
      <c r="J18" s="134">
        <f t="shared" si="3"/>
        <v>21.96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22.47</v>
      </c>
      <c r="F19" s="134">
        <f t="shared" si="1"/>
        <v>10.301479892171425</v>
      </c>
      <c r="G19" s="132">
        <f t="shared" si="4"/>
        <v>0</v>
      </c>
      <c r="H19" s="132">
        <f t="shared" si="4"/>
        <v>0</v>
      </c>
      <c r="I19" s="134">
        <f t="shared" si="2"/>
        <v>10.301479892171425</v>
      </c>
      <c r="J19" s="134">
        <f t="shared" si="3"/>
        <v>22.47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22.99</v>
      </c>
      <c r="F20" s="134">
        <f t="shared" si="1"/>
        <v>10.539876400579487</v>
      </c>
      <c r="G20" s="132">
        <f t="shared" si="4"/>
        <v>0</v>
      </c>
      <c r="H20" s="132">
        <f t="shared" si="4"/>
        <v>0</v>
      </c>
      <c r="I20" s="134">
        <f t="shared" si="2"/>
        <v>10.539876400579487</v>
      </c>
      <c r="J20" s="134">
        <f t="shared" si="3"/>
        <v>22.99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23.52</v>
      </c>
      <c r="F21" s="134">
        <f t="shared" si="1"/>
        <v>10.782857457226166</v>
      </c>
      <c r="G21" s="132">
        <f t="shared" si="4"/>
        <v>0</v>
      </c>
      <c r="H21" s="132">
        <f t="shared" si="4"/>
        <v>0</v>
      </c>
      <c r="I21" s="134">
        <f t="shared" si="2"/>
        <v>10.782857457226166</v>
      </c>
      <c r="J21" s="134">
        <f t="shared" si="3"/>
        <v>23.52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24.08</v>
      </c>
      <c r="F22" s="134">
        <f t="shared" si="1"/>
        <v>11.039592158588693</v>
      </c>
      <c r="G22" s="132">
        <f t="shared" si="4"/>
        <v>0</v>
      </c>
      <c r="H22" s="132">
        <f t="shared" si="4"/>
        <v>0</v>
      </c>
      <c r="I22" s="134">
        <f t="shared" si="2"/>
        <v>11.039592158588693</v>
      </c>
      <c r="J22" s="134">
        <f t="shared" si="3"/>
        <v>24.08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24.66</v>
      </c>
      <c r="F23" s="134">
        <f t="shared" si="1"/>
        <v>11.305495956428455</v>
      </c>
      <c r="G23" s="132">
        <f t="shared" si="4"/>
        <v>0</v>
      </c>
      <c r="H23" s="132">
        <f t="shared" si="4"/>
        <v>0</v>
      </c>
      <c r="I23" s="134">
        <f t="shared" si="2"/>
        <v>11.305495956428455</v>
      </c>
      <c r="J23" s="134">
        <f t="shared" si="3"/>
        <v>24.66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25.23</v>
      </c>
      <c r="F24" s="134">
        <f t="shared" si="1"/>
        <v>11.566815206029599</v>
      </c>
      <c r="G24" s="132">
        <f t="shared" si="4"/>
        <v>0</v>
      </c>
      <c r="H24" s="132">
        <f t="shared" si="4"/>
        <v>0</v>
      </c>
      <c r="I24" s="134">
        <f t="shared" si="2"/>
        <v>11.566815206029599</v>
      </c>
      <c r="J24" s="134">
        <f t="shared" si="3"/>
        <v>25.23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25.81</v>
      </c>
      <c r="F25" s="134">
        <f t="shared" si="1"/>
        <v>11.832719003869359</v>
      </c>
      <c r="G25" s="132">
        <f t="shared" si="4"/>
        <v>0</v>
      </c>
      <c r="H25" s="132">
        <f t="shared" si="4"/>
        <v>0</v>
      </c>
      <c r="I25" s="134">
        <f t="shared" si="2"/>
        <v>11.832719003869359</v>
      </c>
      <c r="J25" s="134">
        <f t="shared" si="3"/>
        <v>25.81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>
        <f>$C$55</f>
        <v>1178.9486841766204</v>
      </c>
      <c r="D26" s="132">
        <f>C26*$C$62</f>
        <v>91.010832830745514</v>
      </c>
      <c r="E26" s="132">
        <f t="shared" si="4"/>
        <v>26.4</v>
      </c>
      <c r="F26" s="134">
        <f t="shared" si="1"/>
        <v>53.827562684869854</v>
      </c>
      <c r="G26" s="132">
        <f t="shared" si="4"/>
        <v>0</v>
      </c>
      <c r="H26" s="132">
        <f t="shared" si="4"/>
        <v>0</v>
      </c>
      <c r="I26" s="134">
        <f t="shared" si="2"/>
        <v>53.827562684869854</v>
      </c>
      <c r="J26" s="134">
        <f t="shared" si="3"/>
        <v>117.41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93.1</v>
      </c>
      <c r="E27" s="132">
        <f t="shared" si="4"/>
        <v>27.01</v>
      </c>
      <c r="F27" s="134">
        <f t="shared" si="1"/>
        <v>55.065008894023585</v>
      </c>
      <c r="G27" s="132">
        <f t="shared" si="4"/>
        <v>0</v>
      </c>
      <c r="H27" s="132">
        <f t="shared" si="4"/>
        <v>0</v>
      </c>
      <c r="I27" s="134">
        <f t="shared" si="2"/>
        <v>55.065008894023585</v>
      </c>
      <c r="J27" s="134">
        <f t="shared" si="3"/>
        <v>120.11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95.24</v>
      </c>
      <c r="E28" s="132">
        <f t="shared" si="4"/>
        <v>27.63</v>
      </c>
      <c r="F28" s="134">
        <f t="shared" si="1"/>
        <v>56.330344207881758</v>
      </c>
      <c r="G28" s="132">
        <f t="shared" si="4"/>
        <v>0</v>
      </c>
      <c r="H28" s="132">
        <f t="shared" si="4"/>
        <v>0</v>
      </c>
      <c r="I28" s="134">
        <f t="shared" si="2"/>
        <v>56.330344207881758</v>
      </c>
      <c r="J28" s="134">
        <f t="shared" si="3"/>
        <v>122.87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97.34</v>
      </c>
      <c r="E29" s="132">
        <f t="shared" si="4"/>
        <v>28.24</v>
      </c>
      <c r="F29" s="134">
        <f t="shared" si="1"/>
        <v>57.572756780546847</v>
      </c>
      <c r="G29" s="132">
        <f t="shared" si="4"/>
        <v>0</v>
      </c>
      <c r="H29" s="132">
        <f t="shared" si="4"/>
        <v>0</v>
      </c>
      <c r="I29" s="134">
        <f t="shared" si="2"/>
        <v>57.572756780546847</v>
      </c>
      <c r="J29" s="134">
        <f t="shared" si="3"/>
        <v>125.58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99.48</v>
      </c>
      <c r="E30" s="132">
        <f t="shared" si="4"/>
        <v>28.86</v>
      </c>
      <c r="F30" s="134">
        <f t="shared" si="1"/>
        <v>58.83809209440502</v>
      </c>
      <c r="G30" s="132">
        <f t="shared" si="4"/>
        <v>0</v>
      </c>
      <c r="H30" s="132">
        <f t="shared" si="4"/>
        <v>0</v>
      </c>
      <c r="I30" s="134">
        <f t="shared" si="2"/>
        <v>58.83809209440502</v>
      </c>
      <c r="J30" s="134">
        <f t="shared" si="3"/>
        <v>128.34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101.67</v>
      </c>
      <c r="E31" s="132">
        <f t="shared" si="4"/>
        <v>29.49</v>
      </c>
      <c r="F31" s="134">
        <f t="shared" si="1"/>
        <v>60.13093469769489</v>
      </c>
      <c r="G31" s="132">
        <f t="shared" si="4"/>
        <v>0</v>
      </c>
      <c r="H31" s="132">
        <f t="shared" si="4"/>
        <v>0</v>
      </c>
      <c r="I31" s="134">
        <f t="shared" si="2"/>
        <v>60.13093469769489</v>
      </c>
      <c r="J31" s="134">
        <f t="shared" si="3"/>
        <v>131.16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104.01</v>
      </c>
      <c r="E32" s="132">
        <f t="shared" si="4"/>
        <v>30.17</v>
      </c>
      <c r="F32" s="134">
        <f t="shared" si="1"/>
        <v>61.5154682657571</v>
      </c>
      <c r="G32" s="132">
        <f t="shared" si="4"/>
        <v>0</v>
      </c>
      <c r="H32" s="132">
        <f t="shared" si="4"/>
        <v>0</v>
      </c>
      <c r="I32" s="134">
        <f t="shared" si="2"/>
        <v>61.5154682657571</v>
      </c>
      <c r="J32" s="134">
        <f t="shared" si="3"/>
        <v>134.18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106.4</v>
      </c>
      <c r="E33" s="132">
        <f t="shared" si="4"/>
        <v>30.86</v>
      </c>
      <c r="F33" s="134">
        <f t="shared" si="1"/>
        <v>62.927509123250992</v>
      </c>
      <c r="G33" s="132">
        <f t="shared" si="4"/>
        <v>0</v>
      </c>
      <c r="H33" s="132">
        <f t="shared" si="4"/>
        <v>0</v>
      </c>
      <c r="I33" s="134">
        <f t="shared" si="2"/>
        <v>62.927509123250992</v>
      </c>
      <c r="J33" s="134">
        <f t="shared" si="3"/>
        <v>137.26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108.85</v>
      </c>
      <c r="E34" s="132">
        <f t="shared" si="4"/>
        <v>31.57</v>
      </c>
      <c r="F34" s="134">
        <f t="shared" si="1"/>
        <v>64.376226366653825</v>
      </c>
      <c r="G34" s="132">
        <f t="shared" si="4"/>
        <v>0</v>
      </c>
      <c r="H34" s="132">
        <f t="shared" si="4"/>
        <v>0</v>
      </c>
      <c r="I34" s="134">
        <f t="shared" si="2"/>
        <v>64.376226366653825</v>
      </c>
      <c r="J34" s="134">
        <f t="shared" si="3"/>
        <v>140.41999999999999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111.35</v>
      </c>
      <c r="E35" s="132">
        <f t="shared" si="4"/>
        <v>32.299999999999997</v>
      </c>
      <c r="F35" s="134">
        <f t="shared" si="1"/>
        <v>65.857035447726972</v>
      </c>
      <c r="G35" s="132">
        <f t="shared" si="4"/>
        <v>0</v>
      </c>
      <c r="H35" s="132">
        <f t="shared" si="4"/>
        <v>0</v>
      </c>
      <c r="I35" s="134">
        <f t="shared" si="2"/>
        <v>65.857035447726972</v>
      </c>
      <c r="J35" s="134">
        <f t="shared" si="3"/>
        <v>143.65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113.91</v>
      </c>
      <c r="E36" s="132">
        <f t="shared" si="4"/>
        <v>33.04</v>
      </c>
      <c r="F36" s="134">
        <f t="shared" si="1"/>
        <v>67.369936366470441</v>
      </c>
      <c r="G36" s="132">
        <f t="shared" si="4"/>
        <v>0</v>
      </c>
      <c r="H36" s="132">
        <f t="shared" si="4"/>
        <v>0</v>
      </c>
      <c r="I36" s="134">
        <f t="shared" si="2"/>
        <v>67.369936366470441</v>
      </c>
      <c r="J36" s="134">
        <f t="shared" si="3"/>
        <v>146.94999999999999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YK Solar 2030'!D44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Resource-2032 - 25%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130</v>
      </c>
      <c r="C55" s="185">
        <v>1178.9486841766204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18.74175672264068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Resource-2033 - 25%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19.55</v>
      </c>
      <c r="F13" s="134">
        <f t="shared" si="1"/>
        <v>8.9627918064953889</v>
      </c>
      <c r="G13" s="132">
        <f t="shared" si="4"/>
        <v>0</v>
      </c>
      <c r="H13" s="132">
        <f t="shared" si="4"/>
        <v>0</v>
      </c>
      <c r="I13" s="134">
        <f t="shared" si="2"/>
        <v>8.9627918064953889</v>
      </c>
      <c r="J13" s="134">
        <f t="shared" si="3"/>
        <v>19.55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19.98</v>
      </c>
      <c r="F14" s="134">
        <f t="shared" si="1"/>
        <v>9.1599273807559012</v>
      </c>
      <c r="G14" s="132">
        <f t="shared" si="4"/>
        <v>0</v>
      </c>
      <c r="H14" s="132">
        <f t="shared" si="4"/>
        <v>0</v>
      </c>
      <c r="I14" s="134">
        <f t="shared" si="2"/>
        <v>9.1599273807559012</v>
      </c>
      <c r="J14" s="134">
        <f t="shared" si="3"/>
        <v>19.98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20.46</v>
      </c>
      <c r="F15" s="134">
        <f t="shared" si="1"/>
        <v>9.3799856962094967</v>
      </c>
      <c r="G15" s="132">
        <f t="shared" si="4"/>
        <v>0</v>
      </c>
      <c r="H15" s="132">
        <f t="shared" si="4"/>
        <v>0</v>
      </c>
      <c r="I15" s="134">
        <f t="shared" si="2"/>
        <v>9.3799856962094967</v>
      </c>
      <c r="J15" s="134">
        <f t="shared" si="3"/>
        <v>20.46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20.95</v>
      </c>
      <c r="F16" s="134">
        <f t="shared" si="1"/>
        <v>9.6046285599017072</v>
      </c>
      <c r="G16" s="132">
        <f t="shared" si="4"/>
        <v>0</v>
      </c>
      <c r="H16" s="132">
        <f t="shared" si="4"/>
        <v>0</v>
      </c>
      <c r="I16" s="134">
        <f t="shared" si="2"/>
        <v>9.6046285599017072</v>
      </c>
      <c r="J16" s="134">
        <f t="shared" si="3"/>
        <v>20.95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21.45</v>
      </c>
      <c r="F17" s="134">
        <f t="shared" si="1"/>
        <v>9.833855971832536</v>
      </c>
      <c r="G17" s="132">
        <f t="shared" si="4"/>
        <v>0</v>
      </c>
      <c r="H17" s="132">
        <f t="shared" si="4"/>
        <v>0</v>
      </c>
      <c r="I17" s="134">
        <f t="shared" si="2"/>
        <v>9.833855971832536</v>
      </c>
      <c r="J17" s="134">
        <f t="shared" si="3"/>
        <v>21.45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21.96</v>
      </c>
      <c r="F18" s="134">
        <f t="shared" si="1"/>
        <v>10.067667932001982</v>
      </c>
      <c r="G18" s="132">
        <f t="shared" si="4"/>
        <v>0</v>
      </c>
      <c r="H18" s="132">
        <f t="shared" si="4"/>
        <v>0</v>
      </c>
      <c r="I18" s="134">
        <f t="shared" si="2"/>
        <v>10.067667932001982</v>
      </c>
      <c r="J18" s="134">
        <f t="shared" si="3"/>
        <v>21.96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22.47</v>
      </c>
      <c r="F19" s="134">
        <f t="shared" si="1"/>
        <v>10.301479892171425</v>
      </c>
      <c r="G19" s="132">
        <f t="shared" si="4"/>
        <v>0</v>
      </c>
      <c r="H19" s="132">
        <f t="shared" si="4"/>
        <v>0</v>
      </c>
      <c r="I19" s="134">
        <f t="shared" si="2"/>
        <v>10.301479892171425</v>
      </c>
      <c r="J19" s="134">
        <f t="shared" si="3"/>
        <v>22.47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22.99</v>
      </c>
      <c r="F20" s="134">
        <f t="shared" si="1"/>
        <v>10.539876400579487</v>
      </c>
      <c r="G20" s="132">
        <f t="shared" si="4"/>
        <v>0</v>
      </c>
      <c r="H20" s="132">
        <f t="shared" si="4"/>
        <v>0</v>
      </c>
      <c r="I20" s="134">
        <f t="shared" si="2"/>
        <v>10.539876400579487</v>
      </c>
      <c r="J20" s="134">
        <f t="shared" si="3"/>
        <v>22.99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23.52</v>
      </c>
      <c r="F21" s="134">
        <f t="shared" si="1"/>
        <v>10.782857457226166</v>
      </c>
      <c r="G21" s="132">
        <f t="shared" si="4"/>
        <v>0</v>
      </c>
      <c r="H21" s="132">
        <f t="shared" si="4"/>
        <v>0</v>
      </c>
      <c r="I21" s="134">
        <f t="shared" si="2"/>
        <v>10.782857457226166</v>
      </c>
      <c r="J21" s="134">
        <f t="shared" si="3"/>
        <v>23.52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24.08</v>
      </c>
      <c r="F22" s="134">
        <f t="shared" si="1"/>
        <v>11.039592158588693</v>
      </c>
      <c r="G22" s="132">
        <f t="shared" si="4"/>
        <v>0</v>
      </c>
      <c r="H22" s="132">
        <f t="shared" si="4"/>
        <v>0</v>
      </c>
      <c r="I22" s="134">
        <f t="shared" si="2"/>
        <v>11.039592158588693</v>
      </c>
      <c r="J22" s="134">
        <f t="shared" si="3"/>
        <v>24.08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24.66</v>
      </c>
      <c r="F23" s="134">
        <f t="shared" si="1"/>
        <v>11.305495956428455</v>
      </c>
      <c r="G23" s="132">
        <f t="shared" si="4"/>
        <v>0</v>
      </c>
      <c r="H23" s="132">
        <f t="shared" si="4"/>
        <v>0</v>
      </c>
      <c r="I23" s="134">
        <f t="shared" si="2"/>
        <v>11.305495956428455</v>
      </c>
      <c r="J23" s="134">
        <f t="shared" si="3"/>
        <v>24.66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25.23</v>
      </c>
      <c r="F24" s="134">
        <f t="shared" si="1"/>
        <v>11.566815206029599</v>
      </c>
      <c r="G24" s="132">
        <f t="shared" si="4"/>
        <v>0</v>
      </c>
      <c r="H24" s="132">
        <f t="shared" si="4"/>
        <v>0</v>
      </c>
      <c r="I24" s="134">
        <f t="shared" si="2"/>
        <v>11.566815206029599</v>
      </c>
      <c r="J24" s="134">
        <f t="shared" si="3"/>
        <v>25.23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25.81</v>
      </c>
      <c r="F25" s="134">
        <f t="shared" si="1"/>
        <v>11.832719003869359</v>
      </c>
      <c r="G25" s="132">
        <f t="shared" si="4"/>
        <v>0</v>
      </c>
      <c r="H25" s="132">
        <f t="shared" si="4"/>
        <v>0</v>
      </c>
      <c r="I25" s="134">
        <f t="shared" si="2"/>
        <v>11.832719003869359</v>
      </c>
      <c r="J25" s="134">
        <f t="shared" si="3"/>
        <v>25.81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26.4</v>
      </c>
      <c r="F26" s="134">
        <f t="shared" si="1"/>
        <v>12.103207349947736</v>
      </c>
      <c r="G26" s="132">
        <f t="shared" si="4"/>
        <v>0</v>
      </c>
      <c r="H26" s="132">
        <f t="shared" si="4"/>
        <v>0</v>
      </c>
      <c r="I26" s="134">
        <f t="shared" si="2"/>
        <v>12.103207349947736</v>
      </c>
      <c r="J26" s="134">
        <f t="shared" si="3"/>
        <v>26.4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31">
        <f>$C$55</f>
        <v>1172.2286766768136</v>
      </c>
      <c r="D27" s="132">
        <f>C27*$C$62</f>
        <v>90.49207108361027</v>
      </c>
      <c r="E27" s="132">
        <f t="shared" si="4"/>
        <v>27.01</v>
      </c>
      <c r="F27" s="134">
        <f t="shared" si="1"/>
        <v>53.869391302016417</v>
      </c>
      <c r="G27" s="132">
        <f t="shared" si="4"/>
        <v>0</v>
      </c>
      <c r="H27" s="132">
        <f t="shared" si="4"/>
        <v>0</v>
      </c>
      <c r="I27" s="134">
        <f t="shared" si="2"/>
        <v>53.869391302016417</v>
      </c>
      <c r="J27" s="134">
        <f t="shared" si="3"/>
        <v>117.5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92.57</v>
      </c>
      <c r="E28" s="132">
        <f t="shared" si="4"/>
        <v>27.63</v>
      </c>
      <c r="F28" s="134">
        <f t="shared" si="1"/>
        <v>55.106269828171129</v>
      </c>
      <c r="G28" s="132">
        <f t="shared" si="4"/>
        <v>0</v>
      </c>
      <c r="H28" s="132">
        <f t="shared" si="4"/>
        <v>0</v>
      </c>
      <c r="I28" s="134">
        <f t="shared" si="2"/>
        <v>55.106269828171129</v>
      </c>
      <c r="J28" s="134">
        <f t="shared" si="3"/>
        <v>120.2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94.61</v>
      </c>
      <c r="E29" s="132">
        <f t="shared" si="4"/>
        <v>28.24</v>
      </c>
      <c r="F29" s="134">
        <f t="shared" si="1"/>
        <v>56.321175111404521</v>
      </c>
      <c r="G29" s="132">
        <f t="shared" si="4"/>
        <v>0</v>
      </c>
      <c r="H29" s="132">
        <f t="shared" si="4"/>
        <v>0</v>
      </c>
      <c r="I29" s="134">
        <f t="shared" si="2"/>
        <v>56.321175111404521</v>
      </c>
      <c r="J29" s="134">
        <f t="shared" si="3"/>
        <v>122.85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96.69</v>
      </c>
      <c r="E30" s="132">
        <f t="shared" si="4"/>
        <v>28.86</v>
      </c>
      <c r="F30" s="134">
        <f t="shared" si="1"/>
        <v>57.559003135830999</v>
      </c>
      <c r="G30" s="132">
        <f t="shared" si="4"/>
        <v>0</v>
      </c>
      <c r="H30" s="132">
        <f t="shared" si="4"/>
        <v>0</v>
      </c>
      <c r="I30" s="134">
        <f t="shared" si="2"/>
        <v>57.559003135830999</v>
      </c>
      <c r="J30" s="134">
        <f t="shared" si="3"/>
        <v>125.55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98.82</v>
      </c>
      <c r="E31" s="132">
        <f t="shared" si="4"/>
        <v>29.49</v>
      </c>
      <c r="F31" s="134">
        <f t="shared" si="1"/>
        <v>58.824338449689172</v>
      </c>
      <c r="G31" s="132">
        <f t="shared" si="4"/>
        <v>0</v>
      </c>
      <c r="H31" s="132">
        <f t="shared" si="4"/>
        <v>0</v>
      </c>
      <c r="I31" s="134">
        <f t="shared" si="2"/>
        <v>58.824338449689172</v>
      </c>
      <c r="J31" s="134">
        <f t="shared" si="3"/>
        <v>128.31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101.09</v>
      </c>
      <c r="E32" s="132">
        <f t="shared" si="4"/>
        <v>30.17</v>
      </c>
      <c r="F32" s="134">
        <f t="shared" si="1"/>
        <v>60.176780180081053</v>
      </c>
      <c r="G32" s="132">
        <f t="shared" si="4"/>
        <v>0</v>
      </c>
      <c r="H32" s="132">
        <f t="shared" si="4"/>
        <v>0</v>
      </c>
      <c r="I32" s="134">
        <f t="shared" si="2"/>
        <v>60.176780180081053</v>
      </c>
      <c r="J32" s="134">
        <f t="shared" si="3"/>
        <v>131.26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103.42</v>
      </c>
      <c r="E33" s="132">
        <f t="shared" si="4"/>
        <v>30.86</v>
      </c>
      <c r="F33" s="134">
        <f t="shared" si="1"/>
        <v>61.561313748143263</v>
      </c>
      <c r="G33" s="132">
        <f t="shared" si="4"/>
        <v>0</v>
      </c>
      <c r="H33" s="132">
        <f t="shared" si="4"/>
        <v>0</v>
      </c>
      <c r="I33" s="134">
        <f t="shared" si="2"/>
        <v>61.561313748143263</v>
      </c>
      <c r="J33" s="134">
        <f t="shared" si="3"/>
        <v>134.28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105.8</v>
      </c>
      <c r="E34" s="132">
        <f t="shared" si="4"/>
        <v>31.57</v>
      </c>
      <c r="F34" s="134">
        <f t="shared" si="1"/>
        <v>62.977939153875781</v>
      </c>
      <c r="G34" s="132">
        <f t="shared" si="4"/>
        <v>0</v>
      </c>
      <c r="H34" s="132">
        <f t="shared" si="4"/>
        <v>0</v>
      </c>
      <c r="I34" s="134">
        <f t="shared" si="2"/>
        <v>62.977939153875781</v>
      </c>
      <c r="J34" s="134">
        <f t="shared" si="3"/>
        <v>137.37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108.23</v>
      </c>
      <c r="E35" s="132">
        <f t="shared" si="4"/>
        <v>32.299999999999997</v>
      </c>
      <c r="F35" s="134">
        <f t="shared" si="1"/>
        <v>64.42665639727862</v>
      </c>
      <c r="G35" s="132">
        <f t="shared" si="4"/>
        <v>0</v>
      </c>
      <c r="H35" s="132">
        <f t="shared" si="4"/>
        <v>0</v>
      </c>
      <c r="I35" s="134">
        <f t="shared" si="2"/>
        <v>64.42665639727862</v>
      </c>
      <c r="J35" s="134">
        <f t="shared" si="3"/>
        <v>140.53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110.72</v>
      </c>
      <c r="E36" s="132">
        <f t="shared" si="4"/>
        <v>33.04</v>
      </c>
      <c r="F36" s="134">
        <f t="shared" si="1"/>
        <v>65.907465478351767</v>
      </c>
      <c r="G36" s="132">
        <f t="shared" si="4"/>
        <v>0</v>
      </c>
      <c r="H36" s="132">
        <f t="shared" si="4"/>
        <v>0</v>
      </c>
      <c r="I36" s="134">
        <f t="shared" si="2"/>
        <v>65.907465478351767</v>
      </c>
      <c r="J36" s="134">
        <f t="shared" si="3"/>
        <v>143.76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YK Solar 2032'!D44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Resource-2033 - 25%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1172.2286766768136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18.74175672264068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topLeftCell="A2"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3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20.54</v>
      </c>
      <c r="F13" s="134">
        <f t="shared" si="1"/>
        <v>7.539385396937262</v>
      </c>
      <c r="G13" s="132">
        <f t="shared" si="5"/>
        <v>0</v>
      </c>
      <c r="H13" s="132">
        <f t="shared" si="5"/>
        <v>0</v>
      </c>
      <c r="I13" s="134">
        <f t="shared" si="2"/>
        <v>7.539385396937262</v>
      </c>
      <c r="J13" s="134">
        <f t="shared" si="3"/>
        <v>20.54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20.99</v>
      </c>
      <c r="F14" s="134">
        <f t="shared" si="1"/>
        <v>7.704561805341438</v>
      </c>
      <c r="G14" s="132">
        <f t="shared" si="5"/>
        <v>0</v>
      </c>
      <c r="H14" s="132">
        <f t="shared" si="5"/>
        <v>0</v>
      </c>
      <c r="I14" s="134">
        <f t="shared" si="2"/>
        <v>7.704561805341438</v>
      </c>
      <c r="J14" s="134">
        <f t="shared" si="3"/>
        <v>20.99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21.49</v>
      </c>
      <c r="F15" s="134">
        <f t="shared" si="1"/>
        <v>7.8880911480127436</v>
      </c>
      <c r="G15" s="132">
        <f t="shared" si="5"/>
        <v>0</v>
      </c>
      <c r="H15" s="132">
        <f t="shared" si="5"/>
        <v>0</v>
      </c>
      <c r="I15" s="134">
        <f t="shared" si="2"/>
        <v>7.8880911480127436</v>
      </c>
      <c r="J15" s="134">
        <f t="shared" si="3"/>
        <v>21.49</v>
      </c>
      <c r="K15" s="132">
        <f t="shared" si="6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22.01</v>
      </c>
      <c r="F16" s="134">
        <f t="shared" si="1"/>
        <v>8.0789616643909046</v>
      </c>
      <c r="G16" s="132">
        <f t="shared" si="5"/>
        <v>0</v>
      </c>
      <c r="H16" s="132">
        <f t="shared" si="5"/>
        <v>0</v>
      </c>
      <c r="I16" s="134">
        <f t="shared" si="2"/>
        <v>8.0789616643909046</v>
      </c>
      <c r="J16" s="134">
        <f t="shared" si="3"/>
        <v>22.01</v>
      </c>
      <c r="K16" s="132">
        <f t="shared" si="6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22.54</v>
      </c>
      <c r="F17" s="134">
        <f t="shared" si="1"/>
        <v>8.273502767622487</v>
      </c>
      <c r="G17" s="132">
        <f t="shared" si="5"/>
        <v>0</v>
      </c>
      <c r="H17" s="132">
        <f t="shared" si="5"/>
        <v>0</v>
      </c>
      <c r="I17" s="134">
        <f t="shared" si="2"/>
        <v>8.273502767622487</v>
      </c>
      <c r="J17" s="134">
        <f t="shared" si="3"/>
        <v>22.54</v>
      </c>
      <c r="K17" s="132">
        <f t="shared" si="6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23.08</v>
      </c>
      <c r="F18" s="134">
        <f t="shared" si="1"/>
        <v>8.4717144577074972</v>
      </c>
      <c r="G18" s="132">
        <f t="shared" si="5"/>
        <v>0</v>
      </c>
      <c r="H18" s="132">
        <f t="shared" si="5"/>
        <v>0</v>
      </c>
      <c r="I18" s="134">
        <f t="shared" si="2"/>
        <v>8.4717144577074972</v>
      </c>
      <c r="J18" s="134">
        <f t="shared" si="3"/>
        <v>23.08</v>
      </c>
      <c r="K18" s="132">
        <f t="shared" si="6"/>
        <v>0.73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23.61</v>
      </c>
      <c r="F19" s="134">
        <f t="shared" si="1"/>
        <v>8.6662555609390832</v>
      </c>
      <c r="G19" s="132">
        <f t="shared" si="5"/>
        <v>0</v>
      </c>
      <c r="H19" s="132">
        <f t="shared" si="5"/>
        <v>0</v>
      </c>
      <c r="I19" s="134">
        <f t="shared" si="2"/>
        <v>8.6662555609390832</v>
      </c>
      <c r="J19" s="134">
        <f t="shared" si="3"/>
        <v>23.61</v>
      </c>
      <c r="K19" s="132">
        <f t="shared" si="6"/>
        <v>0.75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24.15</v>
      </c>
      <c r="F20" s="134">
        <f t="shared" si="1"/>
        <v>8.8644672510240934</v>
      </c>
      <c r="G20" s="132">
        <f t="shared" si="5"/>
        <v>0</v>
      </c>
      <c r="H20" s="132">
        <f t="shared" si="5"/>
        <v>0</v>
      </c>
      <c r="I20" s="134">
        <f t="shared" si="2"/>
        <v>8.8644672510240934</v>
      </c>
      <c r="J20" s="134">
        <f t="shared" si="3"/>
        <v>24.15</v>
      </c>
      <c r="K20" s="132">
        <f t="shared" si="6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24.71</v>
      </c>
      <c r="F21" s="134">
        <f t="shared" si="1"/>
        <v>9.0700201148159572</v>
      </c>
      <c r="G21" s="132">
        <f t="shared" si="5"/>
        <v>0</v>
      </c>
      <c r="H21" s="132">
        <f t="shared" si="5"/>
        <v>0</v>
      </c>
      <c r="I21" s="134">
        <f t="shared" si="2"/>
        <v>9.0700201148159572</v>
      </c>
      <c r="J21" s="134">
        <f t="shared" si="3"/>
        <v>24.71</v>
      </c>
      <c r="K21" s="132">
        <f t="shared" si="6"/>
        <v>0.79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25.3</v>
      </c>
      <c r="F22" s="134">
        <f t="shared" si="1"/>
        <v>9.2865847391680987</v>
      </c>
      <c r="G22" s="132">
        <f t="shared" si="5"/>
        <v>0</v>
      </c>
      <c r="H22" s="132">
        <f t="shared" si="5"/>
        <v>0</v>
      </c>
      <c r="I22" s="134">
        <f t="shared" si="2"/>
        <v>9.2865847391680987</v>
      </c>
      <c r="J22" s="134">
        <f t="shared" si="3"/>
        <v>25.3</v>
      </c>
      <c r="K22" s="132">
        <f t="shared" si="6"/>
        <v>0.81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25.91</v>
      </c>
      <c r="F23" s="134">
        <f t="shared" si="1"/>
        <v>9.510490537227092</v>
      </c>
      <c r="G23" s="132">
        <f t="shared" si="5"/>
        <v>0</v>
      </c>
      <c r="H23" s="132">
        <f t="shared" si="5"/>
        <v>0</v>
      </c>
      <c r="I23" s="134">
        <f t="shared" si="2"/>
        <v>9.510490537227092</v>
      </c>
      <c r="J23" s="134">
        <f t="shared" si="3"/>
        <v>25.91</v>
      </c>
      <c r="K23" s="132">
        <f t="shared" si="6"/>
        <v>0.83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26.51</v>
      </c>
      <c r="F24" s="134">
        <f t="shared" si="1"/>
        <v>9.7307257484326612</v>
      </c>
      <c r="G24" s="132">
        <f t="shared" si="5"/>
        <v>0</v>
      </c>
      <c r="H24" s="132">
        <f t="shared" si="5"/>
        <v>0</v>
      </c>
      <c r="I24" s="134">
        <f t="shared" si="2"/>
        <v>9.7307257484326612</v>
      </c>
      <c r="J24" s="134">
        <f t="shared" si="3"/>
        <v>26.51</v>
      </c>
      <c r="K24" s="132">
        <f t="shared" si="6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27.12</v>
      </c>
      <c r="F25" s="134">
        <f t="shared" si="1"/>
        <v>9.9546315464916546</v>
      </c>
      <c r="G25" s="132">
        <f t="shared" si="5"/>
        <v>0</v>
      </c>
      <c r="H25" s="132">
        <f t="shared" si="5"/>
        <v>0</v>
      </c>
      <c r="I25" s="134">
        <f t="shared" si="2"/>
        <v>9.9546315464916546</v>
      </c>
      <c r="J25" s="134">
        <f t="shared" si="3"/>
        <v>27.12</v>
      </c>
      <c r="K25" s="132">
        <f t="shared" si="6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27.74</v>
      </c>
      <c r="F26" s="134">
        <f t="shared" si="1"/>
        <v>10.182207931404072</v>
      </c>
      <c r="G26" s="132">
        <f t="shared" si="5"/>
        <v>0</v>
      </c>
      <c r="H26" s="132">
        <f t="shared" si="5"/>
        <v>0</v>
      </c>
      <c r="I26" s="134">
        <f t="shared" si="2"/>
        <v>10.182207931404072</v>
      </c>
      <c r="J26" s="134">
        <f t="shared" si="3"/>
        <v>27.74</v>
      </c>
      <c r="K26" s="132">
        <f t="shared" si="6"/>
        <v>0.89</v>
      </c>
      <c r="L26" s="123"/>
      <c r="P26" s="169"/>
    </row>
    <row r="27" spans="2:17">
      <c r="B27" s="140">
        <f t="shared" si="0"/>
        <v>2033</v>
      </c>
      <c r="C27" s="131">
        <f>$C$55</f>
        <v>1165.8805905559132</v>
      </c>
      <c r="D27" s="132">
        <f>C27*$C$62</f>
        <v>90.002020403289137</v>
      </c>
      <c r="E27" s="132">
        <f t="shared" si="5"/>
        <v>28.38</v>
      </c>
      <c r="F27" s="134">
        <f t="shared" si="1"/>
        <v>43.453148777433647</v>
      </c>
      <c r="G27" s="132">
        <f t="shared" si="5"/>
        <v>0</v>
      </c>
      <c r="H27" s="132">
        <f t="shared" si="5"/>
        <v>0</v>
      </c>
      <c r="I27" s="134">
        <f t="shared" si="2"/>
        <v>43.453148777433647</v>
      </c>
      <c r="J27" s="134">
        <f t="shared" si="3"/>
        <v>118.38</v>
      </c>
      <c r="K27" s="132">
        <f t="shared" si="6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5"/>
        <v>92.07</v>
      </c>
      <c r="E28" s="132">
        <f t="shared" si="5"/>
        <v>29.03</v>
      </c>
      <c r="F28" s="134">
        <f t="shared" si="1"/>
        <v>44.450806794990385</v>
      </c>
      <c r="G28" s="132">
        <f t="shared" si="5"/>
        <v>0</v>
      </c>
      <c r="H28" s="132">
        <f t="shared" si="5"/>
        <v>0</v>
      </c>
      <c r="I28" s="134">
        <f t="shared" si="2"/>
        <v>44.450806794990385</v>
      </c>
      <c r="J28" s="134">
        <f t="shared" si="3"/>
        <v>121.1</v>
      </c>
      <c r="K28" s="132">
        <f t="shared" si="6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5"/>
        <v>94.1</v>
      </c>
      <c r="E29" s="132">
        <f t="shared" si="5"/>
        <v>29.67</v>
      </c>
      <c r="F29" s="134">
        <f t="shared" si="1"/>
        <v>45.430853484855156</v>
      </c>
      <c r="G29" s="132">
        <f t="shared" si="5"/>
        <v>0</v>
      </c>
      <c r="H29" s="132">
        <f t="shared" si="5"/>
        <v>0</v>
      </c>
      <c r="I29" s="134">
        <f t="shared" si="2"/>
        <v>45.430853484855156</v>
      </c>
      <c r="J29" s="134">
        <f t="shared" si="3"/>
        <v>123.77</v>
      </c>
      <c r="K29" s="132">
        <f t="shared" si="6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96.17</v>
      </c>
      <c r="E30" s="132">
        <f t="shared" si="5"/>
        <v>30.32</v>
      </c>
      <c r="F30" s="134">
        <f t="shared" si="1"/>
        <v>46.429253108987069</v>
      </c>
      <c r="G30" s="132">
        <f t="shared" si="5"/>
        <v>0</v>
      </c>
      <c r="H30" s="132">
        <f t="shared" si="5"/>
        <v>0</v>
      </c>
      <c r="I30" s="134">
        <f t="shared" si="2"/>
        <v>46.429253108987069</v>
      </c>
      <c r="J30" s="134">
        <f t="shared" si="3"/>
        <v>126.49</v>
      </c>
      <c r="K30" s="132">
        <f t="shared" si="6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98.29</v>
      </c>
      <c r="E31" s="132">
        <f t="shared" si="5"/>
        <v>30.99</v>
      </c>
      <c r="F31" s="134">
        <f t="shared" si="1"/>
        <v>47.453346841092959</v>
      </c>
      <c r="G31" s="132">
        <f t="shared" si="5"/>
        <v>0</v>
      </c>
      <c r="H31" s="132">
        <f t="shared" si="5"/>
        <v>0</v>
      </c>
      <c r="I31" s="134">
        <f t="shared" si="2"/>
        <v>47.453346841092959</v>
      </c>
      <c r="J31" s="134">
        <f t="shared" si="3"/>
        <v>129.28</v>
      </c>
      <c r="K31" s="132">
        <f t="shared" si="6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100.55</v>
      </c>
      <c r="E32" s="132">
        <f t="shared" si="5"/>
        <v>31.7</v>
      </c>
      <c r="F32" s="134">
        <f t="shared" si="1"/>
        <v>48.543511136560518</v>
      </c>
      <c r="G32" s="132">
        <f t="shared" si="5"/>
        <v>0</v>
      </c>
      <c r="H32" s="132">
        <f t="shared" si="5"/>
        <v>0</v>
      </c>
      <c r="I32" s="134">
        <f t="shared" si="2"/>
        <v>48.543511136560518</v>
      </c>
      <c r="J32" s="134">
        <f t="shared" si="3"/>
        <v>132.25</v>
      </c>
      <c r="K32" s="132">
        <f t="shared" si="6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102.86</v>
      </c>
      <c r="E33" s="132">
        <f t="shared" si="5"/>
        <v>32.43</v>
      </c>
      <c r="F33" s="134">
        <f t="shared" si="1"/>
        <v>49.659369540002054</v>
      </c>
      <c r="G33" s="132">
        <f t="shared" si="5"/>
        <v>0</v>
      </c>
      <c r="H33" s="132">
        <f t="shared" si="5"/>
        <v>0</v>
      </c>
      <c r="I33" s="134">
        <f t="shared" si="2"/>
        <v>49.659369540002054</v>
      </c>
      <c r="J33" s="134">
        <f t="shared" si="3"/>
        <v>135.29</v>
      </c>
      <c r="K33" s="132">
        <f t="shared" si="6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105.23</v>
      </c>
      <c r="E34" s="132">
        <f t="shared" si="5"/>
        <v>33.18</v>
      </c>
      <c r="F34" s="134">
        <f t="shared" ref="F34:F36" si="8">(D34+E34)/(8.76*$C$63)</f>
        <v>50.804592638271011</v>
      </c>
      <c r="G34" s="132">
        <f t="shared" si="5"/>
        <v>0</v>
      </c>
      <c r="H34" s="132">
        <f t="shared" si="5"/>
        <v>0</v>
      </c>
      <c r="I34" s="134">
        <f t="shared" si="2"/>
        <v>50.804592638271011</v>
      </c>
      <c r="J34" s="134">
        <f t="shared" si="3"/>
        <v>138.41</v>
      </c>
      <c r="K34" s="132">
        <f t="shared" si="6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107.65</v>
      </c>
      <c r="E35" s="132">
        <f t="shared" si="5"/>
        <v>33.94</v>
      </c>
      <c r="F35" s="134">
        <f t="shared" si="8"/>
        <v>51.97183925766052</v>
      </c>
      <c r="G35" s="132">
        <f t="shared" si="5"/>
        <v>0</v>
      </c>
      <c r="H35" s="132">
        <f t="shared" si="5"/>
        <v>0</v>
      </c>
      <c r="I35" s="134">
        <f t="shared" si="2"/>
        <v>51.97183925766052</v>
      </c>
      <c r="J35" s="134">
        <f t="shared" si="3"/>
        <v>141.59</v>
      </c>
      <c r="K35" s="132">
        <f t="shared" si="6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110.13</v>
      </c>
      <c r="E36" s="132">
        <f t="shared" si="5"/>
        <v>34.72</v>
      </c>
      <c r="F36" s="134">
        <f t="shared" si="8"/>
        <v>53.168450571877429</v>
      </c>
      <c r="G36" s="132">
        <f t="shared" si="5"/>
        <v>0</v>
      </c>
      <c r="H36" s="132">
        <f t="shared" si="5"/>
        <v>0</v>
      </c>
      <c r="I36" s="134">
        <f t="shared" si="2"/>
        <v>53.168450571877429</v>
      </c>
      <c r="J36" s="134">
        <f t="shared" si="3"/>
        <v>144.85</v>
      </c>
      <c r="K36" s="132">
        <f t="shared" si="6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2033'!D44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1165.8805905559132</v>
      </c>
      <c r="D55" s="121" t="s">
        <v>74</v>
      </c>
      <c r="H55" s="121" t="s">
        <v>9</v>
      </c>
    </row>
    <row r="56" spans="2:24">
      <c r="B56" s="85" t="s">
        <v>111</v>
      </c>
      <c r="C56" s="154">
        <v>19.691768539314772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6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20.54</v>
      </c>
      <c r="F13" s="134">
        <f t="shared" si="1"/>
        <v>7.539385396937262</v>
      </c>
      <c r="G13" s="132">
        <f t="shared" si="5"/>
        <v>0</v>
      </c>
      <c r="H13" s="132">
        <f t="shared" si="5"/>
        <v>0</v>
      </c>
      <c r="I13" s="134">
        <f t="shared" si="2"/>
        <v>7.539385396937262</v>
      </c>
      <c r="J13" s="134">
        <f t="shared" si="3"/>
        <v>20.54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20.99</v>
      </c>
      <c r="F14" s="134">
        <f t="shared" si="1"/>
        <v>7.704561805341438</v>
      </c>
      <c r="G14" s="132">
        <f t="shared" si="5"/>
        <v>0</v>
      </c>
      <c r="H14" s="132">
        <f t="shared" si="5"/>
        <v>0</v>
      </c>
      <c r="I14" s="134">
        <f t="shared" si="2"/>
        <v>7.704561805341438</v>
      </c>
      <c r="J14" s="134">
        <f t="shared" si="3"/>
        <v>20.99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21.49</v>
      </c>
      <c r="F15" s="134">
        <f t="shared" si="1"/>
        <v>7.8880911480127436</v>
      </c>
      <c r="G15" s="132">
        <f t="shared" si="5"/>
        <v>0</v>
      </c>
      <c r="H15" s="132">
        <f t="shared" si="5"/>
        <v>0</v>
      </c>
      <c r="I15" s="134">
        <f t="shared" si="2"/>
        <v>7.8880911480127436</v>
      </c>
      <c r="J15" s="134">
        <f t="shared" si="3"/>
        <v>21.49</v>
      </c>
      <c r="K15" s="132">
        <f t="shared" si="6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22.01</v>
      </c>
      <c r="F16" s="134">
        <f t="shared" si="1"/>
        <v>8.0789616643909046</v>
      </c>
      <c r="G16" s="132">
        <f t="shared" si="5"/>
        <v>0</v>
      </c>
      <c r="H16" s="132">
        <f t="shared" si="5"/>
        <v>0</v>
      </c>
      <c r="I16" s="134">
        <f t="shared" si="2"/>
        <v>8.0789616643909046</v>
      </c>
      <c r="J16" s="134">
        <f t="shared" si="3"/>
        <v>22.01</v>
      </c>
      <c r="K16" s="132">
        <f t="shared" si="6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22.54</v>
      </c>
      <c r="F17" s="134">
        <f t="shared" si="1"/>
        <v>8.273502767622487</v>
      </c>
      <c r="G17" s="132">
        <f t="shared" si="5"/>
        <v>0</v>
      </c>
      <c r="H17" s="132">
        <f t="shared" si="5"/>
        <v>0</v>
      </c>
      <c r="I17" s="134">
        <f t="shared" si="2"/>
        <v>8.273502767622487</v>
      </c>
      <c r="J17" s="134">
        <f t="shared" si="3"/>
        <v>22.54</v>
      </c>
      <c r="K17" s="132">
        <f t="shared" si="6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23.08</v>
      </c>
      <c r="F18" s="134">
        <f t="shared" si="1"/>
        <v>8.4717144577074972</v>
      </c>
      <c r="G18" s="132">
        <f t="shared" si="5"/>
        <v>0</v>
      </c>
      <c r="H18" s="132">
        <f t="shared" si="5"/>
        <v>0</v>
      </c>
      <c r="I18" s="134">
        <f t="shared" si="2"/>
        <v>8.4717144577074972</v>
      </c>
      <c r="J18" s="134">
        <f t="shared" si="3"/>
        <v>23.08</v>
      </c>
      <c r="K18" s="132">
        <f t="shared" si="6"/>
        <v>0.73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23.61</v>
      </c>
      <c r="F19" s="134">
        <f t="shared" si="1"/>
        <v>8.6662555609390832</v>
      </c>
      <c r="G19" s="132">
        <f t="shared" si="5"/>
        <v>0</v>
      </c>
      <c r="H19" s="132">
        <f t="shared" si="5"/>
        <v>0</v>
      </c>
      <c r="I19" s="134">
        <f t="shared" si="2"/>
        <v>8.6662555609390832</v>
      </c>
      <c r="J19" s="134">
        <f t="shared" si="3"/>
        <v>23.61</v>
      </c>
      <c r="K19" s="132">
        <f t="shared" si="6"/>
        <v>0.75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24.15</v>
      </c>
      <c r="F20" s="134">
        <f t="shared" si="1"/>
        <v>8.8644672510240934</v>
      </c>
      <c r="G20" s="132">
        <f t="shared" si="5"/>
        <v>0</v>
      </c>
      <c r="H20" s="132">
        <f t="shared" si="5"/>
        <v>0</v>
      </c>
      <c r="I20" s="134">
        <f t="shared" si="2"/>
        <v>8.8644672510240934</v>
      </c>
      <c r="J20" s="134">
        <f t="shared" si="3"/>
        <v>24.15</v>
      </c>
      <c r="K20" s="132">
        <f t="shared" si="6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24.71</v>
      </c>
      <c r="F21" s="134">
        <f t="shared" si="1"/>
        <v>9.0700201148159572</v>
      </c>
      <c r="G21" s="132">
        <f t="shared" si="5"/>
        <v>0</v>
      </c>
      <c r="H21" s="132">
        <f t="shared" si="5"/>
        <v>0</v>
      </c>
      <c r="I21" s="134">
        <f t="shared" si="2"/>
        <v>9.0700201148159572</v>
      </c>
      <c r="J21" s="134">
        <f t="shared" si="3"/>
        <v>24.71</v>
      </c>
      <c r="K21" s="132">
        <f t="shared" si="6"/>
        <v>0.79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25.3</v>
      </c>
      <c r="F22" s="134">
        <f t="shared" si="1"/>
        <v>9.2865847391680987</v>
      </c>
      <c r="G22" s="132">
        <f t="shared" si="5"/>
        <v>0</v>
      </c>
      <c r="H22" s="132">
        <f t="shared" si="5"/>
        <v>0</v>
      </c>
      <c r="I22" s="134">
        <f t="shared" si="2"/>
        <v>9.2865847391680987</v>
      </c>
      <c r="J22" s="134">
        <f t="shared" si="3"/>
        <v>25.3</v>
      </c>
      <c r="K22" s="132">
        <f t="shared" si="6"/>
        <v>0.81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25.91</v>
      </c>
      <c r="F23" s="134">
        <f t="shared" si="1"/>
        <v>9.510490537227092</v>
      </c>
      <c r="G23" s="132">
        <f t="shared" si="5"/>
        <v>0</v>
      </c>
      <c r="H23" s="132">
        <f t="shared" si="5"/>
        <v>0</v>
      </c>
      <c r="I23" s="134">
        <f t="shared" si="2"/>
        <v>9.510490537227092</v>
      </c>
      <c r="J23" s="134">
        <f t="shared" si="3"/>
        <v>25.91</v>
      </c>
      <c r="K23" s="132">
        <f t="shared" si="6"/>
        <v>0.83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26.51</v>
      </c>
      <c r="F24" s="134">
        <f t="shared" si="1"/>
        <v>9.7307257484326612</v>
      </c>
      <c r="G24" s="132">
        <f t="shared" si="5"/>
        <v>0</v>
      </c>
      <c r="H24" s="132">
        <f t="shared" si="5"/>
        <v>0</v>
      </c>
      <c r="I24" s="134">
        <f t="shared" si="2"/>
        <v>9.7307257484326612</v>
      </c>
      <c r="J24" s="134">
        <f t="shared" si="3"/>
        <v>26.51</v>
      </c>
      <c r="K24" s="132">
        <f t="shared" si="6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27.12</v>
      </c>
      <c r="F25" s="134">
        <f t="shared" si="1"/>
        <v>9.9546315464916546</v>
      </c>
      <c r="G25" s="132">
        <f t="shared" si="5"/>
        <v>0</v>
      </c>
      <c r="H25" s="132">
        <f t="shared" si="5"/>
        <v>0</v>
      </c>
      <c r="I25" s="134">
        <f t="shared" si="2"/>
        <v>9.9546315464916546</v>
      </c>
      <c r="J25" s="134">
        <f t="shared" si="3"/>
        <v>27.12</v>
      </c>
      <c r="K25" s="132">
        <f t="shared" si="6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27.74</v>
      </c>
      <c r="F26" s="134">
        <f t="shared" si="1"/>
        <v>10.182207931404072</v>
      </c>
      <c r="G26" s="132">
        <f t="shared" si="5"/>
        <v>0</v>
      </c>
      <c r="H26" s="132">
        <f t="shared" si="5"/>
        <v>0</v>
      </c>
      <c r="I26" s="134">
        <f t="shared" si="2"/>
        <v>10.182207931404072</v>
      </c>
      <c r="J26" s="134">
        <f t="shared" si="3"/>
        <v>27.74</v>
      </c>
      <c r="K26" s="132">
        <f t="shared" si="6"/>
        <v>0.89</v>
      </c>
      <c r="L26" s="123"/>
      <c r="P26" s="169"/>
    </row>
    <row r="27" spans="2:17">
      <c r="B27" s="140">
        <f t="shared" si="0"/>
        <v>2033</v>
      </c>
      <c r="C27" s="131"/>
      <c r="D27" s="132">
        <f t="shared" ref="D27" si="8">ROUND(D26*(1+$G73),2)</f>
        <v>0</v>
      </c>
      <c r="E27" s="132">
        <f t="shared" si="5"/>
        <v>28.38</v>
      </c>
      <c r="F27" s="134">
        <f t="shared" si="1"/>
        <v>10.417125490023345</v>
      </c>
      <c r="G27" s="132">
        <f t="shared" si="5"/>
        <v>0</v>
      </c>
      <c r="H27" s="132">
        <f t="shared" si="5"/>
        <v>0</v>
      </c>
      <c r="I27" s="134">
        <f t="shared" si="2"/>
        <v>10.417125490023345</v>
      </c>
      <c r="J27" s="134">
        <f t="shared" si="3"/>
        <v>28.38</v>
      </c>
      <c r="K27" s="132">
        <f t="shared" si="6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ref="D28" si="9">ROUND(D27*(1+$G74),2)</f>
        <v>0</v>
      </c>
      <c r="E28" s="132">
        <f t="shared" si="5"/>
        <v>29.03</v>
      </c>
      <c r="F28" s="134">
        <f t="shared" si="1"/>
        <v>10.655713635496044</v>
      </c>
      <c r="G28" s="132">
        <f t="shared" si="5"/>
        <v>0</v>
      </c>
      <c r="H28" s="132">
        <f t="shared" si="5"/>
        <v>0</v>
      </c>
      <c r="I28" s="134">
        <f t="shared" si="2"/>
        <v>10.655713635496044</v>
      </c>
      <c r="J28" s="134">
        <f t="shared" si="3"/>
        <v>29.03</v>
      </c>
      <c r="K28" s="132">
        <f t="shared" si="6"/>
        <v>0.93</v>
      </c>
      <c r="L28" s="123"/>
      <c r="P28" s="169"/>
    </row>
    <row r="29" spans="2:17">
      <c r="B29" s="140">
        <f t="shared" si="0"/>
        <v>2035</v>
      </c>
      <c r="C29" s="131">
        <f>$C$55</f>
        <v>1152.6274312839628</v>
      </c>
      <c r="D29" s="132">
        <f>C29*$C$62</f>
        <v>88.978921536334539</v>
      </c>
      <c r="E29" s="132">
        <f t="shared" si="5"/>
        <v>29.67</v>
      </c>
      <c r="F29" s="134">
        <f t="shared" si="1"/>
        <v>43.551117156445748</v>
      </c>
      <c r="G29" s="132">
        <f t="shared" si="5"/>
        <v>0</v>
      </c>
      <c r="H29" s="132">
        <f t="shared" si="5"/>
        <v>0</v>
      </c>
      <c r="I29" s="134">
        <f t="shared" si="2"/>
        <v>43.551117156445748</v>
      </c>
      <c r="J29" s="134">
        <f t="shared" si="3"/>
        <v>118.65</v>
      </c>
      <c r="K29" s="132">
        <f t="shared" si="6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90.94</v>
      </c>
      <c r="E30" s="132">
        <f t="shared" si="5"/>
        <v>30.32</v>
      </c>
      <c r="F30" s="134">
        <f t="shared" si="1"/>
        <v>44.509536184645199</v>
      </c>
      <c r="G30" s="132">
        <f t="shared" si="5"/>
        <v>0</v>
      </c>
      <c r="H30" s="132">
        <f t="shared" si="5"/>
        <v>0</v>
      </c>
      <c r="I30" s="134">
        <f t="shared" si="2"/>
        <v>44.509536184645199</v>
      </c>
      <c r="J30" s="134">
        <f t="shared" si="3"/>
        <v>121.26</v>
      </c>
      <c r="K30" s="132">
        <f t="shared" si="6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92.94</v>
      </c>
      <c r="E31" s="132">
        <f t="shared" si="5"/>
        <v>30.99</v>
      </c>
      <c r="F31" s="134">
        <f t="shared" si="1"/>
        <v>45.489582874509978</v>
      </c>
      <c r="G31" s="132">
        <f t="shared" si="5"/>
        <v>0</v>
      </c>
      <c r="H31" s="132">
        <f t="shared" si="5"/>
        <v>0</v>
      </c>
      <c r="I31" s="134">
        <f t="shared" si="2"/>
        <v>45.489582874509978</v>
      </c>
      <c r="J31" s="134">
        <f t="shared" si="3"/>
        <v>123.93</v>
      </c>
      <c r="K31" s="132">
        <f t="shared" si="6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95.08</v>
      </c>
      <c r="E32" s="132">
        <f t="shared" si="5"/>
        <v>31.7</v>
      </c>
      <c r="F32" s="134">
        <f t="shared" si="1"/>
        <v>46.535700127736426</v>
      </c>
      <c r="G32" s="132">
        <f t="shared" si="5"/>
        <v>0</v>
      </c>
      <c r="H32" s="132">
        <f t="shared" si="5"/>
        <v>0</v>
      </c>
      <c r="I32" s="134">
        <f t="shared" si="2"/>
        <v>46.535700127736426</v>
      </c>
      <c r="J32" s="134">
        <f t="shared" si="3"/>
        <v>126.78</v>
      </c>
      <c r="K32" s="132">
        <f t="shared" si="6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97.27</v>
      </c>
      <c r="E33" s="132">
        <f t="shared" si="5"/>
        <v>32.43</v>
      </c>
      <c r="F33" s="134">
        <f t="shared" si="1"/>
        <v>47.607511488936851</v>
      </c>
      <c r="G33" s="132">
        <f t="shared" si="5"/>
        <v>0</v>
      </c>
      <c r="H33" s="132">
        <f t="shared" si="5"/>
        <v>0</v>
      </c>
      <c r="I33" s="134">
        <f t="shared" si="2"/>
        <v>47.607511488936851</v>
      </c>
      <c r="J33" s="134">
        <f t="shared" si="3"/>
        <v>129.69999999999999</v>
      </c>
      <c r="K33" s="132">
        <f t="shared" si="6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99.51</v>
      </c>
      <c r="E34" s="132">
        <f t="shared" si="5"/>
        <v>33.18</v>
      </c>
      <c r="F34" s="134">
        <f t="shared" si="1"/>
        <v>48.705016958111266</v>
      </c>
      <c r="G34" s="132">
        <f t="shared" si="5"/>
        <v>0</v>
      </c>
      <c r="H34" s="132">
        <f t="shared" si="5"/>
        <v>0</v>
      </c>
      <c r="I34" s="134">
        <f t="shared" si="2"/>
        <v>48.705016958111266</v>
      </c>
      <c r="J34" s="134">
        <f t="shared" si="3"/>
        <v>132.69</v>
      </c>
      <c r="K34" s="132">
        <f t="shared" si="6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101.8</v>
      </c>
      <c r="E35" s="132">
        <f t="shared" si="5"/>
        <v>33.94</v>
      </c>
      <c r="F35" s="134">
        <f t="shared" si="1"/>
        <v>49.824545948406239</v>
      </c>
      <c r="G35" s="132">
        <f t="shared" si="5"/>
        <v>0</v>
      </c>
      <c r="H35" s="132">
        <f t="shared" si="5"/>
        <v>0</v>
      </c>
      <c r="I35" s="134">
        <f t="shared" si="2"/>
        <v>49.824545948406239</v>
      </c>
      <c r="J35" s="134">
        <f t="shared" si="3"/>
        <v>135.74</v>
      </c>
      <c r="K35" s="132">
        <f t="shared" si="6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104.14</v>
      </c>
      <c r="E36" s="132">
        <f t="shared" si="5"/>
        <v>34.72</v>
      </c>
      <c r="F36" s="134">
        <f t="shared" si="1"/>
        <v>50.969769046675189</v>
      </c>
      <c r="G36" s="132">
        <f t="shared" si="5"/>
        <v>0</v>
      </c>
      <c r="H36" s="132">
        <f t="shared" si="5"/>
        <v>0</v>
      </c>
      <c r="I36" s="134">
        <f t="shared" si="2"/>
        <v>50.969769046675189</v>
      </c>
      <c r="J36" s="134">
        <f t="shared" si="3"/>
        <v>138.86000000000001</v>
      </c>
      <c r="K36" s="132">
        <f t="shared" si="6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UT Solar 2033 ST'!D44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1152.6274312839628</v>
      </c>
      <c r="D55" s="121" t="s">
        <v>74</v>
      </c>
      <c r="H55" s="121" t="s">
        <v>9</v>
      </c>
    </row>
    <row r="56" spans="2:24">
      <c r="B56" s="85" t="s">
        <v>111</v>
      </c>
      <c r="C56" s="154">
        <v>19.691768539314772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2.3E-2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0.02</v>
      </c>
      <c r="E68" s="85"/>
      <c r="F68" s="87">
        <f t="shared" si="11"/>
        <v>2028</v>
      </c>
      <c r="G68" s="41">
        <v>2.4E-2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2.4E-2</v>
      </c>
      <c r="H69" s="85"/>
      <c r="I69" s="87">
        <f t="shared" si="12"/>
        <v>2038</v>
      </c>
      <c r="J69" s="41">
        <v>2.3E-2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2.3E-2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2.3E-2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2.3E-2</v>
      </c>
    </row>
    <row r="73" spans="3:11" s="123" customFormat="1">
      <c r="C73" s="87">
        <f t="shared" si="10"/>
        <v>2024</v>
      </c>
      <c r="D73" s="41">
        <v>2.4E-2</v>
      </c>
      <c r="E73" s="86"/>
      <c r="F73" s="87">
        <f t="shared" si="11"/>
        <v>2033</v>
      </c>
      <c r="G73" s="41">
        <v>2.3E-2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2.3E-2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27%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Resource-2035 - 27%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18.718009285501743</v>
      </c>
      <c r="F11" s="133">
        <f t="shared" ref="F11:F36" si="1">(D11+E11)/(8.76*$C$63)</f>
        <v>7.9729815330461324</v>
      </c>
      <c r="G11" s="133">
        <f>$C$58</f>
        <v>0</v>
      </c>
      <c r="H11" s="142">
        <f>$C$59</f>
        <v>0</v>
      </c>
      <c r="I11" s="134">
        <f t="shared" ref="I11:I36" si="2">F11+H11+G11</f>
        <v>7.9729815330461324</v>
      </c>
      <c r="J11" s="134">
        <f t="shared" ref="J11:J36" si="3">ROUND(I11*$C$63*8.76,2)</f>
        <v>18.72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19.149999999999999</v>
      </c>
      <c r="F12" s="134">
        <f t="shared" si="1"/>
        <v>8.1569890274654124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8.1569890274654124</v>
      </c>
      <c r="J12" s="134">
        <f t="shared" si="3"/>
        <v>19.149999999999999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8.3188509507258228</v>
      </c>
      <c r="G13" s="132">
        <f t="shared" si="5"/>
        <v>0</v>
      </c>
      <c r="H13" s="132">
        <f t="shared" si="5"/>
        <v>0</v>
      </c>
      <c r="I13" s="134">
        <f t="shared" si="2"/>
        <v>8.3188509507258228</v>
      </c>
      <c r="J13" s="134">
        <f t="shared" si="3"/>
        <v>19.53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19.96</v>
      </c>
      <c r="F14" s="134">
        <f t="shared" si="1"/>
        <v>8.5020104954678661</v>
      </c>
      <c r="G14" s="132">
        <f t="shared" si="5"/>
        <v>0</v>
      </c>
      <c r="H14" s="132">
        <f t="shared" si="5"/>
        <v>0</v>
      </c>
      <c r="I14" s="134">
        <f t="shared" si="2"/>
        <v>8.5020104954678661</v>
      </c>
      <c r="J14" s="134">
        <f t="shared" si="3"/>
        <v>19.96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20.440000000000001</v>
      </c>
      <c r="F15" s="134">
        <f t="shared" si="1"/>
        <v>8.7064676616915424</v>
      </c>
      <c r="G15" s="132">
        <f t="shared" si="5"/>
        <v>0</v>
      </c>
      <c r="H15" s="132">
        <f t="shared" si="5"/>
        <v>0</v>
      </c>
      <c r="I15" s="134">
        <f t="shared" si="2"/>
        <v>8.7064676616915424</v>
      </c>
      <c r="J15" s="134">
        <f t="shared" si="3"/>
        <v>20.440000000000001</v>
      </c>
      <c r="K15" s="132">
        <f t="shared" si="6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20.93</v>
      </c>
      <c r="F16" s="134">
        <f t="shared" si="1"/>
        <v>8.9151843522115453</v>
      </c>
      <c r="G16" s="132">
        <f t="shared" si="5"/>
        <v>0</v>
      </c>
      <c r="H16" s="132">
        <f t="shared" si="5"/>
        <v>0</v>
      </c>
      <c r="I16" s="134">
        <f t="shared" si="2"/>
        <v>8.9151843522115453</v>
      </c>
      <c r="J16" s="134">
        <f t="shared" si="3"/>
        <v>20.93</v>
      </c>
      <c r="K16" s="132">
        <f t="shared" si="6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21.43</v>
      </c>
      <c r="F17" s="134">
        <f t="shared" si="1"/>
        <v>9.1281605670278747</v>
      </c>
      <c r="G17" s="132">
        <f t="shared" si="5"/>
        <v>0</v>
      </c>
      <c r="H17" s="132">
        <f t="shared" si="5"/>
        <v>0</v>
      </c>
      <c r="I17" s="134">
        <f t="shared" si="2"/>
        <v>9.1281605670278747</v>
      </c>
      <c r="J17" s="134">
        <f t="shared" si="3"/>
        <v>21.43</v>
      </c>
      <c r="K17" s="132">
        <f t="shared" si="6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21.94</v>
      </c>
      <c r="F18" s="134">
        <f t="shared" si="1"/>
        <v>9.3453963061405307</v>
      </c>
      <c r="G18" s="132">
        <f t="shared" si="5"/>
        <v>0</v>
      </c>
      <c r="H18" s="132">
        <f t="shared" si="5"/>
        <v>0</v>
      </c>
      <c r="I18" s="134">
        <f t="shared" si="2"/>
        <v>9.3453963061405307</v>
      </c>
      <c r="J18" s="134">
        <f t="shared" si="3"/>
        <v>21.94</v>
      </c>
      <c r="K18" s="132">
        <f t="shared" si="6"/>
        <v>0.73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22.44</v>
      </c>
      <c r="F19" s="134">
        <f t="shared" si="1"/>
        <v>9.5583725209568602</v>
      </c>
      <c r="G19" s="132">
        <f t="shared" si="5"/>
        <v>0</v>
      </c>
      <c r="H19" s="132">
        <f t="shared" si="5"/>
        <v>0</v>
      </c>
      <c r="I19" s="134">
        <f t="shared" si="2"/>
        <v>9.5583725209568602</v>
      </c>
      <c r="J19" s="134">
        <f t="shared" si="3"/>
        <v>22.44</v>
      </c>
      <c r="K19" s="132">
        <f t="shared" si="6"/>
        <v>0.75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22.96</v>
      </c>
      <c r="F20" s="134">
        <f t="shared" si="1"/>
        <v>9.7798677843658428</v>
      </c>
      <c r="G20" s="132">
        <f t="shared" si="5"/>
        <v>0</v>
      </c>
      <c r="H20" s="132">
        <f t="shared" si="5"/>
        <v>0</v>
      </c>
      <c r="I20" s="134">
        <f t="shared" si="2"/>
        <v>9.7798677843658428</v>
      </c>
      <c r="J20" s="134">
        <f t="shared" si="3"/>
        <v>22.96</v>
      </c>
      <c r="K20" s="132">
        <f t="shared" si="6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8" si="7">ROUND(D20*(1+$G67),2)</f>
        <v>0</v>
      </c>
      <c r="E21" s="132">
        <f t="shared" si="5"/>
        <v>23.49</v>
      </c>
      <c r="F21" s="134">
        <f t="shared" si="1"/>
        <v>10.00562257207115</v>
      </c>
      <c r="G21" s="132">
        <f t="shared" si="5"/>
        <v>0</v>
      </c>
      <c r="H21" s="132">
        <f t="shared" si="5"/>
        <v>0</v>
      </c>
      <c r="I21" s="134">
        <f t="shared" si="2"/>
        <v>10.00562257207115</v>
      </c>
      <c r="J21" s="134">
        <f t="shared" si="3"/>
        <v>23.49</v>
      </c>
      <c r="K21" s="132">
        <f t="shared" si="6"/>
        <v>0.79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24.05</v>
      </c>
      <c r="F22" s="134">
        <f t="shared" si="1"/>
        <v>10.244155932665441</v>
      </c>
      <c r="G22" s="132">
        <f t="shared" si="5"/>
        <v>0</v>
      </c>
      <c r="H22" s="132">
        <f t="shared" si="5"/>
        <v>0</v>
      </c>
      <c r="I22" s="134">
        <f t="shared" si="2"/>
        <v>10.244155932665441</v>
      </c>
      <c r="J22" s="134">
        <f t="shared" si="3"/>
        <v>24.05</v>
      </c>
      <c r="K22" s="132">
        <f t="shared" si="6"/>
        <v>0.81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24.63</v>
      </c>
      <c r="F23" s="134">
        <f t="shared" si="1"/>
        <v>10.491208341852381</v>
      </c>
      <c r="G23" s="132">
        <f t="shared" si="5"/>
        <v>0</v>
      </c>
      <c r="H23" s="132">
        <f t="shared" si="5"/>
        <v>0</v>
      </c>
      <c r="I23" s="134">
        <f t="shared" si="2"/>
        <v>10.491208341852381</v>
      </c>
      <c r="J23" s="134">
        <f t="shared" si="3"/>
        <v>24.63</v>
      </c>
      <c r="K23" s="132">
        <f t="shared" si="6"/>
        <v>0.83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25.2</v>
      </c>
      <c r="F24" s="134">
        <f t="shared" si="1"/>
        <v>10.734001226742997</v>
      </c>
      <c r="G24" s="132">
        <f t="shared" si="5"/>
        <v>0</v>
      </c>
      <c r="H24" s="132">
        <f t="shared" si="5"/>
        <v>0</v>
      </c>
      <c r="I24" s="134">
        <f t="shared" si="2"/>
        <v>10.734001226742997</v>
      </c>
      <c r="J24" s="134">
        <f t="shared" si="3"/>
        <v>25.2</v>
      </c>
      <c r="K24" s="132">
        <f t="shared" si="6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25.78</v>
      </c>
      <c r="F25" s="134">
        <f t="shared" si="1"/>
        <v>10.981053635929939</v>
      </c>
      <c r="G25" s="132">
        <f t="shared" si="5"/>
        <v>0</v>
      </c>
      <c r="H25" s="132">
        <f t="shared" si="5"/>
        <v>0</v>
      </c>
      <c r="I25" s="134">
        <f t="shared" si="2"/>
        <v>10.981053635929939</v>
      </c>
      <c r="J25" s="134">
        <f t="shared" si="3"/>
        <v>25.78</v>
      </c>
      <c r="K25" s="132">
        <f t="shared" si="6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26.37</v>
      </c>
      <c r="F26" s="134">
        <f t="shared" si="1"/>
        <v>11.232365569413208</v>
      </c>
      <c r="G26" s="132">
        <f t="shared" si="5"/>
        <v>0</v>
      </c>
      <c r="H26" s="132">
        <f t="shared" si="5"/>
        <v>0</v>
      </c>
      <c r="I26" s="134">
        <f t="shared" si="2"/>
        <v>11.232365569413208</v>
      </c>
      <c r="J26" s="134">
        <f t="shared" si="3"/>
        <v>26.37</v>
      </c>
      <c r="K26" s="132">
        <f t="shared" si="6"/>
        <v>0.89</v>
      </c>
      <c r="L26" s="123"/>
      <c r="P26" s="169"/>
    </row>
    <row r="27" spans="2:17">
      <c r="B27" s="140">
        <f t="shared" si="0"/>
        <v>2033</v>
      </c>
      <c r="C27" s="131"/>
      <c r="D27" s="132">
        <f t="shared" si="7"/>
        <v>0</v>
      </c>
      <c r="E27" s="132">
        <f t="shared" si="5"/>
        <v>26.98</v>
      </c>
      <c r="F27" s="134">
        <f t="shared" si="1"/>
        <v>11.49219655148913</v>
      </c>
      <c r="G27" s="132">
        <f t="shared" si="5"/>
        <v>0</v>
      </c>
      <c r="H27" s="132">
        <f t="shared" si="5"/>
        <v>0</v>
      </c>
      <c r="I27" s="134">
        <f t="shared" si="2"/>
        <v>11.49219655148913</v>
      </c>
      <c r="J27" s="134">
        <f t="shared" si="3"/>
        <v>26.98</v>
      </c>
      <c r="K27" s="132">
        <f t="shared" si="6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7"/>
        <v>0</v>
      </c>
      <c r="E28" s="132">
        <f t="shared" si="5"/>
        <v>27.6</v>
      </c>
      <c r="F28" s="134">
        <f t="shared" si="1"/>
        <v>11.756287057861378</v>
      </c>
      <c r="G28" s="132">
        <f t="shared" si="5"/>
        <v>0</v>
      </c>
      <c r="H28" s="132">
        <f t="shared" si="5"/>
        <v>0</v>
      </c>
      <c r="I28" s="134">
        <f t="shared" si="2"/>
        <v>11.756287057861378</v>
      </c>
      <c r="J28" s="134">
        <f t="shared" si="3"/>
        <v>27.6</v>
      </c>
      <c r="K28" s="132">
        <f t="shared" si="6"/>
        <v>0.93</v>
      </c>
      <c r="L28" s="123"/>
      <c r="P28" s="169"/>
    </row>
    <row r="29" spans="2:17">
      <c r="B29" s="140">
        <f t="shared" si="0"/>
        <v>2035</v>
      </c>
      <c r="C29" s="131">
        <f>$C$55</f>
        <v>1129.0663267642597</v>
      </c>
      <c r="D29" s="132">
        <f>C29*$C$62</f>
        <v>87.160084318455105</v>
      </c>
      <c r="E29" s="132">
        <f t="shared" si="5"/>
        <v>28.21</v>
      </c>
      <c r="F29" s="134">
        <f t="shared" si="1"/>
        <v>49.142167722370637</v>
      </c>
      <c r="G29" s="132">
        <f t="shared" si="5"/>
        <v>0</v>
      </c>
      <c r="H29" s="132">
        <f t="shared" si="5"/>
        <v>0</v>
      </c>
      <c r="I29" s="134">
        <f t="shared" si="2"/>
        <v>49.142167722370637</v>
      </c>
      <c r="J29" s="134">
        <f t="shared" si="3"/>
        <v>115.37</v>
      </c>
      <c r="K29" s="132">
        <f t="shared" si="6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89.08</v>
      </c>
      <c r="E30" s="132">
        <f t="shared" si="5"/>
        <v>28.83</v>
      </c>
      <c r="F30" s="134">
        <f t="shared" si="1"/>
        <v>50.224050977986778</v>
      </c>
      <c r="G30" s="132">
        <f t="shared" si="5"/>
        <v>0</v>
      </c>
      <c r="H30" s="132">
        <f t="shared" si="5"/>
        <v>0</v>
      </c>
      <c r="I30" s="134">
        <f t="shared" si="2"/>
        <v>50.224050977986778</v>
      </c>
      <c r="J30" s="134">
        <f t="shared" si="3"/>
        <v>117.91</v>
      </c>
      <c r="K30" s="132">
        <f t="shared" si="6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91.04</v>
      </c>
      <c r="E31" s="132">
        <f t="shared" si="5"/>
        <v>29.46</v>
      </c>
      <c r="F31" s="134">
        <f t="shared" si="1"/>
        <v>51.327267770735368</v>
      </c>
      <c r="G31" s="132">
        <f t="shared" si="5"/>
        <v>0</v>
      </c>
      <c r="H31" s="132">
        <f t="shared" si="5"/>
        <v>0</v>
      </c>
      <c r="I31" s="134">
        <f t="shared" si="2"/>
        <v>51.327267770735368</v>
      </c>
      <c r="J31" s="134">
        <f t="shared" si="3"/>
        <v>120.5</v>
      </c>
      <c r="K31" s="132">
        <f t="shared" si="6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93.13</v>
      </c>
      <c r="E32" s="132">
        <f t="shared" si="5"/>
        <v>30.14</v>
      </c>
      <c r="F32" s="134">
        <f t="shared" si="1"/>
        <v>52.50715600081783</v>
      </c>
      <c r="G32" s="132">
        <f t="shared" si="5"/>
        <v>0</v>
      </c>
      <c r="H32" s="132">
        <f t="shared" si="5"/>
        <v>0</v>
      </c>
      <c r="I32" s="134">
        <f t="shared" si="2"/>
        <v>52.50715600081783</v>
      </c>
      <c r="J32" s="134">
        <f t="shared" si="3"/>
        <v>123.27</v>
      </c>
      <c r="K32" s="132">
        <f t="shared" si="6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95.27</v>
      </c>
      <c r="E33" s="132">
        <f t="shared" si="5"/>
        <v>30.83</v>
      </c>
      <c r="F33" s="134">
        <f t="shared" si="1"/>
        <v>53.712601376678251</v>
      </c>
      <c r="G33" s="132">
        <f t="shared" si="5"/>
        <v>0</v>
      </c>
      <c r="H33" s="132">
        <f t="shared" si="5"/>
        <v>0</v>
      </c>
      <c r="I33" s="134">
        <f t="shared" si="2"/>
        <v>53.712601376678251</v>
      </c>
      <c r="J33" s="134">
        <f t="shared" si="3"/>
        <v>126.1</v>
      </c>
      <c r="K33" s="132">
        <f t="shared" si="6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97.46</v>
      </c>
      <c r="E34" s="132">
        <f t="shared" si="5"/>
        <v>31.54</v>
      </c>
      <c r="F34" s="134">
        <f t="shared" si="1"/>
        <v>54.947863422612961</v>
      </c>
      <c r="G34" s="132">
        <f t="shared" si="5"/>
        <v>0</v>
      </c>
      <c r="H34" s="132">
        <f t="shared" si="5"/>
        <v>0</v>
      </c>
      <c r="I34" s="134">
        <f t="shared" si="2"/>
        <v>54.947863422612961</v>
      </c>
      <c r="J34" s="134">
        <f t="shared" si="3"/>
        <v>129</v>
      </c>
      <c r="K34" s="132">
        <f t="shared" si="6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99.7</v>
      </c>
      <c r="E35" s="132">
        <f t="shared" si="5"/>
        <v>32.270000000000003</v>
      </c>
      <c r="F35" s="134">
        <f t="shared" si="1"/>
        <v>56.212942138621962</v>
      </c>
      <c r="G35" s="132">
        <f t="shared" si="5"/>
        <v>0</v>
      </c>
      <c r="H35" s="132">
        <f t="shared" si="5"/>
        <v>0</v>
      </c>
      <c r="I35" s="134">
        <f t="shared" si="2"/>
        <v>56.212942138621962</v>
      </c>
      <c r="J35" s="134">
        <f t="shared" si="3"/>
        <v>131.97</v>
      </c>
      <c r="K35" s="132">
        <f t="shared" si="6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101.99</v>
      </c>
      <c r="E36" s="132">
        <f t="shared" si="5"/>
        <v>33.01</v>
      </c>
      <c r="F36" s="134">
        <f t="shared" si="1"/>
        <v>57.503578000408915</v>
      </c>
      <c r="G36" s="132">
        <f t="shared" si="5"/>
        <v>0</v>
      </c>
      <c r="H36" s="132">
        <f t="shared" si="5"/>
        <v>0</v>
      </c>
      <c r="I36" s="134">
        <f t="shared" si="2"/>
        <v>57.503578000408915</v>
      </c>
      <c r="J36" s="134">
        <f t="shared" si="3"/>
        <v>135</v>
      </c>
      <c r="K36" s="132">
        <f t="shared" si="6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UT Solar 2035 ST'!D44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26.8%)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1129.0663267642597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18.718009285501743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0.26800000000000002</v>
      </c>
      <c r="D63" s="121" t="s">
        <v>39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8">C66+1</f>
        <v>2018</v>
      </c>
      <c r="D67" s="41">
        <v>2.3E-2</v>
      </c>
      <c r="E67" s="85"/>
      <c r="F67" s="87">
        <f t="shared" ref="F67:F74" si="9">F66+1</f>
        <v>2027</v>
      </c>
      <c r="G67" s="41">
        <v>2.3E-2</v>
      </c>
      <c r="H67" s="85"/>
      <c r="I67" s="87">
        <f t="shared" ref="I67:I74" si="10">I66+1</f>
        <v>2036</v>
      </c>
      <c r="J67" s="41">
        <v>2.1999999999999999E-2</v>
      </c>
    </row>
    <row r="68" spans="3:11">
      <c r="C68" s="87">
        <f t="shared" si="8"/>
        <v>2019</v>
      </c>
      <c r="D68" s="41">
        <v>0.02</v>
      </c>
      <c r="E68" s="85"/>
      <c r="F68" s="87">
        <f t="shared" si="9"/>
        <v>2028</v>
      </c>
      <c r="G68" s="41">
        <v>2.4E-2</v>
      </c>
      <c r="H68" s="85"/>
      <c r="I68" s="87">
        <f t="shared" si="10"/>
        <v>2037</v>
      </c>
      <c r="J68" s="41">
        <v>2.1999999999999999E-2</v>
      </c>
    </row>
    <row r="69" spans="3:11">
      <c r="C69" s="87">
        <f t="shared" si="8"/>
        <v>2020</v>
      </c>
      <c r="D69" s="41">
        <v>2.1999999999999999E-2</v>
      </c>
      <c r="E69" s="85"/>
      <c r="F69" s="87">
        <f t="shared" si="9"/>
        <v>2029</v>
      </c>
      <c r="G69" s="41">
        <v>2.4E-2</v>
      </c>
      <c r="H69" s="85"/>
      <c r="I69" s="87">
        <f t="shared" si="10"/>
        <v>2038</v>
      </c>
      <c r="J69" s="41">
        <v>2.3E-2</v>
      </c>
    </row>
    <row r="70" spans="3:11">
      <c r="C70" s="87">
        <f t="shared" si="8"/>
        <v>2021</v>
      </c>
      <c r="D70" s="41">
        <v>2.4E-2</v>
      </c>
      <c r="E70" s="85"/>
      <c r="F70" s="87">
        <f t="shared" si="9"/>
        <v>2030</v>
      </c>
      <c r="G70" s="41">
        <v>2.3E-2</v>
      </c>
      <c r="H70" s="85"/>
      <c r="I70" s="87">
        <f t="shared" si="10"/>
        <v>2039</v>
      </c>
      <c r="J70" s="41">
        <v>2.3E-2</v>
      </c>
    </row>
    <row r="71" spans="3:11">
      <c r="C71" s="87">
        <f t="shared" si="8"/>
        <v>2022</v>
      </c>
      <c r="D71" s="41">
        <v>2.4E-2</v>
      </c>
      <c r="E71" s="85"/>
      <c r="F71" s="87">
        <f t="shared" si="9"/>
        <v>2031</v>
      </c>
      <c r="G71" s="41">
        <v>2.3E-2</v>
      </c>
      <c r="H71" s="85"/>
      <c r="I71" s="87">
        <f t="shared" si="10"/>
        <v>2040</v>
      </c>
      <c r="J71" s="41">
        <v>2.3E-2</v>
      </c>
    </row>
    <row r="72" spans="3:11" s="123" customFormat="1">
      <c r="C72" s="87">
        <f t="shared" si="8"/>
        <v>2023</v>
      </c>
      <c r="D72" s="41">
        <v>2.4E-2</v>
      </c>
      <c r="E72" s="86"/>
      <c r="F72" s="87">
        <f t="shared" si="9"/>
        <v>2032</v>
      </c>
      <c r="G72" s="41">
        <v>2.3E-2</v>
      </c>
      <c r="H72" s="86"/>
      <c r="I72" s="87">
        <f t="shared" si="10"/>
        <v>2041</v>
      </c>
      <c r="J72" s="41">
        <v>2.3E-2</v>
      </c>
    </row>
    <row r="73" spans="3:11" s="123" customFormat="1">
      <c r="C73" s="87">
        <f t="shared" si="8"/>
        <v>2024</v>
      </c>
      <c r="D73" s="41">
        <v>2.4E-2</v>
      </c>
      <c r="E73" s="86"/>
      <c r="F73" s="87">
        <f t="shared" si="9"/>
        <v>2033</v>
      </c>
      <c r="G73" s="41">
        <v>2.3E-2</v>
      </c>
      <c r="H73" s="86"/>
      <c r="I73" s="87">
        <f t="shared" si="10"/>
        <v>2042</v>
      </c>
      <c r="J73" s="41">
        <v>2.3E-2</v>
      </c>
    </row>
    <row r="74" spans="3:11" s="123" customFormat="1">
      <c r="C74" s="87">
        <f t="shared" si="8"/>
        <v>2025</v>
      </c>
      <c r="D74" s="41">
        <v>2.3E-2</v>
      </c>
      <c r="E74" s="86"/>
      <c r="F74" s="87">
        <f t="shared" si="9"/>
        <v>2034</v>
      </c>
      <c r="G74" s="41">
        <v>2.3E-2</v>
      </c>
      <c r="H74" s="86"/>
      <c r="I74" s="87">
        <f t="shared" si="10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C3" sqref="C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56" customFormat="1" ht="15.75" hidden="1">
      <c r="B1" s="1" t="s">
        <v>37</v>
      </c>
      <c r="C1" s="1"/>
      <c r="D1" s="1"/>
      <c r="E1" s="1"/>
      <c r="F1" s="1"/>
      <c r="G1" s="253"/>
      <c r="H1" s="1"/>
      <c r="I1" s="1"/>
      <c r="J1" s="1"/>
      <c r="K1" s="1"/>
      <c r="L1" s="254"/>
      <c r="M1" s="255"/>
      <c r="N1" s="255"/>
      <c r="O1" s="255"/>
      <c r="P1" s="255"/>
    </row>
    <row r="2" spans="2:16" s="256" customFormat="1" ht="5.25" customHeight="1">
      <c r="B2" s="1"/>
      <c r="C2" s="1"/>
      <c r="D2" s="1"/>
      <c r="E2" s="1"/>
      <c r="F2" s="1"/>
      <c r="G2" s="253"/>
      <c r="H2" s="1"/>
      <c r="I2" s="1"/>
      <c r="J2" s="1"/>
      <c r="K2" s="1"/>
      <c r="L2" s="254"/>
      <c r="M2" s="255"/>
      <c r="N2" s="255"/>
      <c r="O2" s="255"/>
      <c r="P2" s="255"/>
    </row>
    <row r="3" spans="2:16" s="256" customFormat="1" ht="15.75">
      <c r="B3" s="1" t="s">
        <v>165</v>
      </c>
      <c r="C3" s="1"/>
      <c r="D3" s="1"/>
      <c r="E3" s="1"/>
      <c r="F3" s="1"/>
      <c r="G3" s="253"/>
      <c r="H3" s="1"/>
      <c r="I3" s="1"/>
      <c r="J3" s="1"/>
      <c r="K3" s="1"/>
      <c r="L3" s="254"/>
      <c r="M3" s="255"/>
      <c r="N3" s="255"/>
      <c r="O3" s="255"/>
      <c r="P3" s="255"/>
    </row>
    <row r="4" spans="2:16" s="258" customFormat="1" ht="15">
      <c r="B4" s="4" t="s">
        <v>166</v>
      </c>
      <c r="C4" s="4"/>
      <c r="D4" s="4"/>
      <c r="E4" s="4"/>
      <c r="F4" s="4"/>
      <c r="G4" s="4"/>
      <c r="H4" s="4"/>
      <c r="I4" s="4"/>
      <c r="J4" s="4"/>
      <c r="K4" s="4"/>
      <c r="L4" s="4"/>
      <c r="M4" s="257"/>
      <c r="N4" s="257"/>
      <c r="O4" s="257"/>
      <c r="P4" s="257"/>
    </row>
    <row r="5" spans="2:16" s="258" customFormat="1" ht="15">
      <c r="B5" s="4" t="str">
        <f ca="1">'Table 1'!B5</f>
        <v>Tesoro Non Firm - 25.0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58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7"/>
      <c r="N6" s="257"/>
      <c r="O6" s="257"/>
      <c r="P6" s="257"/>
    </row>
    <row r="7" spans="2:16">
      <c r="D7" s="259"/>
      <c r="E7" s="259"/>
      <c r="F7" s="259"/>
      <c r="G7" s="260"/>
      <c r="H7" s="260"/>
      <c r="I7" s="260"/>
      <c r="J7" s="260"/>
      <c r="K7" s="260"/>
      <c r="L7" s="260"/>
      <c r="M7" s="261"/>
    </row>
    <row r="8" spans="2:16">
      <c r="B8" s="262"/>
      <c r="C8" s="262"/>
      <c r="D8" s="263" t="s">
        <v>167</v>
      </c>
      <c r="E8" s="264"/>
      <c r="F8" s="264"/>
      <c r="G8" s="263"/>
      <c r="H8" s="263"/>
      <c r="I8" s="265" t="s">
        <v>168</v>
      </c>
      <c r="J8" s="266"/>
      <c r="K8" s="266"/>
      <c r="L8" s="267"/>
      <c r="M8" s="268" t="s">
        <v>167</v>
      </c>
      <c r="N8" s="269"/>
      <c r="O8" s="270"/>
    </row>
    <row r="9" spans="2:16">
      <c r="B9" s="271" t="str">
        <f>'[10]Avoided Costs'!B4</f>
        <v>Year</v>
      </c>
      <c r="C9" s="271" t="str">
        <f>'[10]Avoided Costs'!C4</f>
        <v>Annual</v>
      </c>
      <c r="D9" s="272" t="str">
        <f>'[10]Avoided Costs'!D4</f>
        <v>Jan</v>
      </c>
      <c r="E9" s="273" t="str">
        <f>'[10]Avoided Costs'!E4</f>
        <v>Feb</v>
      </c>
      <c r="F9" s="273" t="str">
        <f>'[10]Avoided Costs'!F4</f>
        <v>Mar</v>
      </c>
      <c r="G9" s="273" t="str">
        <f>'[10]Avoided Costs'!G4</f>
        <v>Apr</v>
      </c>
      <c r="H9" s="274" t="str">
        <f>'[10]Avoided Costs'!H4</f>
        <v>May</v>
      </c>
      <c r="I9" s="188" t="str">
        <f>'[10]Avoided Costs'!I4</f>
        <v>Jun</v>
      </c>
      <c r="J9" s="188" t="str">
        <f>'[10]Avoided Costs'!J4</f>
        <v>Jul</v>
      </c>
      <c r="K9" s="188" t="str">
        <f>'[10]Avoided Costs'!K4</f>
        <v>Aug</v>
      </c>
      <c r="L9" s="188" t="str">
        <f>'[10]Avoided Costs'!L4</f>
        <v>Sep</v>
      </c>
      <c r="M9" s="272" t="str">
        <f>'[10]Avoided Costs'!M4</f>
        <v>Oct</v>
      </c>
      <c r="N9" s="273" t="str">
        <f>'[10]Avoided Costs'!N4</f>
        <v>Nov</v>
      </c>
      <c r="O9" s="274" t="str">
        <f>'[10]Avoided Costs'!O4</f>
        <v>Dec</v>
      </c>
    </row>
    <row r="10" spans="2:16" ht="12.75" customHeight="1">
      <c r="B10" s="252"/>
      <c r="C10" s="252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5"/>
    </row>
    <row r="11" spans="2:16" ht="12.75" customHeight="1">
      <c r="B11" s="276" t="s">
        <v>169</v>
      </c>
      <c r="C11" s="276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5"/>
    </row>
    <row r="12" spans="2:16" ht="12.75" hidden="1" customHeight="1">
      <c r="B12" s="277"/>
      <c r="C12" s="278"/>
      <c r="D12" s="8"/>
      <c r="E12" s="8"/>
      <c r="F12" s="8"/>
      <c r="G12" s="8"/>
      <c r="H12" s="13"/>
      <c r="I12" s="279"/>
      <c r="J12" s="280"/>
      <c r="K12" s="280"/>
      <c r="L12" s="281"/>
      <c r="M12" s="279"/>
      <c r="N12" s="280"/>
      <c r="O12" s="281"/>
    </row>
    <row r="13" spans="2:16" ht="12.75" customHeight="1">
      <c r="B13" s="282">
        <f>'[10]Avoided Costs'!B7</f>
        <v>2020</v>
      </c>
      <c r="C13" s="283">
        <f>'[10]Avoided Costs'!C7</f>
        <v>20.981757494964668</v>
      </c>
      <c r="D13" s="284">
        <f>'[10]Avoided Costs'!D7</f>
        <v>19.364333729543013</v>
      </c>
      <c r="E13" s="284">
        <f>'[10]Avoided Costs'!E7</f>
        <v>23.708441686196011</v>
      </c>
      <c r="F13" s="284">
        <f>'[10]Avoided Costs'!F7</f>
        <v>17.395005827163835</v>
      </c>
      <c r="G13" s="284">
        <f>'[10]Avoided Costs'!G7</f>
        <v>16.80974812750528</v>
      </c>
      <c r="H13" s="285">
        <f>'[10]Avoided Costs'!H7</f>
        <v>15.80880899765045</v>
      </c>
      <c r="I13" s="286">
        <f>'[10]Avoided Costs'!I7</f>
        <v>16.728882758716743</v>
      </c>
      <c r="J13" s="284">
        <f>'[10]Avoided Costs'!J7</f>
        <v>31.711026000051014</v>
      </c>
      <c r="K13" s="284">
        <f>'[10]Avoided Costs'!K7</f>
        <v>31.468600782535258</v>
      </c>
      <c r="L13" s="285">
        <f>'[10]Avoided Costs'!L7</f>
        <v>22.37182767163889</v>
      </c>
      <c r="M13" s="286">
        <f>'[10]Avoided Costs'!M7</f>
        <v>17.439515043378517</v>
      </c>
      <c r="N13" s="284">
        <f>'[10]Avoided Costs'!N7</f>
        <v>20.987648424429246</v>
      </c>
      <c r="O13" s="285">
        <f>'[10]Avoided Costs'!O7</f>
        <v>17.93642654832615</v>
      </c>
    </row>
    <row r="14" spans="2:16" ht="12.75" hidden="1" customHeight="1">
      <c r="B14" s="299">
        <f>'[10]Avoided Costs'!B8</f>
        <v>2021</v>
      </c>
      <c r="C14" s="287">
        <f>'[10]Avoided Costs'!C8</f>
        <v>0</v>
      </c>
      <c r="D14" s="288">
        <f>'[10]Avoided Costs'!D8</f>
        <v>0</v>
      </c>
      <c r="E14" s="288">
        <f>'[10]Avoided Costs'!E8</f>
        <v>0</v>
      </c>
      <c r="F14" s="288">
        <f>'[10]Avoided Costs'!F8</f>
        <v>0</v>
      </c>
      <c r="G14" s="288">
        <f>'[10]Avoided Costs'!G8</f>
        <v>0</v>
      </c>
      <c r="H14" s="289">
        <f>'[10]Avoided Costs'!H8</f>
        <v>0</v>
      </c>
      <c r="I14" s="290">
        <f>'[10]Avoided Costs'!I8</f>
        <v>0</v>
      </c>
      <c r="J14" s="288">
        <f>'[10]Avoided Costs'!J8</f>
        <v>0</v>
      </c>
      <c r="K14" s="288">
        <f>'[10]Avoided Costs'!K8</f>
        <v>0</v>
      </c>
      <c r="L14" s="289">
        <f>'[10]Avoided Costs'!L8</f>
        <v>0</v>
      </c>
      <c r="M14" s="290">
        <f>'[10]Avoided Costs'!M8</f>
        <v>0</v>
      </c>
      <c r="N14" s="288">
        <f>'[10]Avoided Costs'!N8</f>
        <v>0</v>
      </c>
      <c r="O14" s="289">
        <f>'[10]Avoided Costs'!O8</f>
        <v>0</v>
      </c>
    </row>
    <row r="15" spans="2:16" ht="12.75" hidden="1" customHeight="1">
      <c r="B15" s="299">
        <f>'[10]Avoided Costs'!B9</f>
        <v>2022</v>
      </c>
      <c r="C15" s="287">
        <f>'[10]Avoided Costs'!C9</f>
        <v>0</v>
      </c>
      <c r="D15" s="288">
        <f>'[10]Avoided Costs'!D9</f>
        <v>0</v>
      </c>
      <c r="E15" s="288">
        <f>'[10]Avoided Costs'!E9</f>
        <v>0</v>
      </c>
      <c r="F15" s="288">
        <f>'[10]Avoided Costs'!F9</f>
        <v>0</v>
      </c>
      <c r="G15" s="288">
        <f>'[10]Avoided Costs'!G9</f>
        <v>0</v>
      </c>
      <c r="H15" s="289">
        <f>'[10]Avoided Costs'!H9</f>
        <v>0</v>
      </c>
      <c r="I15" s="290">
        <f>'[10]Avoided Costs'!I9</f>
        <v>0</v>
      </c>
      <c r="J15" s="288">
        <f>'[10]Avoided Costs'!J9</f>
        <v>0</v>
      </c>
      <c r="K15" s="288">
        <f>'[10]Avoided Costs'!K9</f>
        <v>0</v>
      </c>
      <c r="L15" s="289">
        <f>'[10]Avoided Costs'!L9</f>
        <v>0</v>
      </c>
      <c r="M15" s="290">
        <f>'[10]Avoided Costs'!M9</f>
        <v>0</v>
      </c>
      <c r="N15" s="288">
        <f>'[10]Avoided Costs'!N9</f>
        <v>0</v>
      </c>
      <c r="O15" s="289">
        <f>'[10]Avoided Costs'!O9</f>
        <v>0</v>
      </c>
    </row>
    <row r="16" spans="2:16" ht="12.75" hidden="1" customHeight="1">
      <c r="B16" s="299">
        <f>'[10]Avoided Costs'!B10</f>
        <v>2023</v>
      </c>
      <c r="C16" s="287">
        <f>'[10]Avoided Costs'!C10</f>
        <v>0</v>
      </c>
      <c r="D16" s="288">
        <f>'[10]Avoided Costs'!D10</f>
        <v>0</v>
      </c>
      <c r="E16" s="288">
        <f>'[10]Avoided Costs'!E10</f>
        <v>0</v>
      </c>
      <c r="F16" s="288">
        <f>'[10]Avoided Costs'!F10</f>
        <v>0</v>
      </c>
      <c r="G16" s="288">
        <f>'[10]Avoided Costs'!G10</f>
        <v>0</v>
      </c>
      <c r="H16" s="289">
        <f>'[10]Avoided Costs'!H10</f>
        <v>0</v>
      </c>
      <c r="I16" s="290">
        <f>'[10]Avoided Costs'!I10</f>
        <v>0</v>
      </c>
      <c r="J16" s="288">
        <f>'[10]Avoided Costs'!J10</f>
        <v>0</v>
      </c>
      <c r="K16" s="288">
        <f>'[10]Avoided Costs'!K10</f>
        <v>0</v>
      </c>
      <c r="L16" s="289">
        <f>'[10]Avoided Costs'!L10</f>
        <v>0</v>
      </c>
      <c r="M16" s="290">
        <f>'[10]Avoided Costs'!M10</f>
        <v>0</v>
      </c>
      <c r="N16" s="288">
        <f>'[10]Avoided Costs'!N10</f>
        <v>0</v>
      </c>
      <c r="O16" s="289">
        <f>'[10]Avoided Costs'!O10</f>
        <v>0</v>
      </c>
    </row>
    <row r="17" spans="2:15" ht="12.75" hidden="1" customHeight="1">
      <c r="B17" s="299">
        <f>'[10]Avoided Costs'!B11</f>
        <v>2024</v>
      </c>
      <c r="C17" s="287">
        <f>'[10]Avoided Costs'!C11</f>
        <v>0</v>
      </c>
      <c r="D17" s="288">
        <f>'[10]Avoided Costs'!D11</f>
        <v>0</v>
      </c>
      <c r="E17" s="288">
        <f>'[10]Avoided Costs'!E11</f>
        <v>0</v>
      </c>
      <c r="F17" s="288">
        <f>'[10]Avoided Costs'!F11</f>
        <v>0</v>
      </c>
      <c r="G17" s="288">
        <f>'[10]Avoided Costs'!G11</f>
        <v>0</v>
      </c>
      <c r="H17" s="289">
        <f>'[10]Avoided Costs'!H11</f>
        <v>0</v>
      </c>
      <c r="I17" s="290">
        <f>'[10]Avoided Costs'!I11</f>
        <v>0</v>
      </c>
      <c r="J17" s="288">
        <f>'[10]Avoided Costs'!J11</f>
        <v>0</v>
      </c>
      <c r="K17" s="288">
        <f>'[10]Avoided Costs'!K11</f>
        <v>0</v>
      </c>
      <c r="L17" s="289">
        <f>'[10]Avoided Costs'!L11</f>
        <v>0</v>
      </c>
      <c r="M17" s="290">
        <f>'[10]Avoided Costs'!M11</f>
        <v>0</v>
      </c>
      <c r="N17" s="288">
        <f>'[10]Avoided Costs'!N11</f>
        <v>0</v>
      </c>
      <c r="O17" s="289">
        <f>'[10]Avoided Costs'!O11</f>
        <v>0</v>
      </c>
    </row>
    <row r="18" spans="2:15" ht="12.75" hidden="1" customHeight="1">
      <c r="B18" s="299">
        <f>'[10]Avoided Costs'!B12</f>
        <v>2025</v>
      </c>
      <c r="C18" s="287">
        <f>'[10]Avoided Costs'!C12</f>
        <v>0</v>
      </c>
      <c r="D18" s="288">
        <f>'[10]Avoided Costs'!D12</f>
        <v>0</v>
      </c>
      <c r="E18" s="288">
        <f>'[10]Avoided Costs'!E12</f>
        <v>0</v>
      </c>
      <c r="F18" s="288">
        <f>'[10]Avoided Costs'!F12</f>
        <v>0</v>
      </c>
      <c r="G18" s="288">
        <f>'[10]Avoided Costs'!G12</f>
        <v>0</v>
      </c>
      <c r="H18" s="289">
        <f>'[10]Avoided Costs'!H12</f>
        <v>0</v>
      </c>
      <c r="I18" s="290">
        <f>'[10]Avoided Costs'!I12</f>
        <v>0</v>
      </c>
      <c r="J18" s="288">
        <f>'[10]Avoided Costs'!J12</f>
        <v>0</v>
      </c>
      <c r="K18" s="288">
        <f>'[10]Avoided Costs'!K12</f>
        <v>0</v>
      </c>
      <c r="L18" s="289">
        <f>'[10]Avoided Costs'!L12</f>
        <v>0</v>
      </c>
      <c r="M18" s="290">
        <f>'[10]Avoided Costs'!M12</f>
        <v>0</v>
      </c>
      <c r="N18" s="288">
        <f>'[10]Avoided Costs'!N12</f>
        <v>0</v>
      </c>
      <c r="O18" s="289">
        <f>'[10]Avoided Costs'!O12</f>
        <v>0</v>
      </c>
    </row>
    <row r="19" spans="2:15" ht="12.75" hidden="1" customHeight="1">
      <c r="B19" s="299">
        <f>'[10]Avoided Costs'!B13</f>
        <v>2026</v>
      </c>
      <c r="C19" s="287">
        <f>'[10]Avoided Costs'!C13</f>
        <v>0</v>
      </c>
      <c r="D19" s="288">
        <f>'[10]Avoided Costs'!D13</f>
        <v>0</v>
      </c>
      <c r="E19" s="288">
        <f>'[10]Avoided Costs'!E13</f>
        <v>0</v>
      </c>
      <c r="F19" s="288">
        <f>'[10]Avoided Costs'!F13</f>
        <v>0</v>
      </c>
      <c r="G19" s="288">
        <f>'[10]Avoided Costs'!G13</f>
        <v>0</v>
      </c>
      <c r="H19" s="289">
        <f>'[10]Avoided Costs'!H13</f>
        <v>0</v>
      </c>
      <c r="I19" s="290">
        <f>'[10]Avoided Costs'!I13</f>
        <v>0</v>
      </c>
      <c r="J19" s="288">
        <f>'[10]Avoided Costs'!J13</f>
        <v>0</v>
      </c>
      <c r="K19" s="288">
        <f>'[10]Avoided Costs'!K13</f>
        <v>0</v>
      </c>
      <c r="L19" s="289">
        <f>'[10]Avoided Costs'!L13</f>
        <v>0</v>
      </c>
      <c r="M19" s="290">
        <f>'[10]Avoided Costs'!M13</f>
        <v>0</v>
      </c>
      <c r="N19" s="288">
        <f>'[10]Avoided Costs'!N13</f>
        <v>0</v>
      </c>
      <c r="O19" s="289">
        <f>'[10]Avoided Costs'!O13</f>
        <v>0</v>
      </c>
    </row>
    <row r="20" spans="2:15" ht="12.75" hidden="1" customHeight="1">
      <c r="B20" s="299">
        <f>'[10]Avoided Costs'!B14</f>
        <v>2027</v>
      </c>
      <c r="C20" s="287">
        <f>'[10]Avoided Costs'!C14</f>
        <v>0</v>
      </c>
      <c r="D20" s="288">
        <f>'[10]Avoided Costs'!D14</f>
        <v>0</v>
      </c>
      <c r="E20" s="288">
        <f>'[10]Avoided Costs'!E14</f>
        <v>0</v>
      </c>
      <c r="F20" s="288">
        <f>'[10]Avoided Costs'!F14</f>
        <v>0</v>
      </c>
      <c r="G20" s="288">
        <f>'[10]Avoided Costs'!G14</f>
        <v>0</v>
      </c>
      <c r="H20" s="289">
        <f>'[10]Avoided Costs'!H14</f>
        <v>0</v>
      </c>
      <c r="I20" s="290">
        <f>'[10]Avoided Costs'!I14</f>
        <v>0</v>
      </c>
      <c r="J20" s="288">
        <f>'[10]Avoided Costs'!J14</f>
        <v>0</v>
      </c>
      <c r="K20" s="288">
        <f>'[10]Avoided Costs'!K14</f>
        <v>0</v>
      </c>
      <c r="L20" s="289">
        <f>'[10]Avoided Costs'!L14</f>
        <v>0</v>
      </c>
      <c r="M20" s="290">
        <f>'[10]Avoided Costs'!M14</f>
        <v>0</v>
      </c>
      <c r="N20" s="288">
        <f>'[10]Avoided Costs'!N14</f>
        <v>0</v>
      </c>
      <c r="O20" s="289">
        <f>'[10]Avoided Costs'!O14</f>
        <v>0</v>
      </c>
    </row>
    <row r="21" spans="2:15" ht="12.75" hidden="1" customHeight="1">
      <c r="B21" s="299">
        <f>'[10]Avoided Costs'!B15</f>
        <v>2028</v>
      </c>
      <c r="C21" s="287">
        <f>'[10]Avoided Costs'!C15</f>
        <v>0</v>
      </c>
      <c r="D21" s="288">
        <f>'[10]Avoided Costs'!D15</f>
        <v>0</v>
      </c>
      <c r="E21" s="288">
        <f>'[10]Avoided Costs'!E15</f>
        <v>0</v>
      </c>
      <c r="F21" s="288">
        <f>'[10]Avoided Costs'!F15</f>
        <v>0</v>
      </c>
      <c r="G21" s="288">
        <f>'[10]Avoided Costs'!G15</f>
        <v>0</v>
      </c>
      <c r="H21" s="289">
        <f>'[10]Avoided Costs'!H15</f>
        <v>0</v>
      </c>
      <c r="I21" s="290">
        <f>'[10]Avoided Costs'!I15</f>
        <v>0</v>
      </c>
      <c r="J21" s="288">
        <f>'[10]Avoided Costs'!J15</f>
        <v>0</v>
      </c>
      <c r="K21" s="288">
        <f>'[10]Avoided Costs'!K15</f>
        <v>0</v>
      </c>
      <c r="L21" s="289">
        <f>'[10]Avoided Costs'!L15</f>
        <v>0</v>
      </c>
      <c r="M21" s="290">
        <f>'[10]Avoided Costs'!M15</f>
        <v>0</v>
      </c>
      <c r="N21" s="288">
        <f>'[10]Avoided Costs'!N15</f>
        <v>0</v>
      </c>
      <c r="O21" s="289">
        <f>'[10]Avoided Costs'!O15</f>
        <v>0</v>
      </c>
    </row>
    <row r="22" spans="2:15" ht="12.75" hidden="1" customHeight="1">
      <c r="B22" s="299">
        <f>'[10]Avoided Costs'!B16</f>
        <v>2029</v>
      </c>
      <c r="C22" s="287">
        <f>'[10]Avoided Costs'!C16</f>
        <v>0</v>
      </c>
      <c r="D22" s="288">
        <f>'[10]Avoided Costs'!D16</f>
        <v>0</v>
      </c>
      <c r="E22" s="288">
        <f>'[10]Avoided Costs'!E16</f>
        <v>0</v>
      </c>
      <c r="F22" s="288">
        <f>'[10]Avoided Costs'!F16</f>
        <v>0</v>
      </c>
      <c r="G22" s="288">
        <f>'[10]Avoided Costs'!G16</f>
        <v>0</v>
      </c>
      <c r="H22" s="289">
        <f>'[10]Avoided Costs'!H16</f>
        <v>0</v>
      </c>
      <c r="I22" s="290">
        <f>'[10]Avoided Costs'!I16</f>
        <v>0</v>
      </c>
      <c r="J22" s="288">
        <f>'[10]Avoided Costs'!J16</f>
        <v>0</v>
      </c>
      <c r="K22" s="288">
        <f>'[10]Avoided Costs'!K16</f>
        <v>0</v>
      </c>
      <c r="L22" s="289">
        <f>'[10]Avoided Costs'!L16</f>
        <v>0</v>
      </c>
      <c r="M22" s="290">
        <f>'[10]Avoided Costs'!M16</f>
        <v>0</v>
      </c>
      <c r="N22" s="288">
        <f>'[10]Avoided Costs'!N16</f>
        <v>0</v>
      </c>
      <c r="O22" s="289">
        <f>'[10]Avoided Costs'!O16</f>
        <v>0</v>
      </c>
    </row>
    <row r="23" spans="2:15" ht="12.75" hidden="1" customHeight="1">
      <c r="B23" s="299">
        <f>'[10]Avoided Costs'!B17</f>
        <v>0</v>
      </c>
      <c r="C23" s="287">
        <f>'[10]Avoided Costs'!C17</f>
        <v>0</v>
      </c>
      <c r="D23" s="288">
        <f>'[10]Avoided Costs'!D17</f>
        <v>0</v>
      </c>
      <c r="E23" s="288">
        <f>'[10]Avoided Costs'!E17</f>
        <v>0</v>
      </c>
      <c r="F23" s="288">
        <f>'[10]Avoided Costs'!F17</f>
        <v>0</v>
      </c>
      <c r="G23" s="288">
        <f>'[10]Avoided Costs'!G17</f>
        <v>0</v>
      </c>
      <c r="H23" s="289">
        <f>'[10]Avoided Costs'!H17</f>
        <v>0</v>
      </c>
      <c r="I23" s="290">
        <f>'[10]Avoided Costs'!I17</f>
        <v>0</v>
      </c>
      <c r="J23" s="288">
        <f>'[10]Avoided Costs'!J17</f>
        <v>0</v>
      </c>
      <c r="K23" s="288">
        <f>'[10]Avoided Costs'!K17</f>
        <v>0</v>
      </c>
      <c r="L23" s="289">
        <f>'[10]Avoided Costs'!L17</f>
        <v>0</v>
      </c>
      <c r="M23" s="290">
        <f>'[10]Avoided Costs'!M17</f>
        <v>0</v>
      </c>
      <c r="N23" s="288">
        <f>'[10]Avoided Costs'!N17</f>
        <v>0</v>
      </c>
      <c r="O23" s="289">
        <f>'[10]Avoided Costs'!O17</f>
        <v>0</v>
      </c>
    </row>
    <row r="24" spans="2:15" ht="12.75" hidden="1" customHeight="1">
      <c r="B24" s="299">
        <f>'[10]Avoided Costs'!B18</f>
        <v>0</v>
      </c>
      <c r="C24" s="287">
        <f>'[10]Avoided Costs'!C18</f>
        <v>0</v>
      </c>
      <c r="D24" s="288">
        <f>'[10]Avoided Costs'!D18</f>
        <v>0</v>
      </c>
      <c r="E24" s="288">
        <f>'[10]Avoided Costs'!E18</f>
        <v>0</v>
      </c>
      <c r="F24" s="288">
        <f>'[10]Avoided Costs'!F18</f>
        <v>0</v>
      </c>
      <c r="G24" s="288">
        <f>'[10]Avoided Costs'!G18</f>
        <v>0</v>
      </c>
      <c r="H24" s="289">
        <f>'[10]Avoided Costs'!H18</f>
        <v>0</v>
      </c>
      <c r="I24" s="290">
        <f>'[10]Avoided Costs'!I18</f>
        <v>0</v>
      </c>
      <c r="J24" s="288">
        <f>'[10]Avoided Costs'!J18</f>
        <v>0</v>
      </c>
      <c r="K24" s="288">
        <f>'[10]Avoided Costs'!K18</f>
        <v>0</v>
      </c>
      <c r="L24" s="289">
        <f>'[10]Avoided Costs'!L18</f>
        <v>0</v>
      </c>
      <c r="M24" s="290">
        <f>'[10]Avoided Costs'!M18</f>
        <v>0</v>
      </c>
      <c r="N24" s="288">
        <f>'[10]Avoided Costs'!N18</f>
        <v>0</v>
      </c>
      <c r="O24" s="289">
        <f>'[10]Avoided Costs'!O18</f>
        <v>0</v>
      </c>
    </row>
    <row r="25" spans="2:15" ht="12.75" hidden="1" customHeight="1">
      <c r="B25" s="299">
        <f>'[10]Avoided Costs'!B19</f>
        <v>0</v>
      </c>
      <c r="C25" s="287">
        <f>'[10]Avoided Costs'!C19</f>
        <v>0</v>
      </c>
      <c r="D25" s="288">
        <f>'[10]Avoided Costs'!D19</f>
        <v>0</v>
      </c>
      <c r="E25" s="288">
        <f>'[10]Avoided Costs'!E19</f>
        <v>0</v>
      </c>
      <c r="F25" s="288">
        <f>'[10]Avoided Costs'!F19</f>
        <v>0</v>
      </c>
      <c r="G25" s="288">
        <f>'[10]Avoided Costs'!G19</f>
        <v>0</v>
      </c>
      <c r="H25" s="289">
        <f>'[10]Avoided Costs'!H19</f>
        <v>0</v>
      </c>
      <c r="I25" s="290">
        <f>'[10]Avoided Costs'!I19</f>
        <v>0</v>
      </c>
      <c r="J25" s="288">
        <f>'[10]Avoided Costs'!J19</f>
        <v>0</v>
      </c>
      <c r="K25" s="288">
        <f>'[10]Avoided Costs'!K19</f>
        <v>0</v>
      </c>
      <c r="L25" s="289">
        <f>'[10]Avoided Costs'!L19</f>
        <v>0</v>
      </c>
      <c r="M25" s="290">
        <f>'[10]Avoided Costs'!M19</f>
        <v>0</v>
      </c>
      <c r="N25" s="288">
        <f>'[10]Avoided Costs'!N19</f>
        <v>0</v>
      </c>
      <c r="O25" s="289">
        <f>'[10]Avoided Costs'!O19</f>
        <v>0</v>
      </c>
    </row>
    <row r="26" spans="2:15" ht="12.75" hidden="1" customHeight="1">
      <c r="B26" s="299">
        <f>'[10]Avoided Costs'!B20</f>
        <v>0</v>
      </c>
      <c r="C26" s="287">
        <f>'[10]Avoided Costs'!C20</f>
        <v>0</v>
      </c>
      <c r="D26" s="288">
        <f>'[10]Avoided Costs'!D20</f>
        <v>0</v>
      </c>
      <c r="E26" s="288">
        <f>'[10]Avoided Costs'!E20</f>
        <v>0</v>
      </c>
      <c r="F26" s="288">
        <f>'[10]Avoided Costs'!F20</f>
        <v>0</v>
      </c>
      <c r="G26" s="288">
        <f>'[10]Avoided Costs'!G20</f>
        <v>0</v>
      </c>
      <c r="H26" s="289">
        <f>'[10]Avoided Costs'!H20</f>
        <v>0</v>
      </c>
      <c r="I26" s="290">
        <f>'[10]Avoided Costs'!I20</f>
        <v>0</v>
      </c>
      <c r="J26" s="288">
        <f>'[10]Avoided Costs'!J20</f>
        <v>0</v>
      </c>
      <c r="K26" s="288">
        <f>'[10]Avoided Costs'!K20</f>
        <v>0</v>
      </c>
      <c r="L26" s="289">
        <f>'[10]Avoided Costs'!L20</f>
        <v>0</v>
      </c>
      <c r="M26" s="290">
        <f>'[10]Avoided Costs'!M20</f>
        <v>0</v>
      </c>
      <c r="N26" s="288">
        <f>'[10]Avoided Costs'!N20</f>
        <v>0</v>
      </c>
      <c r="O26" s="289">
        <f>'[10]Avoided Costs'!O20</f>
        <v>0</v>
      </c>
    </row>
    <row r="27" spans="2:15" ht="12.75" hidden="1" customHeight="1">
      <c r="B27" s="299">
        <f>'[10]Avoided Costs'!B21</f>
        <v>0</v>
      </c>
      <c r="C27" s="287">
        <f>'[10]Avoided Costs'!C21</f>
        <v>0</v>
      </c>
      <c r="D27" s="288">
        <f>'[10]Avoided Costs'!D21</f>
        <v>0</v>
      </c>
      <c r="E27" s="288">
        <f>'[10]Avoided Costs'!E21</f>
        <v>0</v>
      </c>
      <c r="F27" s="288">
        <f>'[10]Avoided Costs'!F21</f>
        <v>0</v>
      </c>
      <c r="G27" s="288">
        <f>'[10]Avoided Costs'!G21</f>
        <v>0</v>
      </c>
      <c r="H27" s="289">
        <f>'[10]Avoided Costs'!H21</f>
        <v>0</v>
      </c>
      <c r="I27" s="290">
        <f>'[10]Avoided Costs'!I21</f>
        <v>0</v>
      </c>
      <c r="J27" s="288">
        <f>'[10]Avoided Costs'!J21</f>
        <v>0</v>
      </c>
      <c r="K27" s="288">
        <f>'[10]Avoided Costs'!K21</f>
        <v>0</v>
      </c>
      <c r="L27" s="289">
        <f>'[10]Avoided Costs'!L21</f>
        <v>0</v>
      </c>
      <c r="M27" s="290">
        <f>'[10]Avoided Costs'!M21</f>
        <v>0</v>
      </c>
      <c r="N27" s="288">
        <f>'[10]Avoided Costs'!N21</f>
        <v>0</v>
      </c>
      <c r="O27" s="289">
        <f>'[10]Avoided Costs'!O21</f>
        <v>0</v>
      </c>
    </row>
    <row r="28" spans="2:15" ht="12.75" hidden="1" customHeight="1">
      <c r="B28" s="299">
        <f>'[10]Avoided Costs'!B22</f>
        <v>0</v>
      </c>
      <c r="C28" s="287">
        <f>'[10]Avoided Costs'!C22</f>
        <v>0</v>
      </c>
      <c r="D28" s="288">
        <f>'[10]Avoided Costs'!D22</f>
        <v>0</v>
      </c>
      <c r="E28" s="288">
        <f>'[10]Avoided Costs'!E22</f>
        <v>0</v>
      </c>
      <c r="F28" s="288">
        <f>'[10]Avoided Costs'!F22</f>
        <v>0</v>
      </c>
      <c r="G28" s="288">
        <f>'[10]Avoided Costs'!G22</f>
        <v>0</v>
      </c>
      <c r="H28" s="289">
        <f>'[10]Avoided Costs'!H22</f>
        <v>0</v>
      </c>
      <c r="I28" s="290">
        <f>'[10]Avoided Costs'!I22</f>
        <v>0</v>
      </c>
      <c r="J28" s="288">
        <f>'[10]Avoided Costs'!J22</f>
        <v>0</v>
      </c>
      <c r="K28" s="288">
        <f>'[10]Avoided Costs'!K22</f>
        <v>0</v>
      </c>
      <c r="L28" s="289">
        <f>'[10]Avoided Costs'!L22</f>
        <v>0</v>
      </c>
      <c r="M28" s="290">
        <f>'[10]Avoided Costs'!M22</f>
        <v>0</v>
      </c>
      <c r="N28" s="288">
        <f>'[10]Avoided Costs'!N22</f>
        <v>0</v>
      </c>
      <c r="O28" s="289">
        <f>'[10]Avoided Costs'!O22</f>
        <v>0</v>
      </c>
    </row>
    <row r="29" spans="2:15" ht="12.75" hidden="1" customHeight="1">
      <c r="B29" s="299">
        <f>'[10]Avoided Costs'!B23</f>
        <v>0</v>
      </c>
      <c r="C29" s="287">
        <f>'[10]Avoided Costs'!C23</f>
        <v>0</v>
      </c>
      <c r="D29" s="288">
        <f>'[10]Avoided Costs'!D23</f>
        <v>0</v>
      </c>
      <c r="E29" s="288">
        <f>'[10]Avoided Costs'!E23</f>
        <v>0</v>
      </c>
      <c r="F29" s="288">
        <f>'[10]Avoided Costs'!F23</f>
        <v>0</v>
      </c>
      <c r="G29" s="288">
        <f>'[10]Avoided Costs'!G23</f>
        <v>0</v>
      </c>
      <c r="H29" s="289">
        <f>'[10]Avoided Costs'!H23</f>
        <v>0</v>
      </c>
      <c r="I29" s="290">
        <f>'[10]Avoided Costs'!I23</f>
        <v>0</v>
      </c>
      <c r="J29" s="288">
        <f>'[10]Avoided Costs'!J23</f>
        <v>0</v>
      </c>
      <c r="K29" s="288">
        <f>'[10]Avoided Costs'!K23</f>
        <v>0</v>
      </c>
      <c r="L29" s="289">
        <f>'[10]Avoided Costs'!L23</f>
        <v>0</v>
      </c>
      <c r="M29" s="290">
        <f>'[10]Avoided Costs'!M23</f>
        <v>0</v>
      </c>
      <c r="N29" s="288">
        <f>'[10]Avoided Costs'!N23</f>
        <v>0</v>
      </c>
      <c r="O29" s="289">
        <f>'[10]Avoided Costs'!O23</f>
        <v>0</v>
      </c>
    </row>
    <row r="30" spans="2:15" ht="12.75" hidden="1" customHeight="1">
      <c r="B30" s="300">
        <f>'[10]Avoided Costs'!B24</f>
        <v>0</v>
      </c>
      <c r="C30" s="292">
        <f>'[10]Avoided Costs'!C24</f>
        <v>0</v>
      </c>
      <c r="D30" s="293">
        <f>'[10]Avoided Costs'!D24</f>
        <v>0</v>
      </c>
      <c r="E30" s="293">
        <f>'[10]Avoided Costs'!E24</f>
        <v>0</v>
      </c>
      <c r="F30" s="293">
        <f>'[10]Avoided Costs'!F24</f>
        <v>0</v>
      </c>
      <c r="G30" s="293">
        <f>'[10]Avoided Costs'!G24</f>
        <v>0</v>
      </c>
      <c r="H30" s="294">
        <f>'[10]Avoided Costs'!H24</f>
        <v>0</v>
      </c>
      <c r="I30" s="295">
        <f>'[10]Avoided Costs'!I24</f>
        <v>0</v>
      </c>
      <c r="J30" s="293">
        <f>'[10]Avoided Costs'!J24</f>
        <v>0</v>
      </c>
      <c r="K30" s="293">
        <f>'[10]Avoided Costs'!K24</f>
        <v>0</v>
      </c>
      <c r="L30" s="294">
        <f>'[10]Avoided Costs'!L24</f>
        <v>0</v>
      </c>
      <c r="M30" s="295">
        <f>'[10]Avoided Costs'!M24</f>
        <v>0</v>
      </c>
      <c r="N30" s="293">
        <f>'[10]Avoided Costs'!N24</f>
        <v>0</v>
      </c>
      <c r="O30" s="294">
        <f>'[10]Avoided Costs'!O24</f>
        <v>0</v>
      </c>
    </row>
    <row r="31" spans="2:15" ht="12.75" hidden="1" customHeight="1">
      <c r="B31" s="15"/>
      <c r="C31" s="287"/>
      <c r="D31" s="288"/>
      <c r="E31" s="288"/>
      <c r="F31" s="288"/>
      <c r="G31" s="288"/>
      <c r="H31" s="289"/>
      <c r="I31" s="290"/>
      <c r="J31" s="288"/>
      <c r="K31" s="288"/>
      <c r="L31" s="289"/>
      <c r="M31" s="290"/>
      <c r="N31" s="288"/>
      <c r="O31" s="289"/>
    </row>
    <row r="32" spans="2:15" ht="12.75" hidden="1" customHeight="1">
      <c r="B32" s="291"/>
      <c r="C32" s="292"/>
      <c r="D32" s="293"/>
      <c r="E32" s="293"/>
      <c r="F32" s="293"/>
      <c r="G32" s="293"/>
      <c r="H32" s="294"/>
      <c r="I32" s="295"/>
      <c r="J32" s="293"/>
      <c r="K32" s="293"/>
      <c r="L32" s="294"/>
      <c r="M32" s="295"/>
      <c r="N32" s="293"/>
      <c r="O32" s="294"/>
    </row>
    <row r="33" spans="2:16" ht="12.75" customHeight="1">
      <c r="D33" s="10"/>
      <c r="E33" s="10"/>
      <c r="F33" s="10"/>
      <c r="M33" s="296"/>
    </row>
    <row r="34" spans="2:16">
      <c r="B34" s="297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8" spans="2:16" hidden="1">
      <c r="C38" s="298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98"/>
    </row>
    <row r="40" spans="2:16">
      <c r="C40" s="298"/>
    </row>
    <row r="41" spans="2:16">
      <c r="C41" s="298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Resource-2030 - 29%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>
        <f>$C$55</f>
        <v>1215.4108609806308</v>
      </c>
      <c r="D24" s="132">
        <f>C24*$C$62</f>
        <v>93.825588996381754</v>
      </c>
      <c r="E24" s="132">
        <f t="shared" si="4"/>
        <v>26.54</v>
      </c>
      <c r="F24" s="134">
        <f t="shared" si="1"/>
        <v>47.709597363482111</v>
      </c>
      <c r="G24" s="132">
        <f t="shared" si="4"/>
        <v>0</v>
      </c>
      <c r="H24" s="132">
        <f t="shared" si="4"/>
        <v>0</v>
      </c>
      <c r="I24" s="134">
        <f t="shared" si="2"/>
        <v>47.709597363482111</v>
      </c>
      <c r="J24" s="134">
        <f t="shared" si="3"/>
        <v>120.37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95.98</v>
      </c>
      <c r="E25" s="132">
        <f t="shared" si="4"/>
        <v>27.15</v>
      </c>
      <c r="F25" s="134">
        <f t="shared" si="1"/>
        <v>48.805333587011674</v>
      </c>
      <c r="G25" s="132">
        <f t="shared" si="4"/>
        <v>0</v>
      </c>
      <c r="H25" s="132">
        <f t="shared" si="4"/>
        <v>0</v>
      </c>
      <c r="I25" s="134">
        <f t="shared" si="2"/>
        <v>48.805333587011674</v>
      </c>
      <c r="J25" s="134">
        <f t="shared" si="3"/>
        <v>123.13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98.19</v>
      </c>
      <c r="E26" s="132">
        <f t="shared" si="4"/>
        <v>27.77</v>
      </c>
      <c r="F26" s="134">
        <f t="shared" si="1"/>
        <v>49.927067478437344</v>
      </c>
      <c r="G26" s="132">
        <f t="shared" si="4"/>
        <v>0</v>
      </c>
      <c r="H26" s="132">
        <f t="shared" si="4"/>
        <v>0</v>
      </c>
      <c r="I26" s="134">
        <f t="shared" si="2"/>
        <v>49.927067478437344</v>
      </c>
      <c r="J26" s="134">
        <f t="shared" si="3"/>
        <v>125.96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100.45</v>
      </c>
      <c r="E27" s="132">
        <f t="shared" si="4"/>
        <v>28.41</v>
      </c>
      <c r="F27" s="134">
        <f t="shared" si="1"/>
        <v>51.076547437848816</v>
      </c>
      <c r="G27" s="132">
        <f t="shared" si="4"/>
        <v>0</v>
      </c>
      <c r="H27" s="132">
        <f t="shared" si="4"/>
        <v>0</v>
      </c>
      <c r="I27" s="134">
        <f t="shared" si="2"/>
        <v>51.076547437848816</v>
      </c>
      <c r="J27" s="134">
        <f t="shared" si="3"/>
        <v>128.86000000000001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102.76</v>
      </c>
      <c r="E28" s="132">
        <f t="shared" si="4"/>
        <v>29.06</v>
      </c>
      <c r="F28" s="134">
        <f t="shared" si="1"/>
        <v>52.2498097412481</v>
      </c>
      <c r="G28" s="132">
        <f t="shared" si="4"/>
        <v>0</v>
      </c>
      <c r="H28" s="132">
        <f t="shared" si="4"/>
        <v>0</v>
      </c>
      <c r="I28" s="134">
        <f t="shared" si="2"/>
        <v>52.2498097412481</v>
      </c>
      <c r="J28" s="134">
        <f t="shared" si="3"/>
        <v>131.82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105.02</v>
      </c>
      <c r="E29" s="132">
        <f t="shared" si="4"/>
        <v>29.7</v>
      </c>
      <c r="F29" s="134">
        <f t="shared" si="1"/>
        <v>53.399289700659565</v>
      </c>
      <c r="G29" s="132">
        <f t="shared" si="4"/>
        <v>0</v>
      </c>
      <c r="H29" s="132">
        <f t="shared" si="4"/>
        <v>0</v>
      </c>
      <c r="I29" s="134">
        <f t="shared" si="2"/>
        <v>53.399289700659565</v>
      </c>
      <c r="J29" s="134">
        <f t="shared" si="3"/>
        <v>134.72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107.33</v>
      </c>
      <c r="E30" s="132">
        <f t="shared" si="4"/>
        <v>30.35</v>
      </c>
      <c r="F30" s="134">
        <f t="shared" si="1"/>
        <v>54.572552004058863</v>
      </c>
      <c r="G30" s="132">
        <f t="shared" si="4"/>
        <v>0</v>
      </c>
      <c r="H30" s="132">
        <f t="shared" si="4"/>
        <v>0</v>
      </c>
      <c r="I30" s="134">
        <f t="shared" si="2"/>
        <v>54.572552004058863</v>
      </c>
      <c r="J30" s="134">
        <f t="shared" si="3"/>
        <v>137.68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109.69</v>
      </c>
      <c r="E31" s="132">
        <f t="shared" si="4"/>
        <v>31.02</v>
      </c>
      <c r="F31" s="134">
        <f t="shared" si="1"/>
        <v>55.773560375443942</v>
      </c>
      <c r="G31" s="132">
        <f t="shared" si="4"/>
        <v>0</v>
      </c>
      <c r="H31" s="132">
        <f t="shared" si="4"/>
        <v>0</v>
      </c>
      <c r="I31" s="134">
        <f t="shared" si="2"/>
        <v>55.773560375443942</v>
      </c>
      <c r="J31" s="134">
        <f t="shared" si="3"/>
        <v>140.71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112.21</v>
      </c>
      <c r="E32" s="132">
        <f t="shared" si="4"/>
        <v>31.73</v>
      </c>
      <c r="F32" s="134">
        <f t="shared" si="1"/>
        <v>57.053843226788437</v>
      </c>
      <c r="G32" s="132">
        <f t="shared" si="4"/>
        <v>0</v>
      </c>
      <c r="H32" s="132">
        <f t="shared" si="4"/>
        <v>0</v>
      </c>
      <c r="I32" s="134">
        <f t="shared" si="2"/>
        <v>57.053843226788437</v>
      </c>
      <c r="J32" s="134">
        <f t="shared" si="3"/>
        <v>143.94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114.79</v>
      </c>
      <c r="E33" s="132">
        <f t="shared" si="4"/>
        <v>32.46</v>
      </c>
      <c r="F33" s="134">
        <f t="shared" si="1"/>
        <v>58.365835870116697</v>
      </c>
      <c r="G33" s="132">
        <f t="shared" si="4"/>
        <v>0</v>
      </c>
      <c r="H33" s="132">
        <f t="shared" si="4"/>
        <v>0</v>
      </c>
      <c r="I33" s="134">
        <f t="shared" si="2"/>
        <v>58.365835870116697</v>
      </c>
      <c r="J33" s="134">
        <f t="shared" si="3"/>
        <v>147.25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117.43</v>
      </c>
      <c r="E34" s="132">
        <f t="shared" si="4"/>
        <v>33.21</v>
      </c>
      <c r="F34" s="134">
        <f t="shared" si="1"/>
        <v>59.70953830542873</v>
      </c>
      <c r="G34" s="132">
        <f t="shared" si="4"/>
        <v>0</v>
      </c>
      <c r="H34" s="132">
        <f t="shared" si="4"/>
        <v>0</v>
      </c>
      <c r="I34" s="134">
        <f t="shared" si="2"/>
        <v>59.70953830542873</v>
      </c>
      <c r="J34" s="134">
        <f t="shared" si="3"/>
        <v>150.63999999999999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120.13</v>
      </c>
      <c r="E35" s="132">
        <f t="shared" si="4"/>
        <v>33.97</v>
      </c>
      <c r="F35" s="134">
        <f t="shared" si="1"/>
        <v>61.080986808726536</v>
      </c>
      <c r="G35" s="132">
        <f t="shared" si="4"/>
        <v>0</v>
      </c>
      <c r="H35" s="132">
        <f t="shared" si="4"/>
        <v>0</v>
      </c>
      <c r="I35" s="134">
        <f t="shared" si="2"/>
        <v>61.080986808726536</v>
      </c>
      <c r="J35" s="134">
        <f t="shared" si="3"/>
        <v>154.1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122.89</v>
      </c>
      <c r="E36" s="132">
        <f t="shared" si="4"/>
        <v>34.75</v>
      </c>
      <c r="F36" s="134">
        <f t="shared" si="1"/>
        <v>62.484145104008121</v>
      </c>
      <c r="G36" s="132">
        <f t="shared" si="4"/>
        <v>0</v>
      </c>
      <c r="H36" s="132">
        <f t="shared" si="4"/>
        <v>0</v>
      </c>
      <c r="I36" s="134">
        <f t="shared" si="2"/>
        <v>62.484145104008121</v>
      </c>
      <c r="J36" s="134">
        <f t="shared" si="3"/>
        <v>157.63999999999999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YK Solar 2033'!D44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Resource-2030 - 29%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1215.4108609806308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26.54</v>
      </c>
      <c r="F24" s="134">
        <f t="shared" si="1"/>
        <v>10.519723490613902</v>
      </c>
      <c r="G24" s="132">
        <f t="shared" si="4"/>
        <v>0</v>
      </c>
      <c r="H24" s="132">
        <f t="shared" si="4"/>
        <v>0</v>
      </c>
      <c r="I24" s="134">
        <f t="shared" si="2"/>
        <v>10.519723490613902</v>
      </c>
      <c r="J24" s="134">
        <f t="shared" si="3"/>
        <v>26.54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31">
        <f>$C$55</f>
        <v>1208.4830190730411</v>
      </c>
      <c r="D25" s="132">
        <f>C25*$C$62</f>
        <v>93.290783139102373</v>
      </c>
      <c r="E25" s="132">
        <f t="shared" si="4"/>
        <v>27.15</v>
      </c>
      <c r="F25" s="134">
        <f t="shared" si="1"/>
        <v>47.739402246282971</v>
      </c>
      <c r="G25" s="132">
        <f t="shared" si="4"/>
        <v>0</v>
      </c>
      <c r="H25" s="132">
        <f t="shared" si="4"/>
        <v>0</v>
      </c>
      <c r="I25" s="134">
        <f t="shared" si="2"/>
        <v>47.739402246282971</v>
      </c>
      <c r="J25" s="134">
        <f t="shared" si="3"/>
        <v>120.44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95.44</v>
      </c>
      <c r="E26" s="132">
        <f t="shared" si="4"/>
        <v>27.77</v>
      </c>
      <c r="F26" s="134">
        <f t="shared" si="1"/>
        <v>48.837043378995432</v>
      </c>
      <c r="G26" s="132">
        <f t="shared" si="4"/>
        <v>0</v>
      </c>
      <c r="H26" s="132">
        <f t="shared" si="4"/>
        <v>0</v>
      </c>
      <c r="I26" s="134">
        <f t="shared" si="2"/>
        <v>48.837043378995432</v>
      </c>
      <c r="J26" s="134">
        <f t="shared" si="3"/>
        <v>123.21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97.64</v>
      </c>
      <c r="E27" s="132">
        <f t="shared" si="4"/>
        <v>28.41</v>
      </c>
      <c r="F27" s="134">
        <f t="shared" si="1"/>
        <v>49.962740994419079</v>
      </c>
      <c r="G27" s="132">
        <f t="shared" si="4"/>
        <v>0</v>
      </c>
      <c r="H27" s="132">
        <f t="shared" si="4"/>
        <v>0</v>
      </c>
      <c r="I27" s="134">
        <f t="shared" si="2"/>
        <v>49.962740994419079</v>
      </c>
      <c r="J27" s="134">
        <f t="shared" si="3"/>
        <v>126.05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99.89</v>
      </c>
      <c r="E28" s="132">
        <f t="shared" si="4"/>
        <v>29.06</v>
      </c>
      <c r="F28" s="134">
        <f t="shared" si="1"/>
        <v>51.112220953830544</v>
      </c>
      <c r="G28" s="132">
        <f t="shared" si="4"/>
        <v>0</v>
      </c>
      <c r="H28" s="132">
        <f t="shared" si="4"/>
        <v>0</v>
      </c>
      <c r="I28" s="134">
        <f t="shared" si="2"/>
        <v>51.112220953830544</v>
      </c>
      <c r="J28" s="134">
        <f t="shared" si="3"/>
        <v>128.94999999999999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102.09</v>
      </c>
      <c r="E29" s="132">
        <f t="shared" si="4"/>
        <v>29.7</v>
      </c>
      <c r="F29" s="134">
        <f t="shared" si="1"/>
        <v>52.237918569254184</v>
      </c>
      <c r="G29" s="132">
        <f t="shared" si="4"/>
        <v>0</v>
      </c>
      <c r="H29" s="132">
        <f t="shared" si="4"/>
        <v>0</v>
      </c>
      <c r="I29" s="134">
        <f t="shared" si="2"/>
        <v>52.237918569254184</v>
      </c>
      <c r="J29" s="134">
        <f t="shared" si="3"/>
        <v>131.79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104.34</v>
      </c>
      <c r="E30" s="132">
        <f t="shared" si="4"/>
        <v>30.35</v>
      </c>
      <c r="F30" s="134">
        <f t="shared" si="1"/>
        <v>53.387398528665656</v>
      </c>
      <c r="G30" s="132">
        <f t="shared" si="4"/>
        <v>0</v>
      </c>
      <c r="H30" s="132">
        <f t="shared" si="4"/>
        <v>0</v>
      </c>
      <c r="I30" s="134">
        <f t="shared" si="2"/>
        <v>53.387398528665656</v>
      </c>
      <c r="J30" s="134">
        <f t="shared" si="3"/>
        <v>134.69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106.64</v>
      </c>
      <c r="E31" s="132">
        <f t="shared" si="4"/>
        <v>31.02</v>
      </c>
      <c r="F31" s="134">
        <f t="shared" si="1"/>
        <v>54.564624556062917</v>
      </c>
      <c r="G31" s="132">
        <f t="shared" si="4"/>
        <v>0</v>
      </c>
      <c r="H31" s="132">
        <f t="shared" si="4"/>
        <v>0</v>
      </c>
      <c r="I31" s="134">
        <f t="shared" si="2"/>
        <v>54.564624556062917</v>
      </c>
      <c r="J31" s="134">
        <f t="shared" si="3"/>
        <v>137.66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109.09</v>
      </c>
      <c r="E32" s="132">
        <f t="shared" si="4"/>
        <v>31.73</v>
      </c>
      <c r="F32" s="134">
        <f t="shared" si="1"/>
        <v>55.817161339421617</v>
      </c>
      <c r="G32" s="132">
        <f t="shared" si="4"/>
        <v>0</v>
      </c>
      <c r="H32" s="132">
        <f t="shared" si="4"/>
        <v>0</v>
      </c>
      <c r="I32" s="134">
        <f t="shared" si="2"/>
        <v>55.817161339421617</v>
      </c>
      <c r="J32" s="134">
        <f t="shared" si="3"/>
        <v>140.82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111.6</v>
      </c>
      <c r="E33" s="132">
        <f t="shared" si="4"/>
        <v>32.46</v>
      </c>
      <c r="F33" s="134">
        <f t="shared" si="1"/>
        <v>57.101407914764081</v>
      </c>
      <c r="G33" s="132">
        <f t="shared" si="4"/>
        <v>0</v>
      </c>
      <c r="H33" s="132">
        <f t="shared" si="4"/>
        <v>0</v>
      </c>
      <c r="I33" s="134">
        <f t="shared" si="2"/>
        <v>57.101407914764081</v>
      </c>
      <c r="J33" s="134">
        <f t="shared" si="3"/>
        <v>144.06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114.17</v>
      </c>
      <c r="E34" s="132">
        <f t="shared" si="4"/>
        <v>33.21</v>
      </c>
      <c r="F34" s="134">
        <f t="shared" si="1"/>
        <v>58.417364282090311</v>
      </c>
      <c r="G34" s="132">
        <f t="shared" si="4"/>
        <v>0</v>
      </c>
      <c r="H34" s="132">
        <f t="shared" si="4"/>
        <v>0</v>
      </c>
      <c r="I34" s="134">
        <f t="shared" si="2"/>
        <v>58.417364282090311</v>
      </c>
      <c r="J34" s="134">
        <f t="shared" si="3"/>
        <v>147.38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116.8</v>
      </c>
      <c r="E35" s="132">
        <f t="shared" si="4"/>
        <v>33.97</v>
      </c>
      <c r="F35" s="134">
        <f t="shared" si="1"/>
        <v>59.761066717402329</v>
      </c>
      <c r="G35" s="132">
        <f t="shared" si="4"/>
        <v>0</v>
      </c>
      <c r="H35" s="132">
        <f t="shared" si="4"/>
        <v>0</v>
      </c>
      <c r="I35" s="134">
        <f t="shared" si="2"/>
        <v>59.761066717402329</v>
      </c>
      <c r="J35" s="134">
        <f t="shared" si="3"/>
        <v>150.77000000000001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119.49</v>
      </c>
      <c r="E36" s="132">
        <f t="shared" si="4"/>
        <v>34.75</v>
      </c>
      <c r="F36" s="134">
        <f t="shared" si="1"/>
        <v>61.136478944698133</v>
      </c>
      <c r="G36" s="132">
        <f t="shared" si="4"/>
        <v>0</v>
      </c>
      <c r="H36" s="132">
        <f t="shared" si="4"/>
        <v>0</v>
      </c>
      <c r="I36" s="134">
        <f t="shared" si="2"/>
        <v>61.136478944698133</v>
      </c>
      <c r="J36" s="134">
        <f t="shared" si="3"/>
        <v>154.24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133</v>
      </c>
      <c r="C55" s="185">
        <v>1208.4830190730411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Oregon Update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26.54</v>
      </c>
      <c r="F24" s="134">
        <f t="shared" si="1"/>
        <v>10.519723490613902</v>
      </c>
      <c r="G24" s="132">
        <f t="shared" si="4"/>
        <v>0</v>
      </c>
      <c r="H24" s="132">
        <f t="shared" si="4"/>
        <v>0</v>
      </c>
      <c r="I24" s="134">
        <f t="shared" si="2"/>
        <v>10.519723490613902</v>
      </c>
      <c r="J24" s="134">
        <f t="shared" si="3"/>
        <v>26.54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27.15</v>
      </c>
      <c r="F25" s="134">
        <f t="shared" si="1"/>
        <v>10.761510654490106</v>
      </c>
      <c r="G25" s="132">
        <f t="shared" si="4"/>
        <v>0</v>
      </c>
      <c r="H25" s="132">
        <f t="shared" si="4"/>
        <v>0</v>
      </c>
      <c r="I25" s="134">
        <f t="shared" si="2"/>
        <v>10.761510654490106</v>
      </c>
      <c r="J25" s="134">
        <f t="shared" si="3"/>
        <v>27.15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>
        <f>$C$55</f>
        <v>1201.5946658643247</v>
      </c>
      <c r="D26" s="132">
        <f>C26*$C$62</f>
        <v>92.759025675209486</v>
      </c>
      <c r="E26" s="132">
        <f t="shared" si="4"/>
        <v>27.77</v>
      </c>
      <c r="F26" s="134">
        <f t="shared" si="1"/>
        <v>47.774379152083924</v>
      </c>
      <c r="G26" s="132">
        <f t="shared" si="4"/>
        <v>0</v>
      </c>
      <c r="H26" s="132">
        <f t="shared" si="4"/>
        <v>0</v>
      </c>
      <c r="I26" s="134">
        <f t="shared" si="2"/>
        <v>47.774379152083924</v>
      </c>
      <c r="J26" s="134">
        <f t="shared" si="3"/>
        <v>120.53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94.89</v>
      </c>
      <c r="E27" s="132">
        <f t="shared" si="4"/>
        <v>28.41</v>
      </c>
      <c r="F27" s="134">
        <f t="shared" si="1"/>
        <v>48.872716894977174</v>
      </c>
      <c r="G27" s="132">
        <f t="shared" si="4"/>
        <v>0</v>
      </c>
      <c r="H27" s="132">
        <f t="shared" si="4"/>
        <v>0</v>
      </c>
      <c r="I27" s="134">
        <f t="shared" si="2"/>
        <v>48.872716894977174</v>
      </c>
      <c r="J27" s="134">
        <f t="shared" si="3"/>
        <v>123.3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97.07</v>
      </c>
      <c r="E28" s="132">
        <f t="shared" si="4"/>
        <v>29.06</v>
      </c>
      <c r="F28" s="134">
        <f t="shared" si="1"/>
        <v>49.994450786402844</v>
      </c>
      <c r="G28" s="132">
        <f t="shared" si="4"/>
        <v>0</v>
      </c>
      <c r="H28" s="132">
        <f t="shared" si="4"/>
        <v>0</v>
      </c>
      <c r="I28" s="134">
        <f t="shared" si="2"/>
        <v>49.994450786402844</v>
      </c>
      <c r="J28" s="134">
        <f t="shared" si="3"/>
        <v>126.13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99.21</v>
      </c>
      <c r="E29" s="132">
        <f t="shared" si="4"/>
        <v>29.7</v>
      </c>
      <c r="F29" s="134">
        <f t="shared" si="1"/>
        <v>51.096366057838665</v>
      </c>
      <c r="G29" s="132">
        <f t="shared" si="4"/>
        <v>0</v>
      </c>
      <c r="H29" s="132">
        <f t="shared" si="4"/>
        <v>0</v>
      </c>
      <c r="I29" s="134">
        <f t="shared" si="2"/>
        <v>51.096366057838665</v>
      </c>
      <c r="J29" s="134">
        <f t="shared" si="3"/>
        <v>128.91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101.39</v>
      </c>
      <c r="E30" s="132">
        <f t="shared" si="4"/>
        <v>30.35</v>
      </c>
      <c r="F30" s="134">
        <f t="shared" si="1"/>
        <v>52.218099949264342</v>
      </c>
      <c r="G30" s="132">
        <f t="shared" si="4"/>
        <v>0</v>
      </c>
      <c r="H30" s="132">
        <f t="shared" si="4"/>
        <v>0</v>
      </c>
      <c r="I30" s="134">
        <f t="shared" si="2"/>
        <v>52.218099949264342</v>
      </c>
      <c r="J30" s="134">
        <f t="shared" si="3"/>
        <v>131.74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103.62</v>
      </c>
      <c r="E31" s="132">
        <f t="shared" si="4"/>
        <v>31.02</v>
      </c>
      <c r="F31" s="134">
        <f t="shared" si="1"/>
        <v>53.367579908675808</v>
      </c>
      <c r="G31" s="132">
        <f t="shared" si="4"/>
        <v>0</v>
      </c>
      <c r="H31" s="132">
        <f t="shared" si="4"/>
        <v>0</v>
      </c>
      <c r="I31" s="134">
        <f t="shared" si="2"/>
        <v>53.367579908675808</v>
      </c>
      <c r="J31" s="134">
        <f t="shared" si="3"/>
        <v>134.63999999999999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106</v>
      </c>
      <c r="E32" s="132">
        <f t="shared" si="4"/>
        <v>31.73</v>
      </c>
      <c r="F32" s="134">
        <f t="shared" si="1"/>
        <v>54.592370624048705</v>
      </c>
      <c r="G32" s="132">
        <f t="shared" si="4"/>
        <v>0</v>
      </c>
      <c r="H32" s="132">
        <f t="shared" si="4"/>
        <v>0</v>
      </c>
      <c r="I32" s="134">
        <f t="shared" si="2"/>
        <v>54.592370624048705</v>
      </c>
      <c r="J32" s="134">
        <f t="shared" si="3"/>
        <v>137.72999999999999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108.44</v>
      </c>
      <c r="E33" s="132">
        <f t="shared" si="4"/>
        <v>32.46</v>
      </c>
      <c r="F33" s="134">
        <f t="shared" si="1"/>
        <v>55.848871131405382</v>
      </c>
      <c r="G33" s="132">
        <f t="shared" si="4"/>
        <v>0</v>
      </c>
      <c r="H33" s="132">
        <f t="shared" si="4"/>
        <v>0</v>
      </c>
      <c r="I33" s="134">
        <f t="shared" si="2"/>
        <v>55.848871131405382</v>
      </c>
      <c r="J33" s="134">
        <f t="shared" si="3"/>
        <v>140.9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110.93</v>
      </c>
      <c r="E34" s="132">
        <f t="shared" si="4"/>
        <v>33.21</v>
      </c>
      <c r="F34" s="134">
        <f t="shared" si="1"/>
        <v>57.133117706747854</v>
      </c>
      <c r="G34" s="132">
        <f t="shared" si="4"/>
        <v>0</v>
      </c>
      <c r="H34" s="132">
        <f t="shared" si="4"/>
        <v>0</v>
      </c>
      <c r="I34" s="134">
        <f t="shared" si="2"/>
        <v>57.133117706747854</v>
      </c>
      <c r="J34" s="134">
        <f t="shared" si="3"/>
        <v>144.13999999999999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113.48</v>
      </c>
      <c r="E35" s="132">
        <f t="shared" si="4"/>
        <v>33.97</v>
      </c>
      <c r="F35" s="134">
        <f t="shared" si="1"/>
        <v>58.445110350076106</v>
      </c>
      <c r="G35" s="132">
        <f t="shared" si="4"/>
        <v>0</v>
      </c>
      <c r="H35" s="132">
        <f t="shared" si="4"/>
        <v>0</v>
      </c>
      <c r="I35" s="134">
        <f t="shared" si="2"/>
        <v>58.445110350076106</v>
      </c>
      <c r="J35" s="134">
        <f t="shared" si="3"/>
        <v>147.44999999999999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116.09</v>
      </c>
      <c r="E36" s="132">
        <f t="shared" si="4"/>
        <v>34.75</v>
      </c>
      <c r="F36" s="134">
        <f t="shared" si="1"/>
        <v>59.788812785388131</v>
      </c>
      <c r="G36" s="132">
        <f t="shared" si="4"/>
        <v>0</v>
      </c>
      <c r="H36" s="132">
        <f t="shared" si="4"/>
        <v>0</v>
      </c>
      <c r="I36" s="134">
        <f t="shared" si="2"/>
        <v>59.788812785388131</v>
      </c>
      <c r="J36" s="134">
        <f t="shared" si="3"/>
        <v>150.84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2031'!D44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Oregon Update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130</v>
      </c>
      <c r="C55" s="185">
        <v>1201.5946658643247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26.54</v>
      </c>
      <c r="F24" s="134">
        <f t="shared" si="1"/>
        <v>10.519723490613902</v>
      </c>
      <c r="G24" s="132">
        <f t="shared" si="4"/>
        <v>0</v>
      </c>
      <c r="H24" s="132">
        <f t="shared" si="4"/>
        <v>0</v>
      </c>
      <c r="I24" s="134">
        <f t="shared" si="2"/>
        <v>10.519723490613902</v>
      </c>
      <c r="J24" s="134">
        <f t="shared" si="3"/>
        <v>26.54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27.15</v>
      </c>
      <c r="F25" s="134">
        <f t="shared" si="1"/>
        <v>10.761510654490106</v>
      </c>
      <c r="G25" s="132">
        <f t="shared" si="4"/>
        <v>0</v>
      </c>
      <c r="H25" s="132">
        <f t="shared" si="4"/>
        <v>0</v>
      </c>
      <c r="I25" s="134">
        <f t="shared" si="2"/>
        <v>10.761510654490106</v>
      </c>
      <c r="J25" s="134">
        <f t="shared" si="3"/>
        <v>27.15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27.77</v>
      </c>
      <c r="F26" s="134">
        <f t="shared" si="1"/>
        <v>11.007261542364283</v>
      </c>
      <c r="G26" s="132">
        <f t="shared" si="4"/>
        <v>0</v>
      </c>
      <c r="H26" s="132">
        <f t="shared" si="4"/>
        <v>0</v>
      </c>
      <c r="I26" s="134">
        <f t="shared" si="2"/>
        <v>11.007261542364283</v>
      </c>
      <c r="J26" s="134">
        <f t="shared" si="3"/>
        <v>27.77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31">
        <f>$C$55</f>
        <v>1194.745576268898</v>
      </c>
      <c r="D27" s="132">
        <f>C27*$C$62</f>
        <v>92.230299228860787</v>
      </c>
      <c r="E27" s="132">
        <f t="shared" si="4"/>
        <v>28.41</v>
      </c>
      <c r="F27" s="134">
        <f t="shared" si="1"/>
        <v>47.818484917578637</v>
      </c>
      <c r="G27" s="132">
        <f t="shared" si="4"/>
        <v>0</v>
      </c>
      <c r="H27" s="132">
        <f t="shared" si="4"/>
        <v>0</v>
      </c>
      <c r="I27" s="134">
        <f t="shared" si="2"/>
        <v>47.818484917578637</v>
      </c>
      <c r="J27" s="134">
        <f t="shared" si="3"/>
        <v>120.64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94.35</v>
      </c>
      <c r="E28" s="132">
        <f t="shared" si="4"/>
        <v>29.06</v>
      </c>
      <c r="F28" s="134">
        <f t="shared" si="1"/>
        <v>48.916317858954848</v>
      </c>
      <c r="G28" s="132">
        <f t="shared" si="4"/>
        <v>0</v>
      </c>
      <c r="H28" s="132">
        <f t="shared" si="4"/>
        <v>0</v>
      </c>
      <c r="I28" s="134">
        <f t="shared" si="2"/>
        <v>48.916317858954848</v>
      </c>
      <c r="J28" s="134">
        <f t="shared" si="3"/>
        <v>123.41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96.43</v>
      </c>
      <c r="E29" s="132">
        <f t="shared" si="4"/>
        <v>29.7</v>
      </c>
      <c r="F29" s="134">
        <f t="shared" si="1"/>
        <v>49.994450786402851</v>
      </c>
      <c r="G29" s="132">
        <f t="shared" si="4"/>
        <v>0</v>
      </c>
      <c r="H29" s="132">
        <f t="shared" si="4"/>
        <v>0</v>
      </c>
      <c r="I29" s="134">
        <f t="shared" si="2"/>
        <v>49.994450786402851</v>
      </c>
      <c r="J29" s="134">
        <f t="shared" si="3"/>
        <v>126.13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98.55</v>
      </c>
      <c r="E30" s="132">
        <f t="shared" si="4"/>
        <v>30.35</v>
      </c>
      <c r="F30" s="134">
        <f t="shared" si="1"/>
        <v>51.092402333840695</v>
      </c>
      <c r="G30" s="132">
        <f t="shared" si="4"/>
        <v>0</v>
      </c>
      <c r="H30" s="132">
        <f t="shared" si="4"/>
        <v>0</v>
      </c>
      <c r="I30" s="134">
        <f t="shared" si="2"/>
        <v>51.092402333840695</v>
      </c>
      <c r="J30" s="134">
        <f t="shared" si="3"/>
        <v>128.9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100.72</v>
      </c>
      <c r="E31" s="132">
        <f t="shared" si="4"/>
        <v>31.02</v>
      </c>
      <c r="F31" s="134">
        <f t="shared" si="1"/>
        <v>52.218099949264342</v>
      </c>
      <c r="G31" s="132">
        <f t="shared" si="4"/>
        <v>0</v>
      </c>
      <c r="H31" s="132">
        <f t="shared" si="4"/>
        <v>0</v>
      </c>
      <c r="I31" s="134">
        <f t="shared" si="2"/>
        <v>52.218099949264342</v>
      </c>
      <c r="J31" s="134">
        <f t="shared" si="3"/>
        <v>131.74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103.04</v>
      </c>
      <c r="E32" s="132">
        <f t="shared" si="4"/>
        <v>31.73</v>
      </c>
      <c r="F32" s="134">
        <f t="shared" si="1"/>
        <v>53.419108320649428</v>
      </c>
      <c r="G32" s="132">
        <f t="shared" si="4"/>
        <v>0</v>
      </c>
      <c r="H32" s="132">
        <f t="shared" si="4"/>
        <v>0</v>
      </c>
      <c r="I32" s="134">
        <f t="shared" si="2"/>
        <v>53.419108320649428</v>
      </c>
      <c r="J32" s="134">
        <f t="shared" si="3"/>
        <v>134.77000000000001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105.41</v>
      </c>
      <c r="E33" s="132">
        <f t="shared" si="4"/>
        <v>32.46</v>
      </c>
      <c r="F33" s="134">
        <f t="shared" si="1"/>
        <v>54.647862760020303</v>
      </c>
      <c r="G33" s="132">
        <f t="shared" si="4"/>
        <v>0</v>
      </c>
      <c r="H33" s="132">
        <f t="shared" si="4"/>
        <v>0</v>
      </c>
      <c r="I33" s="134">
        <f t="shared" si="2"/>
        <v>54.647862760020303</v>
      </c>
      <c r="J33" s="134">
        <f t="shared" si="3"/>
        <v>137.87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107.83</v>
      </c>
      <c r="E34" s="132">
        <f t="shared" si="4"/>
        <v>33.21</v>
      </c>
      <c r="F34" s="134">
        <f t="shared" si="1"/>
        <v>55.904363267376965</v>
      </c>
      <c r="G34" s="132">
        <f t="shared" si="4"/>
        <v>0</v>
      </c>
      <c r="H34" s="132">
        <f t="shared" si="4"/>
        <v>0</v>
      </c>
      <c r="I34" s="134">
        <f t="shared" si="2"/>
        <v>55.904363267376965</v>
      </c>
      <c r="J34" s="134">
        <f t="shared" si="3"/>
        <v>141.04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110.31</v>
      </c>
      <c r="E35" s="132">
        <f t="shared" si="4"/>
        <v>33.97</v>
      </c>
      <c r="F35" s="134">
        <f t="shared" si="1"/>
        <v>57.188609842719437</v>
      </c>
      <c r="G35" s="132">
        <f t="shared" si="4"/>
        <v>0</v>
      </c>
      <c r="H35" s="132">
        <f t="shared" si="4"/>
        <v>0</v>
      </c>
      <c r="I35" s="134">
        <f t="shared" si="2"/>
        <v>57.188609842719437</v>
      </c>
      <c r="J35" s="134">
        <f t="shared" si="3"/>
        <v>144.28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112.85</v>
      </c>
      <c r="E36" s="132">
        <f t="shared" si="4"/>
        <v>34.75</v>
      </c>
      <c r="F36" s="134">
        <f t="shared" si="1"/>
        <v>58.504566210045667</v>
      </c>
      <c r="G36" s="132">
        <f t="shared" si="4"/>
        <v>0</v>
      </c>
      <c r="H36" s="132">
        <f t="shared" si="4"/>
        <v>0</v>
      </c>
      <c r="I36" s="134">
        <f t="shared" si="2"/>
        <v>58.504566210045667</v>
      </c>
      <c r="J36" s="134">
        <f t="shared" si="3"/>
        <v>147.6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2032'!D44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1194.745576268898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3" width="9.33203125" style="121"/>
    <col min="14" max="14" width="15.83203125" style="121" customWidth="1"/>
    <col min="15" max="15" width="14.83203125" style="172" customWidth="1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7" t="s">
        <v>120</v>
      </c>
      <c r="I5" s="125" t="s">
        <v>70</v>
      </c>
      <c r="J5" s="125" t="s">
        <v>88</v>
      </c>
      <c r="K5" s="17" t="s">
        <v>55</v>
      </c>
      <c r="L5" s="125" t="s">
        <v>71</v>
      </c>
      <c r="N5" s="246" t="s">
        <v>157</v>
      </c>
      <c r="O5" s="246" t="s">
        <v>158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(F11+G11+H11)*N11/12+I11*O11/12</f>
        <v>10.713653357219195</v>
      </c>
      <c r="K11" s="134">
        <f t="shared" ref="K11:K36" si="2">ROUND(J11*$C$63*8.76,2)</f>
        <v>36.409999999999997</v>
      </c>
      <c r="L11" s="132">
        <f>$C$57</f>
        <v>0.58600709999999989</v>
      </c>
      <c r="N11" s="121">
        <v>12</v>
      </c>
      <c r="O11" s="121">
        <v>12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(F12+G12+H12)*N12/12+I12*O12/12</f>
        <v>10.965284562267735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N12" s="121">
        <v>12</v>
      </c>
      <c r="O12" s="121">
        <v>12</v>
      </c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27.44</v>
      </c>
      <c r="F13" s="134">
        <f t="shared" si="1"/>
        <v>8.0741787505065687</v>
      </c>
      <c r="G13" s="132">
        <f t="shared" si="4"/>
        <v>1.23</v>
      </c>
      <c r="H13" s="132">
        <f t="shared" si="4"/>
        <v>1.88</v>
      </c>
      <c r="I13" s="132"/>
      <c r="J13" s="134">
        <f t="shared" si="3"/>
        <v>11.184178750506568</v>
      </c>
      <c r="K13" s="134">
        <f t="shared" si="2"/>
        <v>38.01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N13" s="121">
        <v>12</v>
      </c>
      <c r="O13" s="121">
        <v>12</v>
      </c>
    </row>
    <row r="14" spans="2:18">
      <c r="B14" s="140">
        <f t="shared" si="0"/>
        <v>2020</v>
      </c>
      <c r="C14" s="141">
        <f>$C$55</f>
        <v>1293.6882754756971</v>
      </c>
      <c r="D14" s="132">
        <f>C14*$C$62</f>
        <v>68.357849825124617</v>
      </c>
      <c r="E14" s="132">
        <f t="shared" si="4"/>
        <v>28.04</v>
      </c>
      <c r="F14" s="134">
        <f t="shared" si="1"/>
        <v>28.364922399874068</v>
      </c>
      <c r="G14" s="132">
        <f t="shared" si="4"/>
        <v>1.26</v>
      </c>
      <c r="H14" s="132">
        <f t="shared" si="4"/>
        <v>1.92</v>
      </c>
      <c r="I14" s="132">
        <v>-33.15</v>
      </c>
      <c r="J14" s="134">
        <f t="shared" si="3"/>
        <v>-0.2675129333543218</v>
      </c>
      <c r="K14" s="134">
        <f t="shared" si="2"/>
        <v>-0.91</v>
      </c>
      <c r="L14" s="132">
        <f t="shared" si="5"/>
        <v>0.62</v>
      </c>
      <c r="M14" s="123"/>
      <c r="N14" s="121">
        <v>2</v>
      </c>
      <c r="O14" s="121">
        <v>2</v>
      </c>
      <c r="P14" s="137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70</v>
      </c>
      <c r="E15" s="132">
        <f t="shared" si="4"/>
        <v>28.71</v>
      </c>
      <c r="F15" s="134">
        <f t="shared" si="1"/>
        <v>29.045269113064993</v>
      </c>
      <c r="G15" s="132">
        <f t="shared" si="4"/>
        <v>1.29</v>
      </c>
      <c r="H15" s="132">
        <f t="shared" si="4"/>
        <v>1.97</v>
      </c>
      <c r="I15" s="132">
        <v>-34.479999999999997</v>
      </c>
      <c r="J15" s="134">
        <f t="shared" si="3"/>
        <v>-2.1747308869350022</v>
      </c>
      <c r="K15" s="134">
        <f t="shared" si="2"/>
        <v>-7.39</v>
      </c>
      <c r="L15" s="132">
        <f t="shared" si="5"/>
        <v>0.63</v>
      </c>
      <c r="M15" s="123"/>
      <c r="N15" s="121">
        <v>12</v>
      </c>
      <c r="O15" s="121">
        <v>12</v>
      </c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71.680000000000007</v>
      </c>
      <c r="E16" s="132">
        <f t="shared" si="4"/>
        <v>29.4</v>
      </c>
      <c r="F16" s="134">
        <f t="shared" si="1"/>
        <v>29.742638050335422</v>
      </c>
      <c r="G16" s="132">
        <f t="shared" si="4"/>
        <v>1.32</v>
      </c>
      <c r="H16" s="132">
        <f t="shared" si="4"/>
        <v>2.02</v>
      </c>
      <c r="I16" s="132">
        <v>-34.479999999999997</v>
      </c>
      <c r="J16" s="134">
        <f t="shared" si="3"/>
        <v>-1.3973619496645711</v>
      </c>
      <c r="K16" s="134">
        <f t="shared" si="2"/>
        <v>-4.75</v>
      </c>
      <c r="L16" s="132">
        <f t="shared" si="5"/>
        <v>0.65</v>
      </c>
      <c r="M16" s="123"/>
      <c r="N16" s="121">
        <v>12</v>
      </c>
      <c r="O16" s="121">
        <v>12</v>
      </c>
    </row>
    <row r="17" spans="2:17">
      <c r="B17" s="140">
        <f t="shared" si="0"/>
        <v>2023</v>
      </c>
      <c r="C17" s="141"/>
      <c r="D17" s="132">
        <f t="shared" si="4"/>
        <v>73.400000000000006</v>
      </c>
      <c r="E17" s="132">
        <f t="shared" si="4"/>
        <v>30.11</v>
      </c>
      <c r="F17" s="134">
        <f t="shared" si="1"/>
        <v>30.457661897410166</v>
      </c>
      <c r="G17" s="132">
        <f t="shared" si="4"/>
        <v>1.35</v>
      </c>
      <c r="H17" s="132">
        <f t="shared" si="4"/>
        <v>2.0699999999999998</v>
      </c>
      <c r="I17" s="132">
        <v>-35.799999999999997</v>
      </c>
      <c r="J17" s="134">
        <f t="shared" si="3"/>
        <v>-1.9223381025898334</v>
      </c>
      <c r="K17" s="134">
        <f t="shared" si="2"/>
        <v>-6.53</v>
      </c>
      <c r="L17" s="132">
        <f t="shared" si="5"/>
        <v>0.67</v>
      </c>
      <c r="M17" s="123"/>
      <c r="N17" s="121">
        <v>12</v>
      </c>
      <c r="O17" s="121">
        <v>12</v>
      </c>
      <c r="P17" s="137"/>
    </row>
    <row r="18" spans="2:17">
      <c r="B18" s="140">
        <f t="shared" si="0"/>
        <v>2024</v>
      </c>
      <c r="C18" s="141"/>
      <c r="D18" s="132">
        <f t="shared" si="4"/>
        <v>75.16</v>
      </c>
      <c r="E18" s="132">
        <f t="shared" si="4"/>
        <v>30.83</v>
      </c>
      <c r="F18" s="134">
        <f t="shared" si="1"/>
        <v>31.187398169321835</v>
      </c>
      <c r="G18" s="132">
        <f t="shared" si="4"/>
        <v>1.38</v>
      </c>
      <c r="H18" s="132">
        <f t="shared" si="4"/>
        <v>2.12</v>
      </c>
      <c r="I18" s="132">
        <v>-35.799999999999997</v>
      </c>
      <c r="J18" s="134">
        <f t="shared" si="3"/>
        <v>-1.112601830678166</v>
      </c>
      <c r="K18" s="134">
        <f t="shared" si="2"/>
        <v>-3.78</v>
      </c>
      <c r="L18" s="132">
        <f t="shared" si="5"/>
        <v>0.69</v>
      </c>
      <c r="M18" s="123"/>
      <c r="N18" s="121">
        <v>12</v>
      </c>
      <c r="O18" s="121">
        <v>12</v>
      </c>
    </row>
    <row r="19" spans="2:17">
      <c r="B19" s="140">
        <f t="shared" si="0"/>
        <v>2025</v>
      </c>
      <c r="C19" s="141"/>
      <c r="D19" s="132">
        <f t="shared" si="4"/>
        <v>76.89</v>
      </c>
      <c r="E19" s="132">
        <f t="shared" si="4"/>
        <v>31.54</v>
      </c>
      <c r="F19" s="134">
        <f t="shared" si="1"/>
        <v>31.905364501363966</v>
      </c>
      <c r="G19" s="132">
        <f t="shared" si="4"/>
        <v>1.41</v>
      </c>
      <c r="H19" s="132">
        <f t="shared" si="4"/>
        <v>2.17</v>
      </c>
      <c r="I19" s="132">
        <v>-37.130000000000003</v>
      </c>
      <c r="J19" s="134">
        <f t="shared" si="3"/>
        <v>-1.6446354986360348</v>
      </c>
      <c r="K19" s="134">
        <f t="shared" si="2"/>
        <v>-5.59</v>
      </c>
      <c r="L19" s="132">
        <f t="shared" si="5"/>
        <v>0.71</v>
      </c>
      <c r="M19" s="123"/>
      <c r="N19" s="121">
        <v>12</v>
      </c>
      <c r="O19" s="121">
        <v>12</v>
      </c>
    </row>
    <row r="20" spans="2:17">
      <c r="B20" s="140">
        <f t="shared" si="0"/>
        <v>2026</v>
      </c>
      <c r="C20" s="141"/>
      <c r="D20" s="132">
        <f t="shared" si="4"/>
        <v>78.66</v>
      </c>
      <c r="E20" s="132">
        <f t="shared" si="4"/>
        <v>32.270000000000003</v>
      </c>
      <c r="F20" s="134">
        <f t="shared" si="1"/>
        <v>32.640985743210415</v>
      </c>
      <c r="G20" s="132">
        <f t="shared" si="4"/>
        <v>1.44</v>
      </c>
      <c r="H20" s="132">
        <f t="shared" si="4"/>
        <v>2.2200000000000002</v>
      </c>
      <c r="I20" s="132">
        <v>-37.130000000000003</v>
      </c>
      <c r="J20" s="134">
        <f t="shared" si="3"/>
        <v>-0.82901425678959129</v>
      </c>
      <c r="K20" s="134">
        <f t="shared" si="2"/>
        <v>-2.82</v>
      </c>
      <c r="L20" s="132">
        <f t="shared" si="5"/>
        <v>0.73</v>
      </c>
      <c r="M20" s="123"/>
      <c r="N20" s="121">
        <v>12</v>
      </c>
      <c r="O20" s="121">
        <v>12</v>
      </c>
      <c r="Q20" s="170"/>
    </row>
    <row r="21" spans="2:17">
      <c r="B21" s="140">
        <f t="shared" si="0"/>
        <v>2027</v>
      </c>
      <c r="C21" s="141"/>
      <c r="D21" s="132">
        <f t="shared" si="4"/>
        <v>80.47</v>
      </c>
      <c r="E21" s="132">
        <f t="shared" si="4"/>
        <v>33.01</v>
      </c>
      <c r="F21" s="134">
        <f t="shared" si="1"/>
        <v>33.391319409893782</v>
      </c>
      <c r="G21" s="132">
        <f t="shared" si="4"/>
        <v>1.47</v>
      </c>
      <c r="H21" s="132">
        <f t="shared" si="4"/>
        <v>2.27</v>
      </c>
      <c r="I21" s="132">
        <v>-38.450000000000003</v>
      </c>
      <c r="J21" s="134">
        <f t="shared" si="3"/>
        <v>-1.3186805901062186</v>
      </c>
      <c r="K21" s="134">
        <f t="shared" si="2"/>
        <v>-4.4800000000000004</v>
      </c>
      <c r="L21" s="132">
        <f t="shared" si="5"/>
        <v>0.75</v>
      </c>
      <c r="M21" s="123"/>
      <c r="N21" s="121">
        <v>12</v>
      </c>
      <c r="O21" s="121">
        <v>12</v>
      </c>
    </row>
    <row r="22" spans="2:17">
      <c r="B22" s="140">
        <f t="shared" si="0"/>
        <v>2028</v>
      </c>
      <c r="C22" s="141"/>
      <c r="D22" s="132">
        <f t="shared" si="4"/>
        <v>82.4</v>
      </c>
      <c r="E22" s="132">
        <f t="shared" si="4"/>
        <v>33.799999999999997</v>
      </c>
      <c r="F22" s="134">
        <f t="shared" si="1"/>
        <v>34.191675321022714</v>
      </c>
      <c r="G22" s="132">
        <f t="shared" si="4"/>
        <v>1.51</v>
      </c>
      <c r="H22" s="132">
        <f t="shared" si="4"/>
        <v>2.3199999999999998</v>
      </c>
      <c r="I22" s="132">
        <v>-38.450000000000003</v>
      </c>
      <c r="J22" s="134">
        <f t="shared" si="3"/>
        <v>-0.42832467897729032</v>
      </c>
      <c r="K22" s="134">
        <f t="shared" si="2"/>
        <v>-1.46</v>
      </c>
      <c r="L22" s="132">
        <f t="shared" si="5"/>
        <v>0.77</v>
      </c>
      <c r="M22" s="123"/>
      <c r="N22" s="121">
        <v>12</v>
      </c>
      <c r="O22" s="121">
        <v>12</v>
      </c>
    </row>
    <row r="23" spans="2:17">
      <c r="B23" s="140">
        <f t="shared" si="0"/>
        <v>2029</v>
      </c>
      <c r="C23" s="141"/>
      <c r="D23" s="132">
        <f t="shared" si="4"/>
        <v>84.38</v>
      </c>
      <c r="E23" s="132">
        <f t="shared" si="4"/>
        <v>34.61</v>
      </c>
      <c r="F23" s="134">
        <f t="shared" si="1"/>
        <v>35.012628626923345</v>
      </c>
      <c r="G23" s="132">
        <f t="shared" si="4"/>
        <v>1.55</v>
      </c>
      <c r="H23" s="132">
        <f t="shared" si="4"/>
        <v>2.38</v>
      </c>
      <c r="I23" s="132">
        <v>-39.78</v>
      </c>
      <c r="J23" s="134">
        <f t="shared" si="3"/>
        <v>-0.83737137307665677</v>
      </c>
      <c r="K23" s="134">
        <f t="shared" si="2"/>
        <v>-2.85</v>
      </c>
      <c r="L23" s="132">
        <f t="shared" si="5"/>
        <v>0.79</v>
      </c>
      <c r="M23" s="123"/>
      <c r="N23" s="121">
        <v>12</v>
      </c>
      <c r="O23" s="121">
        <v>12</v>
      </c>
    </row>
    <row r="24" spans="2:17">
      <c r="B24" s="140">
        <f t="shared" si="0"/>
        <v>2030</v>
      </c>
      <c r="C24" s="141"/>
      <c r="D24" s="132">
        <f t="shared" si="4"/>
        <v>86.32</v>
      </c>
      <c r="E24" s="132">
        <f t="shared" si="4"/>
        <v>35.409999999999997</v>
      </c>
      <c r="F24" s="134">
        <f t="shared" si="1"/>
        <v>35.818869507987046</v>
      </c>
      <c r="G24" s="132">
        <f t="shared" si="4"/>
        <v>1.59</v>
      </c>
      <c r="H24" s="132">
        <f t="shared" si="4"/>
        <v>2.4300000000000002</v>
      </c>
      <c r="I24" s="132">
        <v>-41.11</v>
      </c>
      <c r="J24" s="134">
        <f t="shared" si="3"/>
        <v>5.5805361746537159</v>
      </c>
      <c r="K24" s="134">
        <f t="shared" si="2"/>
        <v>18.97</v>
      </c>
      <c r="L24" s="132">
        <f t="shared" si="5"/>
        <v>0.81</v>
      </c>
      <c r="M24" s="123"/>
      <c r="N24" s="121">
        <v>12</v>
      </c>
      <c r="O24" s="121">
        <v>10</v>
      </c>
    </row>
    <row r="25" spans="2:17">
      <c r="B25" s="140">
        <f t="shared" si="0"/>
        <v>2031</v>
      </c>
      <c r="C25" s="141"/>
      <c r="D25" s="132">
        <f t="shared" si="4"/>
        <v>88.31</v>
      </c>
      <c r="E25" s="132">
        <f t="shared" si="4"/>
        <v>36.22</v>
      </c>
      <c r="F25" s="134">
        <f t="shared" si="1"/>
        <v>36.642765298855068</v>
      </c>
      <c r="G25" s="132">
        <f t="shared" si="4"/>
        <v>1.63</v>
      </c>
      <c r="H25" s="132">
        <f t="shared" si="4"/>
        <v>2.4900000000000002</v>
      </c>
      <c r="I25" s="132"/>
      <c r="J25" s="134">
        <f t="shared" si="3"/>
        <v>40.762765298855072</v>
      </c>
      <c r="K25" s="134">
        <f t="shared" si="2"/>
        <v>138.53</v>
      </c>
      <c r="L25" s="132">
        <f t="shared" si="5"/>
        <v>0.83</v>
      </c>
      <c r="M25" s="123"/>
      <c r="N25" s="121">
        <v>12</v>
      </c>
      <c r="O25" s="121"/>
    </row>
    <row r="26" spans="2:17">
      <c r="B26" s="140">
        <f t="shared" si="0"/>
        <v>2032</v>
      </c>
      <c r="C26" s="141"/>
      <c r="D26" s="132">
        <f t="shared" si="4"/>
        <v>90.34</v>
      </c>
      <c r="E26" s="132">
        <f t="shared" si="4"/>
        <v>37.049999999999997</v>
      </c>
      <c r="F26" s="134">
        <f t="shared" si="1"/>
        <v>37.484315999527396</v>
      </c>
      <c r="G26" s="132">
        <f t="shared" si="4"/>
        <v>1.67</v>
      </c>
      <c r="H26" s="132">
        <f t="shared" si="4"/>
        <v>2.5499999999999998</v>
      </c>
      <c r="I26" s="132"/>
      <c r="J26" s="134">
        <f t="shared" si="3"/>
        <v>41.704315999527395</v>
      </c>
      <c r="K26" s="134">
        <f t="shared" si="2"/>
        <v>141.72999999999999</v>
      </c>
      <c r="L26" s="132">
        <f t="shared" si="5"/>
        <v>0.85</v>
      </c>
      <c r="M26" s="123"/>
      <c r="N26" s="121">
        <v>12</v>
      </c>
      <c r="O26" s="121"/>
    </row>
    <row r="27" spans="2:17">
      <c r="B27" s="140">
        <f t="shared" si="0"/>
        <v>2033</v>
      </c>
      <c r="C27" s="141"/>
      <c r="D27" s="132">
        <f t="shared" si="4"/>
        <v>92.42</v>
      </c>
      <c r="E27" s="132">
        <f t="shared" si="4"/>
        <v>37.9</v>
      </c>
      <c r="F27" s="134">
        <f t="shared" si="1"/>
        <v>38.346464094971424</v>
      </c>
      <c r="G27" s="132">
        <f t="shared" si="4"/>
        <v>1.71</v>
      </c>
      <c r="H27" s="132">
        <f t="shared" si="4"/>
        <v>2.61</v>
      </c>
      <c r="I27" s="132"/>
      <c r="J27" s="134">
        <f t="shared" si="3"/>
        <v>42.666464094971424</v>
      </c>
      <c r="K27" s="134">
        <f t="shared" si="2"/>
        <v>145</v>
      </c>
      <c r="L27" s="132">
        <f t="shared" si="5"/>
        <v>0.87</v>
      </c>
      <c r="M27" s="123"/>
      <c r="N27" s="121">
        <v>12</v>
      </c>
      <c r="O27" s="121"/>
    </row>
    <row r="28" spans="2:17">
      <c r="B28" s="140">
        <f t="shared" si="0"/>
        <v>2034</v>
      </c>
      <c r="C28" s="141"/>
      <c r="D28" s="132">
        <f t="shared" si="4"/>
        <v>94.55</v>
      </c>
      <c r="E28" s="132">
        <f t="shared" si="4"/>
        <v>38.770000000000003</v>
      </c>
      <c r="F28" s="134">
        <f t="shared" si="1"/>
        <v>39.229209585187157</v>
      </c>
      <c r="G28" s="132">
        <f t="shared" si="4"/>
        <v>1.75</v>
      </c>
      <c r="H28" s="132">
        <f t="shared" si="4"/>
        <v>2.67</v>
      </c>
      <c r="I28" s="132"/>
      <c r="J28" s="134">
        <f t="shared" si="3"/>
        <v>43.649209585187158</v>
      </c>
      <c r="K28" s="134">
        <f t="shared" si="2"/>
        <v>148.34</v>
      </c>
      <c r="L28" s="132">
        <f t="shared" si="5"/>
        <v>0.89</v>
      </c>
      <c r="M28" s="123"/>
      <c r="N28" s="121">
        <v>12</v>
      </c>
      <c r="O28" s="121"/>
    </row>
    <row r="29" spans="2:17">
      <c r="B29" s="140">
        <f t="shared" si="0"/>
        <v>2035</v>
      </c>
      <c r="C29" s="141"/>
      <c r="D29" s="132">
        <f t="shared" si="4"/>
        <v>96.63</v>
      </c>
      <c r="E29" s="132">
        <f t="shared" si="4"/>
        <v>39.619999999999997</v>
      </c>
      <c r="F29" s="134">
        <f t="shared" si="1"/>
        <v>40.091357680631191</v>
      </c>
      <c r="G29" s="132">
        <f t="shared" si="4"/>
        <v>1.79</v>
      </c>
      <c r="H29" s="132">
        <f t="shared" si="4"/>
        <v>2.73</v>
      </c>
      <c r="I29" s="132"/>
      <c r="J29" s="134">
        <f t="shared" si="3"/>
        <v>44.611357680631187</v>
      </c>
      <c r="K29" s="134">
        <f t="shared" si="2"/>
        <v>151.61000000000001</v>
      </c>
      <c r="L29" s="132">
        <f t="shared" si="5"/>
        <v>0.91</v>
      </c>
      <c r="M29" s="123"/>
      <c r="N29" s="121">
        <v>12</v>
      </c>
      <c r="O29" s="121"/>
    </row>
    <row r="30" spans="2:17">
      <c r="B30" s="140">
        <f t="shared" si="0"/>
        <v>2036</v>
      </c>
      <c r="C30" s="141"/>
      <c r="D30" s="132">
        <f t="shared" si="4"/>
        <v>98.76</v>
      </c>
      <c r="E30" s="132">
        <f t="shared" si="4"/>
        <v>40.49</v>
      </c>
      <c r="F30" s="134">
        <f t="shared" si="1"/>
        <v>40.974103170846924</v>
      </c>
      <c r="G30" s="132">
        <f t="shared" si="4"/>
        <v>1.83</v>
      </c>
      <c r="H30" s="132">
        <f t="shared" si="4"/>
        <v>2.79</v>
      </c>
      <c r="I30" s="132"/>
      <c r="J30" s="134">
        <f t="shared" si="3"/>
        <v>45.594103170846921</v>
      </c>
      <c r="K30" s="134">
        <f t="shared" si="2"/>
        <v>154.94999999999999</v>
      </c>
      <c r="L30" s="132">
        <f t="shared" si="5"/>
        <v>0.93</v>
      </c>
      <c r="M30" s="123"/>
      <c r="N30" s="121">
        <v>12</v>
      </c>
      <c r="O30" s="121"/>
    </row>
    <row r="31" spans="2:17">
      <c r="B31" s="140">
        <f t="shared" si="0"/>
        <v>2037</v>
      </c>
      <c r="C31" s="141"/>
      <c r="D31" s="132">
        <f t="shared" si="4"/>
        <v>100.93</v>
      </c>
      <c r="E31" s="132">
        <f t="shared" si="4"/>
        <v>41.38</v>
      </c>
      <c r="F31" s="134">
        <f t="shared" si="1"/>
        <v>41.874503570866977</v>
      </c>
      <c r="G31" s="132">
        <f t="shared" si="4"/>
        <v>1.87</v>
      </c>
      <c r="H31" s="132">
        <f t="shared" si="4"/>
        <v>2.85</v>
      </c>
      <c r="I31" s="132"/>
      <c r="J31" s="134">
        <f t="shared" si="3"/>
        <v>46.594503570866976</v>
      </c>
      <c r="K31" s="134">
        <f t="shared" si="2"/>
        <v>158.35</v>
      </c>
      <c r="L31" s="132">
        <f t="shared" si="5"/>
        <v>0.95</v>
      </c>
      <c r="M31" s="123"/>
      <c r="N31" s="121">
        <v>12</v>
      </c>
      <c r="O31" s="121"/>
    </row>
    <row r="32" spans="2:17">
      <c r="B32" s="140">
        <f t="shared" si="0"/>
        <v>2038</v>
      </c>
      <c r="C32" s="141"/>
      <c r="D32" s="132">
        <f t="shared" si="4"/>
        <v>103.25</v>
      </c>
      <c r="E32" s="132">
        <f t="shared" si="4"/>
        <v>42.33</v>
      </c>
      <c r="F32" s="134">
        <f t="shared" si="1"/>
        <v>42.836696155202119</v>
      </c>
      <c r="G32" s="132">
        <f t="shared" si="4"/>
        <v>1.91</v>
      </c>
      <c r="H32" s="132">
        <f t="shared" si="4"/>
        <v>2.92</v>
      </c>
      <c r="I32" s="132"/>
      <c r="J32" s="134">
        <f t="shared" si="3"/>
        <v>47.666696155202118</v>
      </c>
      <c r="K32" s="134">
        <f t="shared" si="2"/>
        <v>161.99</v>
      </c>
      <c r="L32" s="132">
        <f t="shared" si="5"/>
        <v>0.97</v>
      </c>
      <c r="M32" s="123"/>
      <c r="N32" s="121">
        <v>12</v>
      </c>
      <c r="O32" s="121"/>
    </row>
    <row r="33" spans="2:15">
      <c r="B33" s="140">
        <f t="shared" si="0"/>
        <v>2039</v>
      </c>
      <c r="C33" s="141"/>
      <c r="D33" s="132">
        <f t="shared" si="4"/>
        <v>105.62</v>
      </c>
      <c r="E33" s="132">
        <f t="shared" si="4"/>
        <v>43.3</v>
      </c>
      <c r="F33" s="134">
        <f t="shared" si="1"/>
        <v>43.819486134308974</v>
      </c>
      <c r="G33" s="132">
        <f t="shared" si="4"/>
        <v>1.95</v>
      </c>
      <c r="H33" s="132">
        <f t="shared" si="4"/>
        <v>2.99</v>
      </c>
      <c r="I33" s="132"/>
      <c r="J33" s="134">
        <f t="shared" si="3"/>
        <v>48.759486134308979</v>
      </c>
      <c r="K33" s="134">
        <f t="shared" si="2"/>
        <v>165.71</v>
      </c>
      <c r="L33" s="132">
        <f t="shared" si="5"/>
        <v>0.99</v>
      </c>
      <c r="M33" s="123"/>
      <c r="N33" s="121">
        <v>12</v>
      </c>
      <c r="O33" s="121"/>
    </row>
    <row r="34" spans="2:15">
      <c r="B34" s="140">
        <f t="shared" si="0"/>
        <v>2040</v>
      </c>
      <c r="C34" s="141"/>
      <c r="D34" s="132">
        <f t="shared" si="4"/>
        <v>108.05</v>
      </c>
      <c r="E34" s="132">
        <f t="shared" si="4"/>
        <v>44.3</v>
      </c>
      <c r="F34" s="134">
        <f t="shared" si="1"/>
        <v>44.828758478122289</v>
      </c>
      <c r="G34" s="132">
        <f t="shared" si="4"/>
        <v>1.99</v>
      </c>
      <c r="H34" s="132">
        <f t="shared" si="4"/>
        <v>3.06</v>
      </c>
      <c r="I34" s="132"/>
      <c r="J34" s="134">
        <f t="shared" si="3"/>
        <v>49.8787584781223</v>
      </c>
      <c r="K34" s="134">
        <f t="shared" si="2"/>
        <v>169.51</v>
      </c>
      <c r="L34" s="132">
        <f t="shared" si="5"/>
        <v>1.01</v>
      </c>
      <c r="M34" s="123"/>
      <c r="N34" s="121">
        <v>12</v>
      </c>
      <c r="O34" s="121"/>
    </row>
    <row r="35" spans="2:15">
      <c r="B35" s="140">
        <f t="shared" si="0"/>
        <v>2041</v>
      </c>
      <c r="C35" s="141"/>
      <c r="D35" s="132">
        <f t="shared" si="4"/>
        <v>110.54</v>
      </c>
      <c r="E35" s="132">
        <f t="shared" si="4"/>
        <v>45.32</v>
      </c>
      <c r="F35" s="134">
        <f t="shared" si="1"/>
        <v>45.861570701674701</v>
      </c>
      <c r="G35" s="132">
        <f t="shared" si="4"/>
        <v>2.04</v>
      </c>
      <c r="H35" s="132">
        <f t="shared" si="4"/>
        <v>3.13</v>
      </c>
      <c r="I35" s="132"/>
      <c r="J35" s="134">
        <f t="shared" si="3"/>
        <v>51.031570701674703</v>
      </c>
      <c r="K35" s="134">
        <f t="shared" si="2"/>
        <v>173.43</v>
      </c>
      <c r="L35" s="132">
        <f t="shared" si="5"/>
        <v>1.03</v>
      </c>
      <c r="M35" s="123"/>
      <c r="N35" s="121">
        <v>12</v>
      </c>
      <c r="O35" s="121"/>
    </row>
    <row r="36" spans="2:15">
      <c r="B36" s="140">
        <f t="shared" si="0"/>
        <v>2042</v>
      </c>
      <c r="C36" s="141"/>
      <c r="D36" s="132">
        <f t="shared" si="4"/>
        <v>113.08</v>
      </c>
      <c r="E36" s="132">
        <f t="shared" si="4"/>
        <v>46.36</v>
      </c>
      <c r="F36" s="134">
        <f t="shared" si="1"/>
        <v>46.914980319998804</v>
      </c>
      <c r="G36" s="132">
        <f t="shared" si="4"/>
        <v>2.09</v>
      </c>
      <c r="H36" s="132">
        <f t="shared" si="4"/>
        <v>3.2</v>
      </c>
      <c r="I36" s="132"/>
      <c r="J36" s="134">
        <f t="shared" si="3"/>
        <v>52.204980319998811</v>
      </c>
      <c r="K36" s="134">
        <f t="shared" si="2"/>
        <v>177.42</v>
      </c>
      <c r="L36" s="132">
        <f t="shared" si="5"/>
        <v>1.05</v>
      </c>
      <c r="M36" s="123"/>
      <c r="N36" s="121">
        <v>12</v>
      </c>
      <c r="O36" s="121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72</v>
      </c>
      <c r="C44" s="146" t="s">
        <v>73</v>
      </c>
      <c r="D44" s="147" t="s">
        <v>117</v>
      </c>
    </row>
    <row r="45" spans="2:15">
      <c r="C45" s="146" t="str">
        <f>C7</f>
        <v>(a)</v>
      </c>
      <c r="D45" s="121" t="s">
        <v>74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112</v>
      </c>
      <c r="C55" s="185">
        <v>1293.6882754756971</v>
      </c>
      <c r="D55" s="121" t="s">
        <v>74</v>
      </c>
      <c r="I55" s="121" t="s">
        <v>9</v>
      </c>
    </row>
    <row r="56" spans="2:24">
      <c r="B56" s="85" t="s">
        <v>111</v>
      </c>
      <c r="C56" s="154">
        <v>26.293898611068769</v>
      </c>
      <c r="D56" s="121" t="s">
        <v>77</v>
      </c>
      <c r="I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I57" s="121" t="s">
        <v>79</v>
      </c>
    </row>
    <row r="58" spans="2:24">
      <c r="B58" s="85" t="s">
        <v>111</v>
      </c>
      <c r="C58" s="154">
        <v>1.1816399331260157</v>
      </c>
      <c r="D58" s="121" t="s">
        <v>78</v>
      </c>
      <c r="I58" s="121" t="s">
        <v>79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>
        <v>-12.501261943267853</v>
      </c>
      <c r="D59" s="121" t="s">
        <v>80</v>
      </c>
      <c r="I59" s="121" t="s">
        <v>79</v>
      </c>
      <c r="J59" s="220" t="s">
        <v>115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111</v>
      </c>
      <c r="C60" s="159">
        <v>1.7950732843896238</v>
      </c>
      <c r="D60" s="121" t="s">
        <v>114</v>
      </c>
      <c r="I60" s="121" t="s">
        <v>79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237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2.3E-2</v>
      </c>
      <c r="O72" s="175"/>
    </row>
    <row r="73" spans="3:15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4" width="9.33203125" style="121"/>
    <col min="15" max="15" width="9.33203125" style="172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7" t="s">
        <v>120</v>
      </c>
      <c r="I5" s="125" t="s">
        <v>70</v>
      </c>
      <c r="J5" s="125" t="s">
        <v>88</v>
      </c>
      <c r="K5" s="17" t="s">
        <v>55</v>
      </c>
      <c r="L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F11+I11+G11+H11</f>
        <v>10.713653357219197</v>
      </c>
      <c r="K11" s="134">
        <f t="shared" ref="K11:K36" si="2">ROUND(J11*$C$63*8.76,2)</f>
        <v>36.409999999999997</v>
      </c>
      <c r="L11" s="132">
        <f>$C$57</f>
        <v>0.58600709999999989</v>
      </c>
      <c r="O11" s="173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F12+I12+G12+H12</f>
        <v>10.965284562267737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O12" s="173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27.44</v>
      </c>
      <c r="F13" s="134">
        <f t="shared" si="1"/>
        <v>8.0741787505065687</v>
      </c>
      <c r="G13" s="132">
        <f t="shared" si="4"/>
        <v>1.23</v>
      </c>
      <c r="H13" s="132">
        <f t="shared" si="4"/>
        <v>1.88</v>
      </c>
      <c r="I13" s="132"/>
      <c r="J13" s="134">
        <f t="shared" si="3"/>
        <v>11.184178750506568</v>
      </c>
      <c r="K13" s="134">
        <f t="shared" si="2"/>
        <v>38.01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O13" s="173"/>
    </row>
    <row r="14" spans="2:18">
      <c r="B14" s="140">
        <f t="shared" si="0"/>
        <v>2020</v>
      </c>
      <c r="C14" s="141"/>
      <c r="D14" s="132"/>
      <c r="E14" s="132">
        <f t="shared" si="4"/>
        <v>28.04</v>
      </c>
      <c r="F14" s="134">
        <f t="shared" si="1"/>
        <v>8.2507278485497153</v>
      </c>
      <c r="G14" s="132">
        <f t="shared" si="4"/>
        <v>1.26</v>
      </c>
      <c r="H14" s="132">
        <f t="shared" si="4"/>
        <v>1.92</v>
      </c>
      <c r="I14" s="132"/>
      <c r="J14" s="134">
        <f t="shared" si="3"/>
        <v>11.430727848549715</v>
      </c>
      <c r="K14" s="134">
        <f t="shared" si="2"/>
        <v>38.85</v>
      </c>
      <c r="L14" s="132">
        <f t="shared" si="5"/>
        <v>0.62</v>
      </c>
      <c r="M14" s="123"/>
      <c r="O14" s="173"/>
      <c r="P14" s="137"/>
      <c r="Q14" s="138"/>
      <c r="R14" s="139"/>
    </row>
    <row r="15" spans="2:18">
      <c r="B15" s="140">
        <f t="shared" si="0"/>
        <v>2021</v>
      </c>
      <c r="C15" s="141">
        <f>$C$55</f>
        <v>1288.7722600288894</v>
      </c>
      <c r="D15" s="132">
        <f>C15*$C$62</f>
        <v>68.098089995789152</v>
      </c>
      <c r="E15" s="132">
        <f t="shared" si="4"/>
        <v>28.71</v>
      </c>
      <c r="F15" s="134">
        <f t="shared" si="1"/>
        <v>28.485634953393888</v>
      </c>
      <c r="G15" s="132">
        <f t="shared" si="4"/>
        <v>1.29</v>
      </c>
      <c r="H15" s="132">
        <f t="shared" si="4"/>
        <v>1.97</v>
      </c>
      <c r="I15" s="132">
        <v>-34.479999999999997</v>
      </c>
      <c r="J15" s="134">
        <f t="shared" si="3"/>
        <v>-2.7343650466061096</v>
      </c>
      <c r="K15" s="134">
        <f t="shared" si="2"/>
        <v>-9.2899999999999991</v>
      </c>
      <c r="L15" s="132">
        <f t="shared" si="5"/>
        <v>0.63</v>
      </c>
      <c r="M15" s="123"/>
      <c r="O15" s="173"/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69.73</v>
      </c>
      <c r="E16" s="132">
        <f t="shared" si="4"/>
        <v>29.4</v>
      </c>
      <c r="F16" s="134">
        <f t="shared" si="1"/>
        <v>29.168853481695194</v>
      </c>
      <c r="G16" s="132">
        <f t="shared" si="4"/>
        <v>1.32</v>
      </c>
      <c r="H16" s="132">
        <f t="shared" si="4"/>
        <v>2.02</v>
      </c>
      <c r="I16" s="132">
        <v>-34.479999999999997</v>
      </c>
      <c r="J16" s="134">
        <f t="shared" si="3"/>
        <v>-1.9711465183048023</v>
      </c>
      <c r="K16" s="134">
        <f t="shared" si="2"/>
        <v>-6.7</v>
      </c>
      <c r="L16" s="132">
        <f t="shared" si="5"/>
        <v>0.65</v>
      </c>
      <c r="M16" s="123"/>
      <c r="O16" s="173"/>
    </row>
    <row r="17" spans="2:17">
      <c r="B17" s="140">
        <f t="shared" si="0"/>
        <v>2023</v>
      </c>
      <c r="C17" s="141"/>
      <c r="D17" s="132">
        <f t="shared" si="4"/>
        <v>71.400000000000006</v>
      </c>
      <c r="E17" s="132">
        <f t="shared" si="4"/>
        <v>30.11</v>
      </c>
      <c r="F17" s="134">
        <f t="shared" si="1"/>
        <v>29.869164903933012</v>
      </c>
      <c r="G17" s="132">
        <f t="shared" si="4"/>
        <v>1.35</v>
      </c>
      <c r="H17" s="132">
        <f t="shared" si="4"/>
        <v>2.0699999999999998</v>
      </c>
      <c r="I17" s="132">
        <v>-35.799999999999997</v>
      </c>
      <c r="J17" s="134">
        <f t="shared" si="3"/>
        <v>-2.5108350960669861</v>
      </c>
      <c r="K17" s="134">
        <f t="shared" si="2"/>
        <v>-8.5299999999999994</v>
      </c>
      <c r="L17" s="132">
        <f t="shared" si="5"/>
        <v>0.67</v>
      </c>
      <c r="M17" s="123"/>
      <c r="O17" s="173"/>
      <c r="P17" s="137"/>
    </row>
    <row r="18" spans="2:17">
      <c r="B18" s="140">
        <f t="shared" si="0"/>
        <v>2024</v>
      </c>
      <c r="C18" s="141"/>
      <c r="D18" s="132">
        <f t="shared" si="4"/>
        <v>73.11</v>
      </c>
      <c r="E18" s="132">
        <f t="shared" si="4"/>
        <v>30.83</v>
      </c>
      <c r="F18" s="134">
        <f t="shared" si="1"/>
        <v>30.584188751007751</v>
      </c>
      <c r="G18" s="132">
        <f t="shared" si="4"/>
        <v>1.38</v>
      </c>
      <c r="H18" s="132">
        <f t="shared" si="4"/>
        <v>2.12</v>
      </c>
      <c r="I18" s="132">
        <v>-35.799999999999997</v>
      </c>
      <c r="J18" s="134">
        <f t="shared" si="3"/>
        <v>-1.7158112489922459</v>
      </c>
      <c r="K18" s="134">
        <f t="shared" si="2"/>
        <v>-5.83</v>
      </c>
      <c r="L18" s="132">
        <f t="shared" si="5"/>
        <v>0.69</v>
      </c>
      <c r="M18" s="123"/>
      <c r="O18" s="173"/>
    </row>
    <row r="19" spans="2:17">
      <c r="B19" s="140">
        <f t="shared" si="0"/>
        <v>2025</v>
      </c>
      <c r="C19" s="141"/>
      <c r="D19" s="132">
        <f t="shared" si="4"/>
        <v>74.790000000000006</v>
      </c>
      <c r="E19" s="132">
        <f t="shared" si="4"/>
        <v>31.54</v>
      </c>
      <c r="F19" s="134">
        <f t="shared" si="1"/>
        <v>31.287442658212957</v>
      </c>
      <c r="G19" s="132">
        <f t="shared" si="4"/>
        <v>1.41</v>
      </c>
      <c r="H19" s="132">
        <f t="shared" si="4"/>
        <v>2.17</v>
      </c>
      <c r="I19" s="132">
        <v>-37.130000000000003</v>
      </c>
      <c r="J19" s="134">
        <f t="shared" si="3"/>
        <v>-2.2625573417870459</v>
      </c>
      <c r="K19" s="134">
        <f t="shared" si="2"/>
        <v>-7.69</v>
      </c>
      <c r="L19" s="132">
        <f t="shared" si="5"/>
        <v>0.71</v>
      </c>
      <c r="M19" s="123"/>
      <c r="O19" s="173"/>
    </row>
    <row r="20" spans="2:17">
      <c r="B20" s="140">
        <f t="shared" si="0"/>
        <v>2026</v>
      </c>
      <c r="C20" s="141"/>
      <c r="D20" s="132">
        <f t="shared" si="4"/>
        <v>76.510000000000005</v>
      </c>
      <c r="E20" s="132">
        <f t="shared" si="4"/>
        <v>32.270000000000003</v>
      </c>
      <c r="F20" s="134">
        <f t="shared" si="1"/>
        <v>32.008351475222469</v>
      </c>
      <c r="G20" s="132">
        <f t="shared" si="4"/>
        <v>1.44</v>
      </c>
      <c r="H20" s="132">
        <f t="shared" si="4"/>
        <v>2.2200000000000002</v>
      </c>
      <c r="I20" s="132">
        <v>-37.130000000000003</v>
      </c>
      <c r="J20" s="134">
        <f t="shared" si="3"/>
        <v>-1.4616485247775337</v>
      </c>
      <c r="K20" s="134">
        <f t="shared" si="2"/>
        <v>-4.97</v>
      </c>
      <c r="L20" s="132">
        <f t="shared" si="5"/>
        <v>0.73</v>
      </c>
      <c r="M20" s="123"/>
      <c r="O20" s="173"/>
      <c r="Q20" s="170"/>
    </row>
    <row r="21" spans="2:17">
      <c r="B21" s="140">
        <f t="shared" si="0"/>
        <v>2027</v>
      </c>
      <c r="C21" s="141"/>
      <c r="D21" s="132">
        <f t="shared" si="4"/>
        <v>78.27</v>
      </c>
      <c r="E21" s="132">
        <f t="shared" si="4"/>
        <v>33.01</v>
      </c>
      <c r="F21" s="134">
        <f t="shared" si="1"/>
        <v>32.743972717068914</v>
      </c>
      <c r="G21" s="132">
        <f t="shared" si="4"/>
        <v>1.47</v>
      </c>
      <c r="H21" s="132">
        <f t="shared" si="4"/>
        <v>2.27</v>
      </c>
      <c r="I21" s="132">
        <v>-38.450000000000003</v>
      </c>
      <c r="J21" s="134">
        <f t="shared" si="3"/>
        <v>-1.9660272829310892</v>
      </c>
      <c r="K21" s="134">
        <f t="shared" si="2"/>
        <v>-6.68</v>
      </c>
      <c r="L21" s="132">
        <f t="shared" si="5"/>
        <v>0.75</v>
      </c>
      <c r="M21" s="123"/>
      <c r="O21" s="173"/>
    </row>
    <row r="22" spans="2:17">
      <c r="B22" s="140">
        <f t="shared" si="0"/>
        <v>2028</v>
      </c>
      <c r="C22" s="141"/>
      <c r="D22" s="132">
        <f t="shared" si="4"/>
        <v>80.150000000000006</v>
      </c>
      <c r="E22" s="132">
        <f t="shared" si="4"/>
        <v>33.799999999999997</v>
      </c>
      <c r="F22" s="134">
        <f t="shared" si="1"/>
        <v>33.529616203360916</v>
      </c>
      <c r="G22" s="132">
        <f t="shared" si="4"/>
        <v>1.51</v>
      </c>
      <c r="H22" s="132">
        <f t="shared" si="4"/>
        <v>2.3199999999999998</v>
      </c>
      <c r="I22" s="132">
        <v>-38.450000000000003</v>
      </c>
      <c r="J22" s="134">
        <f t="shared" si="3"/>
        <v>-1.0903837966390868</v>
      </c>
      <c r="K22" s="134">
        <f t="shared" si="2"/>
        <v>-3.71</v>
      </c>
      <c r="L22" s="132">
        <f t="shared" si="5"/>
        <v>0.77</v>
      </c>
      <c r="M22" s="123"/>
      <c r="O22" s="173"/>
    </row>
    <row r="23" spans="2:17">
      <c r="B23" s="140">
        <f t="shared" si="0"/>
        <v>2029</v>
      </c>
      <c r="C23" s="141"/>
      <c r="D23" s="132">
        <f t="shared" si="4"/>
        <v>82.07</v>
      </c>
      <c r="E23" s="132">
        <f t="shared" si="4"/>
        <v>34.61</v>
      </c>
      <c r="F23" s="134">
        <f t="shared" si="1"/>
        <v>34.332914599457226</v>
      </c>
      <c r="G23" s="132">
        <f t="shared" si="4"/>
        <v>1.55</v>
      </c>
      <c r="H23" s="132">
        <f t="shared" si="4"/>
        <v>2.38</v>
      </c>
      <c r="I23" s="132">
        <v>-39.78</v>
      </c>
      <c r="J23" s="134">
        <f t="shared" si="3"/>
        <v>-1.5170854005427756</v>
      </c>
      <c r="K23" s="134">
        <f t="shared" si="2"/>
        <v>-5.16</v>
      </c>
      <c r="L23" s="132">
        <f t="shared" si="5"/>
        <v>0.79</v>
      </c>
      <c r="M23" s="123"/>
      <c r="O23" s="173"/>
    </row>
    <row r="24" spans="2:17">
      <c r="B24" s="140">
        <f t="shared" si="0"/>
        <v>2030</v>
      </c>
      <c r="C24" s="141"/>
      <c r="D24" s="132">
        <f t="shared" si="4"/>
        <v>83.96</v>
      </c>
      <c r="E24" s="132">
        <f t="shared" si="4"/>
        <v>35.409999999999997</v>
      </c>
      <c r="F24" s="134">
        <f t="shared" si="1"/>
        <v>35.124443055684004</v>
      </c>
      <c r="G24" s="132">
        <f t="shared" si="4"/>
        <v>1.59</v>
      </c>
      <c r="H24" s="132">
        <f t="shared" si="4"/>
        <v>2.4300000000000002</v>
      </c>
      <c r="I24" s="132">
        <v>-41.11</v>
      </c>
      <c r="J24" s="134">
        <f t="shared" si="3"/>
        <v>-1.965556944315995</v>
      </c>
      <c r="K24" s="134">
        <f t="shared" si="2"/>
        <v>-6.68</v>
      </c>
      <c r="L24" s="132">
        <f t="shared" si="5"/>
        <v>0.81</v>
      </c>
      <c r="M24" s="123"/>
      <c r="O24" s="173"/>
    </row>
    <row r="25" spans="2:17">
      <c r="B25" s="140">
        <f t="shared" si="0"/>
        <v>2031</v>
      </c>
      <c r="C25" s="141"/>
      <c r="D25" s="132">
        <f t="shared" si="4"/>
        <v>85.89</v>
      </c>
      <c r="E25" s="132">
        <f t="shared" si="4"/>
        <v>36.22</v>
      </c>
      <c r="F25" s="134">
        <f t="shared" si="1"/>
        <v>35.930683936747705</v>
      </c>
      <c r="G25" s="132">
        <f t="shared" si="4"/>
        <v>1.63</v>
      </c>
      <c r="H25" s="132">
        <f t="shared" si="4"/>
        <v>2.4900000000000002</v>
      </c>
      <c r="I25" s="132"/>
      <c r="J25" s="134">
        <f t="shared" si="3"/>
        <v>40.05068393674771</v>
      </c>
      <c r="K25" s="134">
        <f t="shared" si="2"/>
        <v>136.11000000000001</v>
      </c>
      <c r="L25" s="132">
        <f t="shared" si="5"/>
        <v>0.83</v>
      </c>
      <c r="M25" s="123"/>
      <c r="O25" s="173"/>
    </row>
    <row r="26" spans="2:17">
      <c r="B26" s="140">
        <f t="shared" si="0"/>
        <v>2032</v>
      </c>
      <c r="C26" s="141"/>
      <c r="D26" s="132">
        <f t="shared" si="4"/>
        <v>87.87</v>
      </c>
      <c r="E26" s="132">
        <f t="shared" si="4"/>
        <v>37.049999999999997</v>
      </c>
      <c r="F26" s="134">
        <f t="shared" si="1"/>
        <v>36.757522212583112</v>
      </c>
      <c r="G26" s="132">
        <f t="shared" si="4"/>
        <v>1.67</v>
      </c>
      <c r="H26" s="132">
        <f t="shared" si="4"/>
        <v>2.5499999999999998</v>
      </c>
      <c r="I26" s="132"/>
      <c r="J26" s="134">
        <f t="shared" si="3"/>
        <v>40.977522212583111</v>
      </c>
      <c r="K26" s="134">
        <f t="shared" si="2"/>
        <v>139.26</v>
      </c>
      <c r="L26" s="132">
        <f t="shared" si="5"/>
        <v>0.85</v>
      </c>
      <c r="M26" s="123"/>
      <c r="O26" s="173"/>
    </row>
    <row r="27" spans="2:17">
      <c r="B27" s="140">
        <f t="shared" si="0"/>
        <v>2033</v>
      </c>
      <c r="C27" s="141"/>
      <c r="D27" s="132">
        <f t="shared" si="4"/>
        <v>89.89</v>
      </c>
      <c r="E27" s="132">
        <f t="shared" si="4"/>
        <v>37.9</v>
      </c>
      <c r="F27" s="134">
        <f t="shared" si="1"/>
        <v>37.602015398222825</v>
      </c>
      <c r="G27" s="132">
        <f t="shared" si="4"/>
        <v>1.71</v>
      </c>
      <c r="H27" s="132">
        <f t="shared" si="4"/>
        <v>2.61</v>
      </c>
      <c r="I27" s="132"/>
      <c r="J27" s="134">
        <f t="shared" si="3"/>
        <v>41.922015398222825</v>
      </c>
      <c r="K27" s="134">
        <f t="shared" si="2"/>
        <v>142.47</v>
      </c>
      <c r="L27" s="132">
        <f t="shared" si="5"/>
        <v>0.87</v>
      </c>
      <c r="M27" s="123"/>
      <c r="O27" s="173"/>
    </row>
    <row r="28" spans="2:17">
      <c r="B28" s="140">
        <f t="shared" si="0"/>
        <v>2034</v>
      </c>
      <c r="C28" s="141"/>
      <c r="D28" s="132">
        <f t="shared" si="4"/>
        <v>91.96</v>
      </c>
      <c r="E28" s="132">
        <f t="shared" si="4"/>
        <v>38.770000000000003</v>
      </c>
      <c r="F28" s="134">
        <f t="shared" si="1"/>
        <v>38.467105978634244</v>
      </c>
      <c r="G28" s="132">
        <f t="shared" si="4"/>
        <v>1.75</v>
      </c>
      <c r="H28" s="132">
        <f t="shared" si="4"/>
        <v>2.67</v>
      </c>
      <c r="I28" s="132"/>
      <c r="J28" s="134">
        <f t="shared" si="3"/>
        <v>42.887105978634246</v>
      </c>
      <c r="K28" s="134">
        <f t="shared" si="2"/>
        <v>145.75</v>
      </c>
      <c r="L28" s="132">
        <f t="shared" si="5"/>
        <v>0.89</v>
      </c>
      <c r="M28" s="123"/>
      <c r="O28" s="173"/>
    </row>
    <row r="29" spans="2:17">
      <c r="B29" s="140">
        <f t="shared" si="0"/>
        <v>2035</v>
      </c>
      <c r="C29" s="141"/>
      <c r="D29" s="132">
        <f t="shared" si="4"/>
        <v>93.98</v>
      </c>
      <c r="E29" s="132">
        <f t="shared" si="4"/>
        <v>39.619999999999997</v>
      </c>
      <c r="F29" s="134">
        <f t="shared" si="1"/>
        <v>39.311599164273964</v>
      </c>
      <c r="G29" s="132">
        <f t="shared" si="4"/>
        <v>1.79</v>
      </c>
      <c r="H29" s="132">
        <f t="shared" si="4"/>
        <v>2.73</v>
      </c>
      <c r="I29" s="132"/>
      <c r="J29" s="134">
        <f t="shared" si="3"/>
        <v>43.83159916427396</v>
      </c>
      <c r="K29" s="134">
        <f t="shared" si="2"/>
        <v>148.96</v>
      </c>
      <c r="L29" s="132">
        <f t="shared" si="5"/>
        <v>0.91</v>
      </c>
      <c r="M29" s="123"/>
      <c r="O29" s="173"/>
    </row>
    <row r="30" spans="2:17">
      <c r="B30" s="140">
        <f t="shared" si="0"/>
        <v>2036</v>
      </c>
      <c r="C30" s="141"/>
      <c r="D30" s="132">
        <f t="shared" si="4"/>
        <v>96.05</v>
      </c>
      <c r="E30" s="132">
        <f t="shared" si="4"/>
        <v>40.49</v>
      </c>
      <c r="F30" s="134">
        <f t="shared" si="1"/>
        <v>40.176689744685376</v>
      </c>
      <c r="G30" s="132">
        <f t="shared" si="4"/>
        <v>1.83</v>
      </c>
      <c r="H30" s="132">
        <f t="shared" si="4"/>
        <v>2.79</v>
      </c>
      <c r="I30" s="132"/>
      <c r="J30" s="134">
        <f t="shared" si="3"/>
        <v>44.796689744685374</v>
      </c>
      <c r="K30" s="134">
        <f t="shared" si="2"/>
        <v>152.24</v>
      </c>
      <c r="L30" s="132">
        <f t="shared" si="5"/>
        <v>0.93</v>
      </c>
      <c r="M30" s="123"/>
      <c r="O30" s="173"/>
    </row>
    <row r="31" spans="2:17">
      <c r="B31" s="140">
        <f t="shared" si="0"/>
        <v>2037</v>
      </c>
      <c r="C31" s="141"/>
      <c r="D31" s="132">
        <f t="shared" si="4"/>
        <v>98.16</v>
      </c>
      <c r="E31" s="132">
        <f t="shared" si="4"/>
        <v>41.38</v>
      </c>
      <c r="F31" s="134">
        <f t="shared" si="1"/>
        <v>41.059435234901109</v>
      </c>
      <c r="G31" s="132">
        <f t="shared" si="4"/>
        <v>1.87</v>
      </c>
      <c r="H31" s="132">
        <f t="shared" si="4"/>
        <v>2.85</v>
      </c>
      <c r="I31" s="132"/>
      <c r="J31" s="134">
        <f t="shared" si="3"/>
        <v>45.779435234901108</v>
      </c>
      <c r="K31" s="134">
        <f t="shared" si="2"/>
        <v>155.58000000000001</v>
      </c>
      <c r="L31" s="132">
        <f t="shared" si="5"/>
        <v>0.95</v>
      </c>
      <c r="M31" s="123"/>
      <c r="O31" s="173"/>
    </row>
    <row r="32" spans="2:17">
      <c r="B32" s="140">
        <f t="shared" si="0"/>
        <v>2038</v>
      </c>
      <c r="C32" s="141"/>
      <c r="D32" s="132">
        <f t="shared" si="4"/>
        <v>100.42</v>
      </c>
      <c r="E32" s="132">
        <f t="shared" si="4"/>
        <v>42.33</v>
      </c>
      <c r="F32" s="134">
        <f t="shared" si="1"/>
        <v>42.003972909431944</v>
      </c>
      <c r="G32" s="132">
        <f t="shared" si="4"/>
        <v>1.91</v>
      </c>
      <c r="H32" s="132">
        <f t="shared" si="4"/>
        <v>2.92</v>
      </c>
      <c r="I32" s="132"/>
      <c r="J32" s="134">
        <f t="shared" si="3"/>
        <v>46.833972909431942</v>
      </c>
      <c r="K32" s="134">
        <f t="shared" si="2"/>
        <v>159.16</v>
      </c>
      <c r="L32" s="132">
        <f t="shared" si="5"/>
        <v>0.97</v>
      </c>
      <c r="M32" s="123"/>
      <c r="O32" s="173"/>
    </row>
    <row r="33" spans="2:15">
      <c r="B33" s="140">
        <f t="shared" si="0"/>
        <v>2039</v>
      </c>
      <c r="C33" s="141"/>
      <c r="D33" s="132">
        <f t="shared" si="4"/>
        <v>102.73</v>
      </c>
      <c r="E33" s="132">
        <f t="shared" si="4"/>
        <v>43.3</v>
      </c>
      <c r="F33" s="134">
        <f t="shared" si="1"/>
        <v>42.969107978734485</v>
      </c>
      <c r="G33" s="132">
        <f t="shared" si="4"/>
        <v>1.95</v>
      </c>
      <c r="H33" s="132">
        <f t="shared" si="4"/>
        <v>2.99</v>
      </c>
      <c r="I33" s="132"/>
      <c r="J33" s="134">
        <f t="shared" si="3"/>
        <v>47.90910797873449</v>
      </c>
      <c r="K33" s="134">
        <f t="shared" si="2"/>
        <v>162.82</v>
      </c>
      <c r="L33" s="132">
        <f t="shared" si="5"/>
        <v>0.99</v>
      </c>
      <c r="M33" s="123"/>
      <c r="O33" s="173"/>
    </row>
    <row r="34" spans="2:15">
      <c r="B34" s="140">
        <f t="shared" si="0"/>
        <v>2040</v>
      </c>
      <c r="C34" s="141"/>
      <c r="D34" s="132">
        <f t="shared" si="4"/>
        <v>105.09</v>
      </c>
      <c r="E34" s="132">
        <f t="shared" si="4"/>
        <v>44.3</v>
      </c>
      <c r="F34" s="134">
        <f t="shared" si="1"/>
        <v>43.957782927776101</v>
      </c>
      <c r="G34" s="132">
        <f t="shared" si="4"/>
        <v>1.99</v>
      </c>
      <c r="H34" s="132">
        <f t="shared" si="4"/>
        <v>3.06</v>
      </c>
      <c r="I34" s="132"/>
      <c r="J34" s="134">
        <f t="shared" si="3"/>
        <v>49.007782927776105</v>
      </c>
      <c r="K34" s="134">
        <f t="shared" si="2"/>
        <v>166.55</v>
      </c>
      <c r="L34" s="132">
        <f t="shared" si="5"/>
        <v>1.01</v>
      </c>
      <c r="M34" s="123"/>
      <c r="O34" s="173"/>
    </row>
    <row r="35" spans="2:15">
      <c r="B35" s="140">
        <f t="shared" si="0"/>
        <v>2041</v>
      </c>
      <c r="C35" s="141"/>
      <c r="D35" s="132">
        <f t="shared" si="4"/>
        <v>107.51</v>
      </c>
      <c r="E35" s="132">
        <f t="shared" si="4"/>
        <v>45.32</v>
      </c>
      <c r="F35" s="134">
        <f t="shared" si="1"/>
        <v>44.969997756556815</v>
      </c>
      <c r="G35" s="132">
        <f t="shared" si="4"/>
        <v>2.04</v>
      </c>
      <c r="H35" s="132">
        <f t="shared" si="4"/>
        <v>3.13</v>
      </c>
      <c r="I35" s="132"/>
      <c r="J35" s="134">
        <f t="shared" si="3"/>
        <v>50.139997756556816</v>
      </c>
      <c r="K35" s="134">
        <f t="shared" si="2"/>
        <v>170.4</v>
      </c>
      <c r="L35" s="132">
        <f t="shared" si="5"/>
        <v>1.03</v>
      </c>
      <c r="M35" s="123"/>
      <c r="O35" s="173"/>
    </row>
    <row r="36" spans="2:15">
      <c r="B36" s="140">
        <f t="shared" si="0"/>
        <v>2042</v>
      </c>
      <c r="C36" s="141"/>
      <c r="D36" s="132">
        <f t="shared" si="4"/>
        <v>109.98</v>
      </c>
      <c r="E36" s="132">
        <f t="shared" si="4"/>
        <v>46.36</v>
      </c>
      <c r="F36" s="134">
        <f t="shared" si="1"/>
        <v>46.00280998010922</v>
      </c>
      <c r="G36" s="132">
        <f t="shared" si="4"/>
        <v>2.09</v>
      </c>
      <c r="H36" s="132">
        <f t="shared" si="4"/>
        <v>3.2</v>
      </c>
      <c r="I36" s="132"/>
      <c r="J36" s="134">
        <f t="shared" si="3"/>
        <v>51.292809980109226</v>
      </c>
      <c r="K36" s="134">
        <f t="shared" si="2"/>
        <v>174.32</v>
      </c>
      <c r="L36" s="132">
        <f t="shared" si="5"/>
        <v>1.05</v>
      </c>
      <c r="M36" s="123"/>
      <c r="O36" s="173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5">
      <c r="C45" s="146" t="str">
        <f>C7</f>
        <v>(a)</v>
      </c>
      <c r="D45" s="121" t="s">
        <v>74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118</v>
      </c>
      <c r="C55" s="185">
        <v>1288.7722600288894</v>
      </c>
      <c r="D55" s="121" t="s">
        <v>74</v>
      </c>
      <c r="I55" s="121" t="s">
        <v>9</v>
      </c>
    </row>
    <row r="56" spans="2:24">
      <c r="B56" s="85" t="s">
        <v>111</v>
      </c>
      <c r="C56" s="154">
        <v>26.293898611068769</v>
      </c>
      <c r="D56" s="121" t="s">
        <v>77</v>
      </c>
      <c r="I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I57" s="121" t="s">
        <v>79</v>
      </c>
    </row>
    <row r="58" spans="2:24">
      <c r="B58" s="85" t="s">
        <v>111</v>
      </c>
      <c r="C58" s="154">
        <v>1.1816399331260157</v>
      </c>
      <c r="D58" s="121" t="s">
        <v>78</v>
      </c>
      <c r="I58" s="121" t="s">
        <v>79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>
        <v>-12.501261943267853</v>
      </c>
      <c r="D59" s="121" t="s">
        <v>80</v>
      </c>
      <c r="I59" s="121" t="s">
        <v>79</v>
      </c>
      <c r="J59" s="220" t="s">
        <v>115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111</v>
      </c>
      <c r="C60" s="159">
        <v>1.7950732843896238</v>
      </c>
      <c r="D60" s="121" t="s">
        <v>114</v>
      </c>
      <c r="I60" s="121" t="s">
        <v>79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186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2.3E-2</v>
      </c>
      <c r="O72" s="175"/>
    </row>
    <row r="73" spans="3:15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topLeftCell="A2" zoomScaleNormal="100" workbookViewId="0">
      <selection activeCell="B3" sqref="B3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0" style="3" hidden="1" customWidth="1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4" hidden="1" customWidth="1"/>
    <col min="12" max="12" width="10.33203125" style="94" hidden="1" customWidth="1"/>
    <col min="13" max="13" width="13.83203125" style="94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5" t="s">
        <v>31</v>
      </c>
    </row>
    <row r="5" spans="2:15" ht="15.75">
      <c r="B5" s="1" t="str">
        <f ca="1">'Table 1'!$B$5</f>
        <v>Tesoro Non Firm - 25.0 MW and 85.0% CF</v>
      </c>
      <c r="C5" s="1"/>
      <c r="G5" s="96">
        <v>43553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7"/>
      <c r="H10" s="98"/>
    </row>
    <row r="11" spans="2:15" hidden="1">
      <c r="C11" s="12"/>
      <c r="G11" s="97"/>
      <c r="H11" s="98"/>
    </row>
    <row r="12" spans="2:15" hidden="1">
      <c r="C12" s="25"/>
      <c r="G12" s="97"/>
      <c r="H12" s="98"/>
    </row>
    <row r="13" spans="2:15" ht="6" customHeight="1">
      <c r="G13" s="99"/>
      <c r="H13" s="100"/>
    </row>
    <row r="14" spans="2:15" hidden="1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1"/>
      <c r="H14" s="33"/>
    </row>
    <row r="15" spans="2:15" ht="13.5" hidden="1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2.65</v>
      </c>
      <c r="D15" s="27">
        <f t="shared" ref="D15:D40" si="2">ROUND(SUMIF($K$17:$K$340,$B15,$I$17:$I$340)/COUNTIF($K$17:$K$340,$B15),2)</f>
        <v>3.31</v>
      </c>
      <c r="E15" s="27">
        <f t="shared" ref="E15:E40" si="3">ROUND(SUMIF($K$17:$K$340,$B15,$J$17:$J$340)/COUNTIF($K$17:$K$340,$B15),2)</f>
        <v>2.66</v>
      </c>
      <c r="G15" s="30"/>
      <c r="H15" s="34" t="s">
        <v>66</v>
      </c>
      <c r="I15" s="3" t="s">
        <v>67</v>
      </c>
      <c r="J15" s="3" t="s">
        <v>68</v>
      </c>
      <c r="N15" s="3" t="s">
        <v>67</v>
      </c>
    </row>
    <row r="16" spans="2:15" ht="13.5" hidden="1" thickBot="1">
      <c r="B16" s="26">
        <f t="shared" si="0"/>
        <v>2018</v>
      </c>
      <c r="C16" s="27">
        <f t="shared" si="1"/>
        <v>2.59</v>
      </c>
      <c r="D16" s="27">
        <f t="shared" si="2"/>
        <v>3.23</v>
      </c>
      <c r="E16" s="27">
        <f t="shared" si="3"/>
        <v>2.6</v>
      </c>
      <c r="G16" s="30" t="s">
        <v>30</v>
      </c>
      <c r="H16" s="34" t="s">
        <v>29</v>
      </c>
      <c r="I16" s="34" t="s">
        <v>29</v>
      </c>
      <c r="J16" s="34" t="s">
        <v>29</v>
      </c>
      <c r="K16" s="102" t="s">
        <v>0</v>
      </c>
      <c r="M16" s="103" t="str">
        <f>IF(_30_Geo_West&gt;0,"IRP - Wyo NE",IF(_436_CCCT_WestMain&gt;0,"West Side","IRP - Utah Greenfield"))</f>
        <v>IRP - Utah Greenfield</v>
      </c>
      <c r="N16" s="103" t="s">
        <v>113</v>
      </c>
      <c r="O16" s="103" t="s">
        <v>68</v>
      </c>
    </row>
    <row r="17" spans="2:15" ht="13.5" hidden="1" thickBot="1">
      <c r="B17" s="26">
        <f t="shared" si="0"/>
        <v>2019</v>
      </c>
      <c r="C17" s="27">
        <f t="shared" si="1"/>
        <v>2.75</v>
      </c>
      <c r="D17" s="27">
        <f t="shared" si="2"/>
        <v>4.37</v>
      </c>
      <c r="E17" s="27">
        <f t="shared" si="3"/>
        <v>2.4300000000000002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4">
        <f t="shared" ref="K17:K64" si="4">YEAR(G17)</f>
        <v>2016</v>
      </c>
      <c r="M17" s="105">
        <v>47</v>
      </c>
      <c r="N17" s="105">
        <v>43</v>
      </c>
      <c r="O17" s="105">
        <v>46</v>
      </c>
    </row>
    <row r="18" spans="2:15">
      <c r="B18" s="26">
        <v>2020</v>
      </c>
      <c r="C18" s="27">
        <f t="shared" si="1"/>
        <v>2.37</v>
      </c>
      <c r="D18" s="27">
        <f t="shared" si="2"/>
        <v>2.33</v>
      </c>
      <c r="E18" s="27">
        <f t="shared" si="3"/>
        <v>2.17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4">
        <f t="shared" si="4"/>
        <v>2016</v>
      </c>
    </row>
    <row r="19" spans="2:15" hidden="1">
      <c r="B19" s="26">
        <f t="shared" si="0"/>
        <v>2021</v>
      </c>
      <c r="C19" s="27">
        <f t="shared" si="1"/>
        <v>2.25</v>
      </c>
      <c r="D19" s="27">
        <f t="shared" si="2"/>
        <v>2.14</v>
      </c>
      <c r="E19" s="27">
        <f t="shared" si="3"/>
        <v>2.13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4">
        <f t="shared" si="4"/>
        <v>2016</v>
      </c>
    </row>
    <row r="20" spans="2:15" hidden="1">
      <c r="B20" s="26">
        <f t="shared" si="0"/>
        <v>2022</v>
      </c>
      <c r="C20" s="27">
        <f t="shared" si="1"/>
        <v>2.36</v>
      </c>
      <c r="D20" s="27">
        <f t="shared" si="2"/>
        <v>2.2799999999999998</v>
      </c>
      <c r="E20" s="27">
        <f t="shared" si="3"/>
        <v>2.2400000000000002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4">
        <f t="shared" si="4"/>
        <v>2016</v>
      </c>
    </row>
    <row r="21" spans="2:15" hidden="1">
      <c r="B21" s="26">
        <f t="shared" si="0"/>
        <v>2023</v>
      </c>
      <c r="C21" s="27">
        <f t="shared" si="1"/>
        <v>2.5299999999999998</v>
      </c>
      <c r="D21" s="27">
        <f t="shared" si="2"/>
        <v>2.4900000000000002</v>
      </c>
      <c r="E21" s="27">
        <f t="shared" si="3"/>
        <v>2.41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4">
        <f t="shared" si="4"/>
        <v>2016</v>
      </c>
    </row>
    <row r="22" spans="2:15" hidden="1">
      <c r="B22" s="26">
        <f t="shared" si="0"/>
        <v>2024</v>
      </c>
      <c r="C22" s="27">
        <f t="shared" si="1"/>
        <v>2.82</v>
      </c>
      <c r="D22" s="27">
        <f t="shared" si="2"/>
        <v>2.84</v>
      </c>
      <c r="E22" s="27">
        <f t="shared" si="3"/>
        <v>2.7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4">
        <f t="shared" si="4"/>
        <v>2016</v>
      </c>
    </row>
    <row r="23" spans="2:15" hidden="1">
      <c r="B23" s="26">
        <f t="shared" si="0"/>
        <v>2025</v>
      </c>
      <c r="C23" s="27">
        <f t="shared" si="1"/>
        <v>3.19</v>
      </c>
      <c r="D23" s="27">
        <f t="shared" si="2"/>
        <v>3.18</v>
      </c>
      <c r="E23" s="27">
        <f t="shared" si="3"/>
        <v>3.06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4">
        <f t="shared" si="4"/>
        <v>2016</v>
      </c>
    </row>
    <row r="24" spans="2:15" hidden="1">
      <c r="B24" s="26">
        <f t="shared" si="0"/>
        <v>2026</v>
      </c>
      <c r="C24" s="27">
        <f t="shared" si="1"/>
        <v>3.42</v>
      </c>
      <c r="D24" s="27">
        <f t="shared" si="2"/>
        <v>3.44</v>
      </c>
      <c r="E24" s="27">
        <f t="shared" si="3"/>
        <v>3.29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4">
        <f t="shared" si="4"/>
        <v>2016</v>
      </c>
    </row>
    <row r="25" spans="2:15" hidden="1">
      <c r="B25" s="26">
        <f t="shared" si="0"/>
        <v>2027</v>
      </c>
      <c r="C25" s="27">
        <f t="shared" si="1"/>
        <v>3.56</v>
      </c>
      <c r="D25" s="27">
        <f t="shared" si="2"/>
        <v>3.6</v>
      </c>
      <c r="E25" s="27">
        <f t="shared" si="3"/>
        <v>3.44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4">
        <f t="shared" si="4"/>
        <v>2016</v>
      </c>
    </row>
    <row r="26" spans="2:15" hidden="1">
      <c r="B26" s="26">
        <f t="shared" si="0"/>
        <v>2028</v>
      </c>
      <c r="C26" s="27">
        <f t="shared" si="1"/>
        <v>3.8</v>
      </c>
      <c r="D26" s="27">
        <f t="shared" si="2"/>
        <v>3.86</v>
      </c>
      <c r="E26" s="27">
        <f t="shared" si="3"/>
        <v>3.67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4">
        <f t="shared" si="4"/>
        <v>2016</v>
      </c>
    </row>
    <row r="27" spans="2:15" hidden="1">
      <c r="B27" s="26">
        <f t="shared" si="0"/>
        <v>2029</v>
      </c>
      <c r="C27" s="27">
        <f t="shared" si="1"/>
        <v>3.94</v>
      </c>
      <c r="D27" s="27">
        <f t="shared" si="2"/>
        <v>4.0199999999999996</v>
      </c>
      <c r="E27" s="27">
        <f t="shared" si="3"/>
        <v>3.81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4">
        <f t="shared" si="4"/>
        <v>2016</v>
      </c>
    </row>
    <row r="28" spans="2:15" hidden="1">
      <c r="B28" s="26">
        <f t="shared" si="0"/>
        <v>2030</v>
      </c>
      <c r="C28" s="27">
        <f t="shared" si="1"/>
        <v>4.0999999999999996</v>
      </c>
      <c r="D28" s="27">
        <f t="shared" si="2"/>
        <v>4.16</v>
      </c>
      <c r="E28" s="27">
        <f t="shared" si="3"/>
        <v>3.96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4">
        <f t="shared" si="4"/>
        <v>2016</v>
      </c>
    </row>
    <row r="29" spans="2:15" hidden="1">
      <c r="B29" s="26">
        <f t="shared" si="0"/>
        <v>2031</v>
      </c>
      <c r="C29" s="27">
        <f t="shared" si="1"/>
        <v>4.4000000000000004</v>
      </c>
      <c r="D29" s="27">
        <f t="shared" si="2"/>
        <v>4.45</v>
      </c>
      <c r="E29" s="27">
        <f t="shared" si="3"/>
        <v>4.2699999999999996</v>
      </c>
      <c r="G29" s="31">
        <v>42736</v>
      </c>
      <c r="H29" s="35">
        <v>2.9365659189280224</v>
      </c>
      <c r="I29" s="35">
        <v>2.8135887402859616</v>
      </c>
      <c r="J29" s="35">
        <v>3.0826510126176525</v>
      </c>
      <c r="K29" s="104">
        <f t="shared" si="4"/>
        <v>2017</v>
      </c>
    </row>
    <row r="30" spans="2:15" hidden="1">
      <c r="B30" s="26">
        <f t="shared" si="0"/>
        <v>2032</v>
      </c>
      <c r="C30" s="27">
        <f t="shared" si="1"/>
        <v>4.6500000000000004</v>
      </c>
      <c r="D30" s="27">
        <f t="shared" si="2"/>
        <v>4.68</v>
      </c>
      <c r="E30" s="27">
        <f t="shared" si="3"/>
        <v>4.51</v>
      </c>
      <c r="G30" s="31">
        <v>42767</v>
      </c>
      <c r="H30" s="35">
        <v>2.2424949344592338</v>
      </c>
      <c r="I30" s="35">
        <v>2.2559061081726517</v>
      </c>
      <c r="J30" s="35">
        <v>2.2490598127356938</v>
      </c>
      <c r="K30" s="104">
        <f t="shared" si="4"/>
        <v>2017</v>
      </c>
    </row>
    <row r="31" spans="2:15" hidden="1">
      <c r="B31" s="26">
        <f t="shared" si="0"/>
        <v>2033</v>
      </c>
      <c r="C31" s="27">
        <f t="shared" si="1"/>
        <v>5.04</v>
      </c>
      <c r="D31" s="27">
        <f t="shared" si="2"/>
        <v>5.03</v>
      </c>
      <c r="E31" s="27">
        <f t="shared" si="3"/>
        <v>4.8899999999999997</v>
      </c>
      <c r="G31" s="31">
        <v>42795</v>
      </c>
      <c r="H31" s="35">
        <v>2.1136794713706815</v>
      </c>
      <c r="I31" s="35">
        <v>2.1843639754367272</v>
      </c>
      <c r="J31" s="35">
        <v>2.1613389321133352</v>
      </c>
      <c r="K31" s="104">
        <f t="shared" si="4"/>
        <v>2017</v>
      </c>
    </row>
    <row r="32" spans="2:15" hidden="1">
      <c r="B32" s="26">
        <f t="shared" si="0"/>
        <v>2034</v>
      </c>
      <c r="C32" s="27">
        <f t="shared" si="1"/>
        <v>5.19</v>
      </c>
      <c r="D32" s="27">
        <f t="shared" si="2"/>
        <v>5.17</v>
      </c>
      <c r="E32" s="27">
        <f t="shared" si="3"/>
        <v>5.05</v>
      </c>
      <c r="G32" s="31">
        <v>42826</v>
      </c>
      <c r="H32" s="35">
        <v>1.9776764449626556</v>
      </c>
      <c r="I32" s="35">
        <v>2.02262576128114</v>
      </c>
      <c r="J32" s="35">
        <v>2.0694667469637662</v>
      </c>
      <c r="K32" s="104">
        <f t="shared" si="4"/>
        <v>2017</v>
      </c>
    </row>
    <row r="33" spans="2:11" hidden="1">
      <c r="B33" s="26">
        <f t="shared" si="0"/>
        <v>2035</v>
      </c>
      <c r="C33" s="27">
        <f t="shared" si="1"/>
        <v>5.35</v>
      </c>
      <c r="D33" s="27">
        <f t="shared" si="2"/>
        <v>5.27</v>
      </c>
      <c r="E33" s="27">
        <f t="shared" si="3"/>
        <v>5.2</v>
      </c>
      <c r="G33" s="31">
        <v>42856</v>
      </c>
      <c r="H33" s="35">
        <v>1.7831839406645238</v>
      </c>
      <c r="I33" s="35">
        <v>1.5708405984016238</v>
      </c>
      <c r="J33" s="35">
        <v>1.8794896381126289</v>
      </c>
      <c r="K33" s="104">
        <f t="shared" si="4"/>
        <v>2017</v>
      </c>
    </row>
    <row r="34" spans="2:11" hidden="1">
      <c r="B34" s="26">
        <f t="shared" si="0"/>
        <v>2036</v>
      </c>
      <c r="C34" s="27">
        <f t="shared" si="1"/>
        <v>5.47</v>
      </c>
      <c r="D34" s="27">
        <f t="shared" si="2"/>
        <v>5.35</v>
      </c>
      <c r="E34" s="27">
        <f t="shared" si="3"/>
        <v>5.32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4">
        <f t="shared" si="4"/>
        <v>2017</v>
      </c>
    </row>
    <row r="35" spans="2:11" hidden="1">
      <c r="B35" s="26">
        <f t="shared" si="0"/>
        <v>2037</v>
      </c>
      <c r="C35" s="27">
        <f t="shared" si="1"/>
        <v>5.87</v>
      </c>
      <c r="D35" s="27">
        <f t="shared" si="2"/>
        <v>5.76</v>
      </c>
      <c r="E35" s="27">
        <f t="shared" si="3"/>
        <v>5.72</v>
      </c>
      <c r="G35" s="31">
        <v>42917</v>
      </c>
      <c r="H35" s="35">
        <v>2.421637499285668</v>
      </c>
      <c r="I35" s="35">
        <v>2.353571484540065</v>
      </c>
      <c r="J35" s="35">
        <v>2.4674716230698741</v>
      </c>
      <c r="K35" s="104">
        <f t="shared" si="4"/>
        <v>2017</v>
      </c>
    </row>
    <row r="36" spans="2:11" hidden="1">
      <c r="B36" s="26">
        <f t="shared" si="0"/>
        <v>2038</v>
      </c>
      <c r="C36" s="27">
        <f t="shared" si="1"/>
        <v>6.15</v>
      </c>
      <c r="D36" s="27">
        <f t="shared" si="2"/>
        <v>6.01</v>
      </c>
      <c r="E36" s="27">
        <f t="shared" si="3"/>
        <v>6</v>
      </c>
      <c r="G36" s="31">
        <v>42948</v>
      </c>
      <c r="H36" s="35">
        <v>2.4788435090089065</v>
      </c>
      <c r="I36" s="35">
        <v>2.5401507418632927</v>
      </c>
      <c r="J36" s="35">
        <v>2.4624530543656684</v>
      </c>
      <c r="K36" s="104">
        <f t="shared" si="4"/>
        <v>2017</v>
      </c>
    </row>
    <row r="37" spans="2:11" hidden="1">
      <c r="B37" s="26">
        <f t="shared" si="0"/>
        <v>2039</v>
      </c>
      <c r="C37" s="27">
        <f t="shared" si="1"/>
        <v>6.4</v>
      </c>
      <c r="D37" s="27">
        <f t="shared" si="2"/>
        <v>6.25</v>
      </c>
      <c r="E37" s="27">
        <f t="shared" si="3"/>
        <v>6.25</v>
      </c>
      <c r="G37" s="31">
        <v>42979</v>
      </c>
      <c r="H37" s="35">
        <v>2.2194892808138165</v>
      </c>
      <c r="I37" s="35">
        <v>2.3919118237202426</v>
      </c>
      <c r="J37" s="35">
        <v>2.224504673004402</v>
      </c>
      <c r="K37" s="104">
        <f t="shared" si="4"/>
        <v>2017</v>
      </c>
    </row>
    <row r="38" spans="2:11" hidden="1">
      <c r="B38" s="26">
        <f t="shared" si="0"/>
        <v>2040</v>
      </c>
      <c r="C38" s="27">
        <f t="shared" si="1"/>
        <v>6.63</v>
      </c>
      <c r="D38" s="27">
        <f t="shared" si="2"/>
        <v>6.49</v>
      </c>
      <c r="E38" s="27">
        <f t="shared" si="3"/>
        <v>6.47</v>
      </c>
      <c r="G38" s="31">
        <v>43009</v>
      </c>
      <c r="H38" s="35">
        <v>2.9128539684320356</v>
      </c>
      <c r="I38" s="35">
        <v>4.6218921162427922</v>
      </c>
      <c r="J38" s="35">
        <v>2.9275610507263972</v>
      </c>
      <c r="K38" s="104">
        <f t="shared" si="4"/>
        <v>2017</v>
      </c>
    </row>
    <row r="39" spans="2:11" hidden="1">
      <c r="B39" s="26">
        <f t="shared" si="0"/>
        <v>2041</v>
      </c>
      <c r="C39" s="27">
        <f t="shared" si="1"/>
        <v>6.86</v>
      </c>
      <c r="D39" s="27">
        <f t="shared" si="2"/>
        <v>6.75</v>
      </c>
      <c r="E39" s="27">
        <f t="shared" si="3"/>
        <v>6.7</v>
      </c>
      <c r="G39" s="31">
        <v>43040</v>
      </c>
      <c r="H39" s="35">
        <v>3.9745333850417399</v>
      </c>
      <c r="I39" s="35">
        <v>8.6680488460990404</v>
      </c>
      <c r="J39" s="35">
        <v>3.8702964836561957</v>
      </c>
      <c r="K39" s="104">
        <f t="shared" si="4"/>
        <v>2017</v>
      </c>
    </row>
    <row r="40" spans="2:11" hidden="1">
      <c r="B40" s="26">
        <f t="shared" si="0"/>
        <v>2042</v>
      </c>
      <c r="C40" s="27">
        <f>ROUND(SUMIF($K$17:$K$340,$B40,$H$17:$H$340)/COUNTIF($K$17:$K$340,$B40),2)</f>
        <v>4.8899999999999997</v>
      </c>
      <c r="D40" s="27">
        <f t="shared" si="2"/>
        <v>4.8</v>
      </c>
      <c r="E40" s="27">
        <f t="shared" si="3"/>
        <v>4.78</v>
      </c>
      <c r="G40" s="31">
        <v>43070</v>
      </c>
      <c r="H40" s="35">
        <v>3.9079382357981771</v>
      </c>
      <c r="I40" s="35">
        <v>5.443905271233902</v>
      </c>
      <c r="J40" s="35">
        <v>3.5768990853253793</v>
      </c>
      <c r="K40" s="104">
        <f t="shared" si="4"/>
        <v>2017</v>
      </c>
    </row>
    <row r="41" spans="2:11">
      <c r="B41" s="26"/>
      <c r="C41" s="27"/>
      <c r="G41" s="31">
        <v>43101</v>
      </c>
      <c r="H41" s="35">
        <v>2.9365659189280224</v>
      </c>
      <c r="I41" s="35">
        <v>2.8135887402859616</v>
      </c>
      <c r="J41" s="35">
        <v>3.0826510126176525</v>
      </c>
      <c r="K41" s="104">
        <f t="shared" si="4"/>
        <v>2018</v>
      </c>
    </row>
    <row r="42" spans="2:11">
      <c r="B42" s="26"/>
      <c r="C42" s="27"/>
      <c r="G42" s="31">
        <v>43132</v>
      </c>
      <c r="H42" s="35">
        <v>2.2424949344592338</v>
      </c>
      <c r="I42" s="35">
        <v>2.2559061081726517</v>
      </c>
      <c r="J42" s="35">
        <v>2.2490598127356938</v>
      </c>
      <c r="K42" s="104">
        <f t="shared" si="4"/>
        <v>2018</v>
      </c>
    </row>
    <row r="43" spans="2:11">
      <c r="G43" s="31">
        <v>43160</v>
      </c>
      <c r="H43" s="35">
        <v>2.1136794713706815</v>
      </c>
      <c r="I43" s="35">
        <v>2.1843639754367272</v>
      </c>
      <c r="J43" s="35">
        <v>2.1613389321133352</v>
      </c>
      <c r="K43" s="104">
        <f t="shared" si="4"/>
        <v>2018</v>
      </c>
    </row>
    <row r="44" spans="2:11">
      <c r="B44" s="106" t="str">
        <f>"Official Forward Price Curve Forecast dated   "&amp;TEXT(G5,"MMM dd, YYYY")</f>
        <v>Official Forward Price Curve Forecast dated   Mar 29, 2019</v>
      </c>
      <c r="G44" s="31">
        <v>43191</v>
      </c>
      <c r="H44" s="35">
        <v>1.9776764449626556</v>
      </c>
      <c r="I44" s="35">
        <v>2.02262576128114</v>
      </c>
      <c r="J44" s="35">
        <v>2.0694667469637662</v>
      </c>
      <c r="K44" s="104">
        <f t="shared" si="4"/>
        <v>2018</v>
      </c>
    </row>
    <row r="45" spans="2:11">
      <c r="G45" s="31">
        <v>43221</v>
      </c>
      <c r="H45" s="35">
        <v>1.7831839406645238</v>
      </c>
      <c r="I45" s="35">
        <v>1.5708405984016238</v>
      </c>
      <c r="J45" s="35">
        <v>1.8794896381126289</v>
      </c>
      <c r="K45" s="104">
        <f t="shared" si="4"/>
        <v>2018</v>
      </c>
    </row>
    <row r="46" spans="2:11">
      <c r="G46" s="31">
        <v>43252</v>
      </c>
      <c r="H46" s="35">
        <v>2.1432785268173982</v>
      </c>
      <c r="I46" s="35">
        <v>1.8480369077372496</v>
      </c>
      <c r="J46" s="35">
        <v>2.252644504667269</v>
      </c>
      <c r="K46" s="104">
        <f t="shared" si="4"/>
        <v>2018</v>
      </c>
    </row>
    <row r="47" spans="2:11">
      <c r="G47" s="31">
        <v>43282</v>
      </c>
      <c r="H47" s="35">
        <v>2.421637499285668</v>
      </c>
      <c r="I47" s="35">
        <v>2.353571484540065</v>
      </c>
      <c r="J47" s="35">
        <v>2.4674716230698741</v>
      </c>
      <c r="K47" s="104">
        <f t="shared" si="4"/>
        <v>2018</v>
      </c>
    </row>
    <row r="48" spans="2:11">
      <c r="G48" s="31">
        <v>43313</v>
      </c>
      <c r="H48" s="35">
        <v>2.4788435090089065</v>
      </c>
      <c r="I48" s="35">
        <v>2.5401507418632927</v>
      </c>
      <c r="J48" s="35">
        <v>2.4624530543656684</v>
      </c>
      <c r="K48" s="104">
        <f t="shared" si="4"/>
        <v>2018</v>
      </c>
    </row>
    <row r="49" spans="7:13">
      <c r="G49" s="31">
        <v>43344</v>
      </c>
      <c r="H49" s="35">
        <v>2.2194892808138165</v>
      </c>
      <c r="I49" s="35">
        <v>2.3919118237202426</v>
      </c>
      <c r="J49" s="35">
        <v>2.224504673004402</v>
      </c>
      <c r="K49" s="104">
        <f t="shared" si="4"/>
        <v>2018</v>
      </c>
      <c r="L49" s="3"/>
      <c r="M49" s="3"/>
    </row>
    <row r="50" spans="7:13">
      <c r="G50" s="31">
        <v>43374</v>
      </c>
      <c r="H50" s="35">
        <v>2.9128539684320356</v>
      </c>
      <c r="I50" s="35">
        <v>4.6218921162427922</v>
      </c>
      <c r="J50" s="35">
        <v>2.9275610507263972</v>
      </c>
      <c r="K50" s="104">
        <f t="shared" si="4"/>
        <v>2018</v>
      </c>
      <c r="L50" s="3"/>
      <c r="M50" s="3"/>
    </row>
    <row r="51" spans="7:13">
      <c r="G51" s="31">
        <v>43405</v>
      </c>
      <c r="H51" s="35">
        <v>3.9745333850417399</v>
      </c>
      <c r="I51" s="35">
        <v>8.6680488460990404</v>
      </c>
      <c r="J51" s="35">
        <v>3.8702964836561957</v>
      </c>
      <c r="K51" s="104">
        <f t="shared" si="4"/>
        <v>2018</v>
      </c>
      <c r="L51" s="3"/>
      <c r="M51" s="3"/>
    </row>
    <row r="52" spans="7:13">
      <c r="G52" s="31">
        <v>43435</v>
      </c>
      <c r="H52" s="35">
        <v>3.9079382357981771</v>
      </c>
      <c r="I52" s="35">
        <v>5.443905271233902</v>
      </c>
      <c r="J52" s="35">
        <v>3.5768990853253793</v>
      </c>
      <c r="K52" s="104">
        <f t="shared" si="4"/>
        <v>2018</v>
      </c>
      <c r="L52" s="3"/>
      <c r="M52" s="3"/>
    </row>
    <row r="53" spans="7:13">
      <c r="G53" s="31">
        <v>43466</v>
      </c>
      <c r="H53" s="35">
        <v>3.1877490634924275</v>
      </c>
      <c r="I53" s="35">
        <v>3.6245487172817223</v>
      </c>
      <c r="J53" s="35">
        <v>2.9303131690480573</v>
      </c>
      <c r="K53" s="104">
        <f t="shared" si="4"/>
        <v>2019</v>
      </c>
      <c r="L53" s="3"/>
      <c r="M53" s="3"/>
    </row>
    <row r="54" spans="7:13">
      <c r="G54" s="31">
        <v>43497</v>
      </c>
      <c r="H54" s="35">
        <v>4.6376436365125295</v>
      </c>
      <c r="I54" s="35">
        <v>13.248679181072774</v>
      </c>
      <c r="J54" s="35">
        <v>2.6293956266758434</v>
      </c>
      <c r="K54" s="104">
        <f t="shared" si="4"/>
        <v>2019</v>
      </c>
      <c r="L54" s="3"/>
      <c r="M54" s="3"/>
    </row>
    <row r="55" spans="7:13">
      <c r="G55" s="31">
        <v>43525</v>
      </c>
      <c r="H55" s="35">
        <v>2.8840796764808312</v>
      </c>
      <c r="I55" s="35">
        <v>13.147581543206581</v>
      </c>
      <c r="J55" s="35">
        <v>3.1561599255175179</v>
      </c>
      <c r="K55" s="104">
        <f t="shared" si="4"/>
        <v>2019</v>
      </c>
      <c r="L55" s="3"/>
      <c r="M55" s="3"/>
    </row>
    <row r="56" spans="7:13">
      <c r="G56" s="31">
        <v>43556</v>
      </c>
      <c r="H56" s="35">
        <v>2.5386957426746424</v>
      </c>
      <c r="I56" s="35">
        <v>2.4228079233587558</v>
      </c>
      <c r="J56" s="35">
        <v>2.453387252835491</v>
      </c>
      <c r="K56" s="104">
        <f t="shared" si="4"/>
        <v>2019</v>
      </c>
      <c r="L56" s="3"/>
      <c r="M56" s="3"/>
    </row>
    <row r="57" spans="7:13">
      <c r="G57" s="31">
        <v>43586</v>
      </c>
      <c r="H57" s="35">
        <v>2.0388478262192034</v>
      </c>
      <c r="I57" s="35">
        <v>1.9717939101998985</v>
      </c>
      <c r="J57" s="35">
        <v>1.9510285255445146</v>
      </c>
      <c r="K57" s="104">
        <f t="shared" si="4"/>
        <v>2019</v>
      </c>
      <c r="L57" s="3"/>
      <c r="M57" s="3"/>
    </row>
    <row r="58" spans="7:13">
      <c r="G58" s="31">
        <v>43617</v>
      </c>
      <c r="H58" s="35">
        <v>2.1159034887965125</v>
      </c>
      <c r="I58" s="35">
        <v>1.9935420026828745</v>
      </c>
      <c r="J58" s="35">
        <v>2.0222922011442335</v>
      </c>
      <c r="K58" s="104">
        <f t="shared" si="4"/>
        <v>2019</v>
      </c>
      <c r="L58" s="3"/>
      <c r="M58" s="3"/>
    </row>
    <row r="59" spans="7:13">
      <c r="G59" s="31">
        <v>43647</v>
      </c>
      <c r="H59" s="35">
        <v>2.5356540717834331</v>
      </c>
      <c r="I59" s="35">
        <v>2.4526856599365585</v>
      </c>
      <c r="J59" s="35">
        <v>2.3173840409515205</v>
      </c>
      <c r="K59" s="104">
        <f t="shared" si="4"/>
        <v>2019</v>
      </c>
      <c r="L59" s="3"/>
      <c r="M59" s="3"/>
    </row>
    <row r="60" spans="7:13">
      <c r="G60" s="31">
        <v>43678</v>
      </c>
      <c r="H60" s="35">
        <v>2.6978765193146104</v>
      </c>
      <c r="I60" s="35">
        <v>2.5769604741249923</v>
      </c>
      <c r="J60" s="35">
        <v>2.387644002810398</v>
      </c>
      <c r="K60" s="104">
        <f t="shared" si="4"/>
        <v>2019</v>
      </c>
      <c r="L60" s="3"/>
      <c r="M60" s="3"/>
    </row>
    <row r="61" spans="7:13">
      <c r="G61" s="31">
        <v>43709</v>
      </c>
      <c r="H61" s="35">
        <v>2.4479525610868902</v>
      </c>
      <c r="I61" s="35">
        <v>2.4511840059317818</v>
      </c>
      <c r="J61" s="35">
        <v>2.2882763424671282</v>
      </c>
      <c r="K61" s="104">
        <f t="shared" si="4"/>
        <v>2019</v>
      </c>
      <c r="L61" s="3"/>
      <c r="M61" s="3"/>
    </row>
    <row r="62" spans="7:13">
      <c r="G62" s="31">
        <v>43739</v>
      </c>
      <c r="H62" s="35">
        <v>2.3921885947480486</v>
      </c>
      <c r="I62" s="35">
        <v>2.2498588069465191</v>
      </c>
      <c r="J62" s="35">
        <v>2.2205256649603533</v>
      </c>
      <c r="K62" s="104">
        <f t="shared" si="4"/>
        <v>2019</v>
      </c>
      <c r="L62" s="3"/>
      <c r="M62" s="3"/>
    </row>
    <row r="63" spans="7:13">
      <c r="G63" s="31">
        <v>43770</v>
      </c>
      <c r="H63" s="35">
        <v>2.5838138608942516</v>
      </c>
      <c r="I63" s="35">
        <v>2.8359181181901412</v>
      </c>
      <c r="J63" s="35">
        <v>2.2195219512195119</v>
      </c>
      <c r="K63" s="104">
        <f t="shared" si="4"/>
        <v>2019</v>
      </c>
      <c r="L63" s="3"/>
      <c r="M63" s="3"/>
    </row>
    <row r="64" spans="7:13">
      <c r="G64" s="31">
        <v>43800</v>
      </c>
      <c r="H64" s="35">
        <v>2.9239740555611884</v>
      </c>
      <c r="I64" s="35">
        <v>3.4046825177925397</v>
      </c>
      <c r="J64" s="35">
        <v>2.548740058215397</v>
      </c>
      <c r="K64" s="104">
        <f t="shared" si="4"/>
        <v>2019</v>
      </c>
      <c r="L64" s="3"/>
      <c r="M64" s="3"/>
    </row>
    <row r="65" spans="7:13">
      <c r="G65" s="31">
        <v>43831</v>
      </c>
      <c r="H65" s="35">
        <v>3.0172519628916152</v>
      </c>
      <c r="I65" s="35">
        <v>3.3731477836922252</v>
      </c>
      <c r="J65" s="35">
        <v>2.6184981632038538</v>
      </c>
      <c r="K65" s="104">
        <f t="shared" ref="K65:K112" si="5">YEAR(G65)</f>
        <v>2020</v>
      </c>
      <c r="L65" s="3"/>
      <c r="M65" s="3"/>
    </row>
    <row r="66" spans="7:13">
      <c r="G66" s="31">
        <v>43862</v>
      </c>
      <c r="H66" s="35">
        <v>2.897612907837372</v>
      </c>
      <c r="I66" s="35">
        <v>3.0942543881843481</v>
      </c>
      <c r="J66" s="35">
        <v>2.4925320887282947</v>
      </c>
      <c r="K66" s="104">
        <f t="shared" si="5"/>
        <v>2020</v>
      </c>
      <c r="L66" s="3"/>
      <c r="M66" s="3"/>
    </row>
    <row r="67" spans="7:13">
      <c r="G67" s="31">
        <v>43891</v>
      </c>
      <c r="H67" s="35">
        <v>2.514362375544966</v>
      </c>
      <c r="I67" s="35">
        <v>2.7267634063946335</v>
      </c>
      <c r="J67" s="35">
        <v>2.2235368061828762</v>
      </c>
      <c r="K67" s="104">
        <f t="shared" si="5"/>
        <v>2020</v>
      </c>
      <c r="L67" s="3"/>
      <c r="M67" s="3"/>
    </row>
    <row r="68" spans="7:13">
      <c r="G68" s="31">
        <v>43922</v>
      </c>
      <c r="H68" s="35">
        <v>2.0824451089932068</v>
      </c>
      <c r="I68" s="35">
        <v>1.8098224023743064</v>
      </c>
      <c r="J68" s="35">
        <v>1.9540396667670381</v>
      </c>
      <c r="K68" s="104">
        <f t="shared" si="5"/>
        <v>2020</v>
      </c>
      <c r="L68" s="3"/>
      <c r="M68" s="3"/>
    </row>
    <row r="69" spans="7:13">
      <c r="G69" s="31">
        <v>43952</v>
      </c>
      <c r="H69" s="35">
        <v>2.0292158683970394</v>
      </c>
      <c r="I69" s="35">
        <v>1.7386750712514278</v>
      </c>
      <c r="J69" s="35">
        <v>1.896326126668674</v>
      </c>
      <c r="K69" s="104">
        <f t="shared" si="5"/>
        <v>2020</v>
      </c>
      <c r="L69" s="3"/>
      <c r="M69" s="3"/>
    </row>
    <row r="70" spans="7:13">
      <c r="G70" s="31">
        <v>43983</v>
      </c>
      <c r="H70" s="35">
        <v>2.0586186870120651</v>
      </c>
      <c r="I70" s="35">
        <v>1.7745076426757596</v>
      </c>
      <c r="J70" s="35">
        <v>1.9354709625614772</v>
      </c>
      <c r="K70" s="104">
        <f t="shared" si="5"/>
        <v>2020</v>
      </c>
      <c r="L70" s="3"/>
      <c r="M70" s="3"/>
    </row>
    <row r="71" spans="7:13">
      <c r="G71" s="31">
        <v>44013</v>
      </c>
      <c r="H71" s="35">
        <v>2.2760981557335498</v>
      </c>
      <c r="I71" s="35">
        <v>2.0600808094462648</v>
      </c>
      <c r="J71" s="35">
        <v>2.10058187292984</v>
      </c>
      <c r="K71" s="104">
        <f t="shared" si="5"/>
        <v>2020</v>
      </c>
      <c r="L71" s="3"/>
      <c r="M71" s="3"/>
    </row>
    <row r="72" spans="7:13">
      <c r="G72" s="31">
        <v>44044</v>
      </c>
      <c r="H72" s="35">
        <v>2.2826884426645035</v>
      </c>
      <c r="I72" s="35">
        <v>2.0784631257116377</v>
      </c>
      <c r="J72" s="35">
        <v>2.1045967278932047</v>
      </c>
      <c r="K72" s="104">
        <f t="shared" si="5"/>
        <v>2020</v>
      </c>
      <c r="L72" s="3"/>
      <c r="M72" s="3"/>
    </row>
    <row r="73" spans="7:13">
      <c r="G73" s="31">
        <v>44075</v>
      </c>
      <c r="H73" s="35">
        <v>2.2537925691980125</v>
      </c>
      <c r="I73" s="35">
        <v>2.0709548556877531</v>
      </c>
      <c r="J73" s="35">
        <v>2.0885373080397471</v>
      </c>
      <c r="K73" s="104">
        <f t="shared" si="5"/>
        <v>2020</v>
      </c>
      <c r="L73" s="3"/>
      <c r="M73" s="3"/>
    </row>
    <row r="74" spans="7:13">
      <c r="G74" s="31">
        <v>44105</v>
      </c>
      <c r="H74" s="35">
        <v>2.1645702230558652</v>
      </c>
      <c r="I74" s="35">
        <v>1.9901762264652709</v>
      </c>
      <c r="J74" s="35">
        <v>2.0855261668172238</v>
      </c>
      <c r="K74" s="104">
        <f t="shared" si="5"/>
        <v>2020</v>
      </c>
      <c r="L74" s="3"/>
      <c r="M74" s="3"/>
    </row>
    <row r="75" spans="7:13">
      <c r="G75" s="31">
        <v>44136</v>
      </c>
      <c r="H75" s="35">
        <v>2.2705217590996654</v>
      </c>
      <c r="I75" s="35">
        <v>2.4530999093171868</v>
      </c>
      <c r="J75" s="35">
        <v>2.130191428284653</v>
      </c>
      <c r="K75" s="104">
        <f t="shared" si="5"/>
        <v>2020</v>
      </c>
      <c r="L75" s="3"/>
      <c r="M75" s="3"/>
    </row>
    <row r="76" spans="7:13">
      <c r="G76" s="31">
        <v>44166</v>
      </c>
      <c r="H76" s="35">
        <v>2.5569457680218997</v>
      </c>
      <c r="I76" s="35">
        <v>2.8227139191826205</v>
      </c>
      <c r="J76" s="35">
        <v>2.3886477165512399</v>
      </c>
      <c r="K76" s="104">
        <f t="shared" si="5"/>
        <v>2020</v>
      </c>
      <c r="L76" s="3"/>
      <c r="M76" s="3"/>
    </row>
    <row r="77" spans="7:13">
      <c r="G77" s="31">
        <v>44197</v>
      </c>
      <c r="H77" s="35">
        <v>2.6816542745614926</v>
      </c>
      <c r="I77" s="35">
        <v>2.8251476342938107</v>
      </c>
      <c r="J77" s="35">
        <v>2.5146137910267989</v>
      </c>
      <c r="K77" s="104">
        <f t="shared" si="5"/>
        <v>2021</v>
      </c>
      <c r="L77" s="3"/>
      <c r="M77" s="3"/>
    </row>
    <row r="78" spans="7:13">
      <c r="G78" s="31">
        <v>44228</v>
      </c>
      <c r="H78" s="35">
        <v>2.6056125022812529</v>
      </c>
      <c r="I78" s="35">
        <v>2.6354731991387137</v>
      </c>
      <c r="J78" s="35">
        <v>2.4945395162099766</v>
      </c>
      <c r="K78" s="104">
        <f t="shared" si="5"/>
        <v>2021</v>
      </c>
      <c r="L78" s="3"/>
      <c r="M78" s="3"/>
    </row>
    <row r="79" spans="7:13">
      <c r="G79" s="31">
        <v>44256</v>
      </c>
      <c r="H79" s="35">
        <v>2.3009384680117608</v>
      </c>
      <c r="I79" s="35">
        <v>2.3314141537576791</v>
      </c>
      <c r="J79" s="35">
        <v>2.1853956840309143</v>
      </c>
      <c r="K79" s="104">
        <f t="shared" si="5"/>
        <v>2021</v>
      </c>
      <c r="L79" s="3"/>
      <c r="M79" s="3"/>
    </row>
    <row r="80" spans="7:13">
      <c r="G80" s="31">
        <v>44287</v>
      </c>
      <c r="H80" s="35">
        <v>1.9942366531481297</v>
      </c>
      <c r="I80" s="35">
        <v>1.752759550192784</v>
      </c>
      <c r="J80" s="35">
        <v>1.9545415236374586</v>
      </c>
      <c r="K80" s="104">
        <f t="shared" si="5"/>
        <v>2021</v>
      </c>
      <c r="L80" s="3"/>
      <c r="M80" s="3"/>
    </row>
    <row r="81" spans="7:13">
      <c r="G81" s="31">
        <v>44317</v>
      </c>
      <c r="H81" s="35">
        <v>1.9592574378992196</v>
      </c>
      <c r="I81" s="35">
        <v>1.6969394461531455</v>
      </c>
      <c r="J81" s="35">
        <v>1.8396163003111512</v>
      </c>
      <c r="K81" s="104">
        <f t="shared" si="5"/>
        <v>2021</v>
      </c>
      <c r="L81" s="3"/>
      <c r="M81" s="3"/>
    </row>
    <row r="82" spans="7:13">
      <c r="G82" s="31">
        <v>44348</v>
      </c>
      <c r="H82" s="35">
        <v>1.9937297079995946</v>
      </c>
      <c r="I82" s="35">
        <v>1.7328237987500561</v>
      </c>
      <c r="J82" s="35">
        <v>1.8913075579644685</v>
      </c>
      <c r="K82" s="104">
        <f t="shared" si="5"/>
        <v>2021</v>
      </c>
      <c r="L82" s="3"/>
      <c r="M82" s="3"/>
    </row>
    <row r="83" spans="7:13">
      <c r="G83" s="31">
        <v>44378</v>
      </c>
      <c r="H83" s="35">
        <v>2.1818063581060532</v>
      </c>
      <c r="I83" s="35">
        <v>1.8886851282113832</v>
      </c>
      <c r="J83" s="35">
        <v>2.0147643480879256</v>
      </c>
      <c r="K83" s="104">
        <f t="shared" si="5"/>
        <v>2021</v>
      </c>
      <c r="L83" s="3"/>
      <c r="M83" s="3"/>
    </row>
    <row r="84" spans="7:13">
      <c r="G84" s="31">
        <v>44409</v>
      </c>
      <c r="H84" s="35">
        <v>2.194479986819426</v>
      </c>
      <c r="I84" s="35">
        <v>1.9152488697441612</v>
      </c>
      <c r="J84" s="35">
        <v>2.0248014854963365</v>
      </c>
      <c r="K84" s="104">
        <f t="shared" si="5"/>
        <v>2021</v>
      </c>
      <c r="L84" s="3"/>
      <c r="M84" s="3"/>
    </row>
    <row r="85" spans="7:13">
      <c r="G85" s="31">
        <v>44440</v>
      </c>
      <c r="H85" s="35">
        <v>2.1767369066207034</v>
      </c>
      <c r="I85" s="35">
        <v>1.9203752058294339</v>
      </c>
      <c r="J85" s="35">
        <v>2.0373479072568506</v>
      </c>
      <c r="K85" s="104">
        <f t="shared" si="5"/>
        <v>2021</v>
      </c>
      <c r="L85" s="3"/>
      <c r="M85" s="3"/>
    </row>
    <row r="86" spans="7:13">
      <c r="G86" s="31">
        <v>44470</v>
      </c>
      <c r="H86" s="35">
        <v>2.1321257335496302</v>
      </c>
      <c r="I86" s="35">
        <v>1.9557417467005589</v>
      </c>
      <c r="J86" s="35">
        <v>2.0534073271103082</v>
      </c>
      <c r="K86" s="104">
        <f t="shared" si="5"/>
        <v>2021</v>
      </c>
      <c r="L86" s="3"/>
      <c r="M86" s="3"/>
    </row>
    <row r="87" spans="7:13">
      <c r="G87" s="31">
        <v>44501</v>
      </c>
      <c r="H87" s="35">
        <v>2.2537925691980125</v>
      </c>
      <c r="I87" s="35">
        <v>2.3712856566431348</v>
      </c>
      <c r="J87" s="35">
        <v>2.1462508481381106</v>
      </c>
      <c r="K87" s="104">
        <f t="shared" si="5"/>
        <v>2021</v>
      </c>
      <c r="L87" s="3"/>
      <c r="M87" s="3"/>
    </row>
    <row r="88" spans="7:13">
      <c r="G88" s="31">
        <v>44531</v>
      </c>
      <c r="H88" s="35">
        <v>2.5148693206935011</v>
      </c>
      <c r="I88" s="35">
        <v>2.6812995368706982</v>
      </c>
      <c r="J88" s="35">
        <v>2.417253558165211</v>
      </c>
      <c r="K88" s="104">
        <f t="shared" si="5"/>
        <v>2021</v>
      </c>
      <c r="L88" s="3"/>
      <c r="M88" s="3"/>
    </row>
    <row r="89" spans="7:13">
      <c r="G89" s="31">
        <v>44562</v>
      </c>
      <c r="H89" s="35">
        <v>2.6441403335699079</v>
      </c>
      <c r="I89" s="35">
        <v>2.7434369439649156</v>
      </c>
      <c r="J89" s="35">
        <v>2.4975506574324999</v>
      </c>
      <c r="K89" s="104">
        <f t="shared" si="5"/>
        <v>2022</v>
      </c>
      <c r="L89" s="3"/>
      <c r="M89" s="3"/>
    </row>
    <row r="90" spans="7:13">
      <c r="G90" s="31">
        <v>44593</v>
      </c>
      <c r="H90" s="35">
        <v>2.5985152702017644</v>
      </c>
      <c r="I90" s="35">
        <v>2.6230457177198701</v>
      </c>
      <c r="J90" s="35">
        <v>2.4925320887282947</v>
      </c>
      <c r="K90" s="104">
        <f t="shared" si="5"/>
        <v>2022</v>
      </c>
      <c r="L90" s="3"/>
      <c r="M90" s="3"/>
    </row>
    <row r="91" spans="7:13">
      <c r="G91" s="31">
        <v>44621</v>
      </c>
      <c r="H91" s="35">
        <v>2.3470704765284394</v>
      </c>
      <c r="I91" s="35">
        <v>2.3785350208041263</v>
      </c>
      <c r="J91" s="35">
        <v>2.2636853558165209</v>
      </c>
      <c r="K91" s="104">
        <f t="shared" si="5"/>
        <v>2022</v>
      </c>
      <c r="L91" s="3"/>
      <c r="M91" s="3"/>
    </row>
    <row r="92" spans="7:13">
      <c r="G92" s="31">
        <v>44652</v>
      </c>
      <c r="H92" s="35">
        <v>1.984604695325966</v>
      </c>
      <c r="I92" s="35">
        <v>1.7959968292958433</v>
      </c>
      <c r="J92" s="35">
        <v>1.9249319682826458</v>
      </c>
      <c r="K92" s="104">
        <f t="shared" si="5"/>
        <v>2022</v>
      </c>
      <c r="L92" s="3"/>
      <c r="M92" s="3"/>
    </row>
    <row r="93" spans="7:13">
      <c r="G93" s="31">
        <v>44682</v>
      </c>
      <c r="H93" s="35">
        <v>2.1562563226198921</v>
      </c>
      <c r="I93" s="35">
        <v>1.956104214908609</v>
      </c>
      <c r="J93" s="35">
        <v>2.0346378801565792</v>
      </c>
      <c r="K93" s="104">
        <f t="shared" si="5"/>
        <v>2022</v>
      </c>
      <c r="L93" s="3"/>
      <c r="M93" s="3"/>
    </row>
    <row r="94" spans="7:13">
      <c r="G94" s="31">
        <v>44713</v>
      </c>
      <c r="H94" s="35">
        <v>2.1796771884822062</v>
      </c>
      <c r="I94" s="35">
        <v>1.9771791521480639</v>
      </c>
      <c r="J94" s="35">
        <v>2.0753886580347287</v>
      </c>
      <c r="K94" s="104">
        <f t="shared" si="5"/>
        <v>2022</v>
      </c>
      <c r="L94" s="3"/>
      <c r="M94" s="3"/>
    </row>
    <row r="95" spans="7:13">
      <c r="G95" s="31">
        <v>44743</v>
      </c>
      <c r="H95" s="35">
        <v>2.3048926401703338</v>
      </c>
      <c r="I95" s="35">
        <v>2.1091693610506965</v>
      </c>
      <c r="J95" s="35">
        <v>2.1366151962260362</v>
      </c>
      <c r="K95" s="104">
        <f t="shared" si="5"/>
        <v>2022</v>
      </c>
      <c r="L95" s="3"/>
      <c r="M95" s="3"/>
    </row>
    <row r="96" spans="7:13">
      <c r="G96" s="31">
        <v>44774</v>
      </c>
      <c r="H96" s="35">
        <v>2.3236496106661257</v>
      </c>
      <c r="I96" s="35">
        <v>2.1383221612123999</v>
      </c>
      <c r="J96" s="35">
        <v>2.1526746160794943</v>
      </c>
      <c r="K96" s="104">
        <f t="shared" si="5"/>
        <v>2022</v>
      </c>
      <c r="L96" s="3"/>
      <c r="M96" s="3"/>
    </row>
    <row r="97" spans="7:13">
      <c r="G97" s="31">
        <v>44805</v>
      </c>
      <c r="H97" s="35">
        <v>2.3210134958937441</v>
      </c>
      <c r="I97" s="35">
        <v>2.1091175798781179</v>
      </c>
      <c r="J97" s="35">
        <v>2.1801763725785408</v>
      </c>
      <c r="K97" s="104">
        <f t="shared" si="5"/>
        <v>2022</v>
      </c>
      <c r="L97" s="3"/>
      <c r="M97" s="3"/>
    </row>
    <row r="98" spans="7:13">
      <c r="G98" s="31">
        <v>44835</v>
      </c>
      <c r="H98" s="35">
        <v>2.2987079093582077</v>
      </c>
      <c r="I98" s="35">
        <v>2.1299853924272591</v>
      </c>
      <c r="J98" s="35">
        <v>2.2183174947305027</v>
      </c>
      <c r="K98" s="104">
        <f t="shared" si="5"/>
        <v>2022</v>
      </c>
      <c r="L98" s="3"/>
      <c r="M98" s="3"/>
    </row>
    <row r="99" spans="7:13">
      <c r="G99" s="31">
        <v>44866</v>
      </c>
      <c r="H99" s="35">
        <v>2.4714748159789108</v>
      </c>
      <c r="I99" s="35">
        <v>2.5379174700007932</v>
      </c>
      <c r="J99" s="35">
        <v>2.3617481882966977</v>
      </c>
      <c r="K99" s="104">
        <f t="shared" si="5"/>
        <v>2022</v>
      </c>
      <c r="L99" s="3"/>
      <c r="M99" s="3"/>
    </row>
    <row r="100" spans="7:13">
      <c r="G100" s="31">
        <v>44896</v>
      </c>
      <c r="H100" s="35">
        <v>2.6891570627598096</v>
      </c>
      <c r="I100" s="35">
        <v>2.8963467465892672</v>
      </c>
      <c r="J100" s="35">
        <v>2.589791950215798</v>
      </c>
      <c r="K100" s="104">
        <f t="shared" si="5"/>
        <v>2022</v>
      </c>
      <c r="L100" s="3"/>
      <c r="M100" s="3"/>
    </row>
    <row r="101" spans="7:13">
      <c r="G101" s="31">
        <v>44927</v>
      </c>
      <c r="H101" s="35">
        <v>2.7437043607421678</v>
      </c>
      <c r="I101" s="35">
        <v>2.8865601049719278</v>
      </c>
      <c r="J101" s="35">
        <v>2.5961153467830971</v>
      </c>
      <c r="K101" s="104">
        <f t="shared" si="5"/>
        <v>2023</v>
      </c>
      <c r="L101" s="3"/>
      <c r="M101" s="3"/>
    </row>
    <row r="102" spans="7:13">
      <c r="G102" s="31">
        <v>44958</v>
      </c>
      <c r="H102" s="35">
        <v>2.6954431826016423</v>
      </c>
      <c r="I102" s="35">
        <v>2.7059473750180709</v>
      </c>
      <c r="J102" s="35">
        <v>2.5884871223527051</v>
      </c>
      <c r="K102" s="104">
        <f t="shared" si="5"/>
        <v>2023</v>
      </c>
      <c r="L102" s="3"/>
      <c r="M102" s="3"/>
    </row>
    <row r="103" spans="7:13">
      <c r="G103" s="31">
        <v>44986</v>
      </c>
      <c r="H103" s="35">
        <v>2.5314971215654469</v>
      </c>
      <c r="I103" s="35">
        <v>2.4958711578670396</v>
      </c>
      <c r="J103" s="35">
        <v>2.4462608852755192</v>
      </c>
      <c r="K103" s="104">
        <f t="shared" si="5"/>
        <v>2023</v>
      </c>
      <c r="L103" s="3"/>
      <c r="M103" s="3"/>
    </row>
    <row r="104" spans="7:13">
      <c r="G104" s="31">
        <v>45017</v>
      </c>
      <c r="H104" s="35">
        <v>2.3056023633782821</v>
      </c>
      <c r="I104" s="35">
        <v>2.1948154204955586</v>
      </c>
      <c r="J104" s="35">
        <v>2.2427077386329421</v>
      </c>
      <c r="K104" s="104">
        <f t="shared" si="5"/>
        <v>2023</v>
      </c>
      <c r="L104" s="3"/>
      <c r="M104" s="3"/>
    </row>
    <row r="105" spans="7:13">
      <c r="G105" s="31">
        <v>45047</v>
      </c>
      <c r="H105" s="35">
        <v>2.3532552073405655</v>
      </c>
      <c r="I105" s="35">
        <v>2.2152172024914933</v>
      </c>
      <c r="J105" s="35">
        <v>2.229659460002007</v>
      </c>
      <c r="K105" s="104">
        <f t="shared" si="5"/>
        <v>2023</v>
      </c>
      <c r="L105" s="3"/>
      <c r="M105" s="3"/>
    </row>
    <row r="106" spans="7:13">
      <c r="G106" s="31">
        <v>45078</v>
      </c>
      <c r="H106" s="35">
        <v>2.3657260579945252</v>
      </c>
      <c r="I106" s="35">
        <v>2.2215862867186504</v>
      </c>
      <c r="J106" s="35">
        <v>2.2595701294790724</v>
      </c>
      <c r="K106" s="104">
        <f t="shared" si="5"/>
        <v>2023</v>
      </c>
      <c r="L106" s="3"/>
      <c r="M106" s="3"/>
    </row>
    <row r="107" spans="7:13">
      <c r="G107" s="31">
        <v>45108</v>
      </c>
      <c r="H107" s="35">
        <v>2.427877533204907</v>
      </c>
      <c r="I107" s="35">
        <v>2.3296535938900091</v>
      </c>
      <c r="J107" s="35">
        <v>2.2583656729900627</v>
      </c>
      <c r="K107" s="104">
        <f t="shared" si="5"/>
        <v>2023</v>
      </c>
      <c r="L107" s="3"/>
      <c r="M107" s="3"/>
    </row>
    <row r="108" spans="7:13">
      <c r="G108" s="31">
        <v>45139</v>
      </c>
      <c r="H108" s="35">
        <v>2.4528192345128255</v>
      </c>
      <c r="I108" s="35">
        <v>2.3613954526806382</v>
      </c>
      <c r="J108" s="35">
        <v>2.2805477466626516</v>
      </c>
      <c r="K108" s="104">
        <f t="shared" si="5"/>
        <v>2023</v>
      </c>
      <c r="L108" s="3"/>
      <c r="M108" s="3"/>
    </row>
    <row r="109" spans="7:13">
      <c r="G109" s="31">
        <v>45170</v>
      </c>
      <c r="H109" s="35">
        <v>2.4652900851667847</v>
      </c>
      <c r="I109" s="35">
        <v>2.2978599539268019</v>
      </c>
      <c r="J109" s="35">
        <v>2.3230048379002306</v>
      </c>
      <c r="K109" s="104">
        <f t="shared" si="5"/>
        <v>2023</v>
      </c>
      <c r="L109" s="3"/>
      <c r="M109" s="3"/>
    </row>
    <row r="110" spans="7:13">
      <c r="G110" s="31">
        <v>45200</v>
      </c>
      <c r="H110" s="35">
        <v>2.4652900851667847</v>
      </c>
      <c r="I110" s="35">
        <v>2.304229038153959</v>
      </c>
      <c r="J110" s="35">
        <v>2.3832276623506972</v>
      </c>
      <c r="K110" s="104">
        <f t="shared" si="5"/>
        <v>2023</v>
      </c>
      <c r="L110" s="3"/>
      <c r="M110" s="3"/>
    </row>
    <row r="111" spans="7:13">
      <c r="G111" s="31">
        <v>45231</v>
      </c>
      <c r="H111" s="35">
        <v>2.6892584517895162</v>
      </c>
      <c r="I111" s="35">
        <v>2.7046528457036083</v>
      </c>
      <c r="J111" s="35">
        <v>2.5773458998293686</v>
      </c>
      <c r="K111" s="104">
        <f t="shared" si="5"/>
        <v>2023</v>
      </c>
      <c r="L111" s="3"/>
      <c r="M111" s="3"/>
    </row>
    <row r="112" spans="7:13">
      <c r="G112" s="31">
        <v>45261</v>
      </c>
      <c r="H112" s="35">
        <v>2.8634448048261181</v>
      </c>
      <c r="I112" s="35">
        <v>3.1113939563078361</v>
      </c>
      <c r="J112" s="35">
        <v>2.7623303422663854</v>
      </c>
      <c r="K112" s="104">
        <f t="shared" si="5"/>
        <v>2023</v>
      </c>
      <c r="L112" s="3"/>
      <c r="M112" s="3"/>
    </row>
    <row r="113" spans="7:13">
      <c r="G113" s="31">
        <v>45292</v>
      </c>
      <c r="H113" s="35">
        <v>2.8432683879144274</v>
      </c>
      <c r="I113" s="35">
        <v>3.0296314848063624</v>
      </c>
      <c r="J113" s="35">
        <v>2.6946800361336947</v>
      </c>
      <c r="K113" s="104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2.792269705971814</v>
      </c>
      <c r="I114" s="35">
        <v>2.7888490323162722</v>
      </c>
      <c r="J114" s="35">
        <v>2.6843417846030313</v>
      </c>
      <c r="K114" s="104">
        <f t="shared" si="6"/>
        <v>2024</v>
      </c>
      <c r="L114" s="3"/>
      <c r="M114" s="3"/>
    </row>
    <row r="115" spans="7:13">
      <c r="G115" s="31">
        <v>45352</v>
      </c>
      <c r="H115" s="35">
        <v>2.7158223775727466</v>
      </c>
      <c r="I115" s="35">
        <v>2.6131037325847952</v>
      </c>
      <c r="J115" s="35">
        <v>2.6287360433604334</v>
      </c>
      <c r="K115" s="104">
        <f t="shared" si="6"/>
        <v>2024</v>
      </c>
      <c r="L115" s="3"/>
      <c r="M115" s="3"/>
    </row>
    <row r="116" spans="7:13">
      <c r="G116" s="31">
        <v>45383</v>
      </c>
      <c r="H116" s="35">
        <v>2.6266000314305993</v>
      </c>
      <c r="I116" s="35">
        <v>2.5935822305226957</v>
      </c>
      <c r="J116" s="35">
        <v>2.5604835089832378</v>
      </c>
      <c r="K116" s="104">
        <f t="shared" si="6"/>
        <v>2024</v>
      </c>
      <c r="L116" s="3"/>
      <c r="M116" s="3"/>
    </row>
    <row r="117" spans="7:13">
      <c r="G117" s="31">
        <v>45413</v>
      </c>
      <c r="H117" s="35">
        <v>2.6521500669167595</v>
      </c>
      <c r="I117" s="35">
        <v>2.6196281603296878</v>
      </c>
      <c r="J117" s="35">
        <v>2.5255542708019671</v>
      </c>
      <c r="K117" s="104">
        <f t="shared" si="6"/>
        <v>2024</v>
      </c>
      <c r="L117" s="3"/>
      <c r="M117" s="3"/>
    </row>
    <row r="118" spans="7:13">
      <c r="G118" s="31">
        <v>45444</v>
      </c>
      <c r="H118" s="35">
        <v>2.6648236956301328</v>
      </c>
      <c r="I118" s="35">
        <v>2.6000548770950096</v>
      </c>
      <c r="J118" s="35">
        <v>2.5556656830272004</v>
      </c>
      <c r="K118" s="104">
        <f t="shared" si="6"/>
        <v>2024</v>
      </c>
      <c r="L118" s="3"/>
      <c r="M118" s="3"/>
    </row>
    <row r="119" spans="7:13">
      <c r="G119" s="31">
        <v>45474</v>
      </c>
      <c r="H119" s="35">
        <v>2.792269705971814</v>
      </c>
      <c r="I119" s="35">
        <v>2.7692757490815936</v>
      </c>
      <c r="J119" s="35">
        <v>2.619100391448359</v>
      </c>
      <c r="K119" s="104">
        <f t="shared" si="6"/>
        <v>2024</v>
      </c>
      <c r="L119" s="3"/>
      <c r="M119" s="3"/>
    </row>
    <row r="120" spans="7:13">
      <c r="G120" s="31">
        <v>45505</v>
      </c>
      <c r="H120" s="35">
        <v>2.8304933701713475</v>
      </c>
      <c r="I120" s="35">
        <v>2.8213676086955788</v>
      </c>
      <c r="J120" s="35">
        <v>2.6544311151259659</v>
      </c>
      <c r="K120" s="104">
        <f t="shared" si="6"/>
        <v>2024</v>
      </c>
      <c r="L120" s="3"/>
      <c r="M120" s="3"/>
    </row>
    <row r="121" spans="7:13">
      <c r="G121" s="31">
        <v>45536</v>
      </c>
      <c r="H121" s="35">
        <v>2.8432683879144274</v>
      </c>
      <c r="I121" s="35">
        <v>2.7563304559369648</v>
      </c>
      <c r="J121" s="35">
        <v>2.6971893204857973</v>
      </c>
      <c r="K121" s="104">
        <f t="shared" si="6"/>
        <v>2024</v>
      </c>
      <c r="L121" s="3"/>
      <c r="M121" s="3"/>
    </row>
    <row r="122" spans="7:13">
      <c r="G122" s="31">
        <v>45566</v>
      </c>
      <c r="H122" s="35">
        <v>2.8814920521139613</v>
      </c>
      <c r="I122" s="35">
        <v>2.8148431809506862</v>
      </c>
      <c r="J122" s="35">
        <v>2.7952521529659742</v>
      </c>
      <c r="K122" s="104">
        <f t="shared" si="6"/>
        <v>2024</v>
      </c>
      <c r="L122" s="3"/>
      <c r="M122" s="3"/>
    </row>
    <row r="123" spans="7:13">
      <c r="G123" s="31">
        <v>45597</v>
      </c>
      <c r="H123" s="35">
        <v>3.0217130801987224</v>
      </c>
      <c r="I123" s="35">
        <v>3.1272389951168615</v>
      </c>
      <c r="J123" s="35">
        <v>2.906463635451169</v>
      </c>
      <c r="K123" s="104">
        <f t="shared" si="6"/>
        <v>2024</v>
      </c>
      <c r="L123" s="3"/>
      <c r="M123" s="3"/>
    </row>
    <row r="124" spans="7:13">
      <c r="G124" s="31">
        <v>45627</v>
      </c>
      <c r="H124" s="35">
        <v>3.2000563834533104</v>
      </c>
      <c r="I124" s="35">
        <v>3.4917266688970221</v>
      </c>
      <c r="J124" s="35">
        <v>3.0955633042256347</v>
      </c>
      <c r="K124" s="104">
        <f t="shared" si="6"/>
        <v>2024</v>
      </c>
      <c r="L124" s="3"/>
      <c r="M124" s="3"/>
    </row>
    <row r="125" spans="7:13">
      <c r="G125" s="31">
        <v>45658</v>
      </c>
      <c r="H125" s="35">
        <v>3.2087758400081108</v>
      </c>
      <c r="I125" s="35">
        <v>3.4585867184467736</v>
      </c>
      <c r="J125" s="35">
        <v>3.0565188397069156</v>
      </c>
      <c r="K125" s="104">
        <f t="shared" si="6"/>
        <v>2025</v>
      </c>
      <c r="L125" s="3"/>
      <c r="M125" s="3"/>
    </row>
    <row r="126" spans="7:13">
      <c r="G126" s="31">
        <v>45689</v>
      </c>
      <c r="H126" s="35">
        <v>3.1956966551759103</v>
      </c>
      <c r="I126" s="35">
        <v>3.265546507074073</v>
      </c>
      <c r="J126" s="35">
        <v>3.0837194820837097</v>
      </c>
      <c r="K126" s="104">
        <f t="shared" si="6"/>
        <v>2025</v>
      </c>
      <c r="L126" s="3"/>
      <c r="M126" s="3"/>
    </row>
    <row r="127" spans="7:13">
      <c r="G127" s="31">
        <v>45717</v>
      </c>
      <c r="H127" s="35">
        <v>3.0783895478049277</v>
      </c>
      <c r="I127" s="35">
        <v>3.0258514592081314</v>
      </c>
      <c r="J127" s="35">
        <v>2.9876640770852152</v>
      </c>
      <c r="K127" s="104">
        <f t="shared" si="6"/>
        <v>2025</v>
      </c>
      <c r="L127" s="3"/>
      <c r="M127" s="3"/>
    </row>
    <row r="128" spans="7:13">
      <c r="G128" s="31">
        <v>45748</v>
      </c>
      <c r="H128" s="35">
        <v>3.0131964017033357</v>
      </c>
      <c r="I128" s="35">
        <v>2.9326453485668056</v>
      </c>
      <c r="J128" s="35">
        <v>2.9431995583659538</v>
      </c>
      <c r="K128" s="104">
        <f t="shared" si="6"/>
        <v>2025</v>
      </c>
      <c r="L128" s="3"/>
      <c r="M128" s="3"/>
    </row>
    <row r="129" spans="7:13">
      <c r="G129" s="31">
        <v>45778</v>
      </c>
      <c r="H129" s="35">
        <v>3.0131964017033357</v>
      </c>
      <c r="I129" s="35">
        <v>2.9127095971240777</v>
      </c>
      <c r="J129" s="35">
        <v>2.8829767339154873</v>
      </c>
      <c r="K129" s="104">
        <f t="shared" si="6"/>
        <v>2025</v>
      </c>
      <c r="L129" s="3"/>
      <c r="M129" s="3"/>
    </row>
    <row r="130" spans="7:13">
      <c r="G130" s="31">
        <v>45809</v>
      </c>
      <c r="H130" s="35">
        <v>3.0131964017033357</v>
      </c>
      <c r="I130" s="35">
        <v>2.9326453485668056</v>
      </c>
      <c r="J130" s="35">
        <v>2.9005417243802065</v>
      </c>
      <c r="K130" s="104">
        <f t="shared" si="6"/>
        <v>2025</v>
      </c>
      <c r="L130" s="3"/>
      <c r="M130" s="3"/>
    </row>
    <row r="131" spans="7:13">
      <c r="G131" s="31">
        <v>45839</v>
      </c>
      <c r="H131" s="35">
        <v>3.1696396745412145</v>
      </c>
      <c r="I131" s="35">
        <v>3.0857622758814718</v>
      </c>
      <c r="J131" s="35">
        <v>2.9926826457894209</v>
      </c>
      <c r="K131" s="104">
        <f t="shared" si="6"/>
        <v>2025</v>
      </c>
      <c r="L131" s="3"/>
      <c r="M131" s="3"/>
    </row>
    <row r="132" spans="7:13">
      <c r="G132" s="31">
        <v>45870</v>
      </c>
      <c r="H132" s="35">
        <v>3.1956966551759103</v>
      </c>
      <c r="I132" s="35">
        <v>3.1123777985868277</v>
      </c>
      <c r="J132" s="35">
        <v>3.0159688045769348</v>
      </c>
      <c r="K132" s="104">
        <f t="shared" si="6"/>
        <v>2025</v>
      </c>
      <c r="L132" s="3"/>
      <c r="M132" s="3"/>
    </row>
    <row r="133" spans="7:13">
      <c r="G133" s="31">
        <v>45901</v>
      </c>
      <c r="H133" s="35">
        <v>3.2087758400081108</v>
      </c>
      <c r="I133" s="35">
        <v>3.0524669819134873</v>
      </c>
      <c r="J133" s="35">
        <v>3.0590281240590182</v>
      </c>
      <c r="K133" s="104">
        <f t="shared" si="6"/>
        <v>2025</v>
      </c>
      <c r="L133" s="3"/>
      <c r="M133" s="3"/>
    </row>
    <row r="134" spans="7:13">
      <c r="G134" s="31">
        <v>45931</v>
      </c>
      <c r="H134" s="35">
        <v>3.1827188593734159</v>
      </c>
      <c r="I134" s="35">
        <v>3.0724545145287938</v>
      </c>
      <c r="J134" s="35">
        <v>3.0934555053698687</v>
      </c>
      <c r="K134" s="104">
        <f t="shared" si="6"/>
        <v>2025</v>
      </c>
      <c r="L134" s="3"/>
      <c r="M134" s="3"/>
    </row>
    <row r="135" spans="7:13">
      <c r="G135" s="31">
        <v>45962</v>
      </c>
      <c r="H135" s="35">
        <v>3.3912760934806854</v>
      </c>
      <c r="I135" s="35">
        <v>3.4385991858314666</v>
      </c>
      <c r="J135" s="35">
        <v>3.2723172939877547</v>
      </c>
      <c r="K135" s="104">
        <f t="shared" si="6"/>
        <v>2025</v>
      </c>
      <c r="L135" s="3"/>
      <c r="M135" s="3"/>
    </row>
    <row r="136" spans="7:13">
      <c r="G136" s="31">
        <v>45992</v>
      </c>
      <c r="H136" s="35">
        <v>3.57377634695326</v>
      </c>
      <c r="I136" s="35">
        <v>3.8115271907419253</v>
      </c>
      <c r="J136" s="35">
        <v>3.4655321890996684</v>
      </c>
      <c r="K136" s="104">
        <f t="shared" si="6"/>
        <v>2025</v>
      </c>
      <c r="L136" s="3"/>
      <c r="M136" s="3"/>
    </row>
    <row r="137" spans="7:13">
      <c r="G137" s="31">
        <v>46023</v>
      </c>
      <c r="H137" s="35">
        <v>3.5762096836662272</v>
      </c>
      <c r="I137" s="35">
        <v>3.7763159933885353</v>
      </c>
      <c r="J137" s="35">
        <v>3.4202646993877348</v>
      </c>
      <c r="K137" s="104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3.5495443688532902</v>
      </c>
      <c r="I138" s="35">
        <v>3.5652041527859337</v>
      </c>
      <c r="J138" s="35">
        <v>3.4340155776372576</v>
      </c>
      <c r="K138" s="104">
        <f t="shared" si="7"/>
        <v>2026</v>
      </c>
      <c r="L138" s="3"/>
      <c r="M138" s="3"/>
    </row>
    <row r="139" spans="7:13">
      <c r="G139" s="31">
        <v>46082</v>
      </c>
      <c r="H139" s="35">
        <v>3.3495038132414074</v>
      </c>
      <c r="I139" s="35">
        <v>3.3200203006266693</v>
      </c>
      <c r="J139" s="35">
        <v>3.2560571313861284</v>
      </c>
      <c r="K139" s="104">
        <f t="shared" si="7"/>
        <v>2026</v>
      </c>
      <c r="L139" s="3"/>
      <c r="M139" s="3"/>
    </row>
    <row r="140" spans="7:13">
      <c r="G140" s="31">
        <v>46113</v>
      </c>
      <c r="H140" s="35">
        <v>3.2161772391767212</v>
      </c>
      <c r="I140" s="35">
        <v>3.1974024839607482</v>
      </c>
      <c r="J140" s="35">
        <v>3.1441430492823446</v>
      </c>
      <c r="K140" s="104">
        <f t="shared" si="7"/>
        <v>2026</v>
      </c>
      <c r="L140" s="3"/>
      <c r="M140" s="3"/>
    </row>
    <row r="141" spans="7:13">
      <c r="G141" s="31">
        <v>46143</v>
      </c>
      <c r="H141" s="35">
        <v>3.2027938872553987</v>
      </c>
      <c r="I141" s="35">
        <v>3.1633304724040858</v>
      </c>
      <c r="J141" s="35">
        <v>3.0706712034527754</v>
      </c>
      <c r="K141" s="104">
        <f t="shared" si="7"/>
        <v>2026</v>
      </c>
      <c r="L141" s="3"/>
      <c r="M141" s="3"/>
    </row>
    <row r="142" spans="7:13">
      <c r="G142" s="31">
        <v>46174</v>
      </c>
      <c r="H142" s="35">
        <v>3.2161772391767212</v>
      </c>
      <c r="I142" s="35">
        <v>3.1973507027881696</v>
      </c>
      <c r="J142" s="35">
        <v>3.1014852152965973</v>
      </c>
      <c r="K142" s="104">
        <f t="shared" si="7"/>
        <v>2026</v>
      </c>
      <c r="L142" s="3"/>
      <c r="M142" s="3"/>
    </row>
    <row r="143" spans="7:13">
      <c r="G143" s="31">
        <v>46204</v>
      </c>
      <c r="H143" s="35">
        <v>3.4028344428672819</v>
      </c>
      <c r="I143" s="35">
        <v>3.3472571974029677</v>
      </c>
      <c r="J143" s="35">
        <v>3.2235368061828766</v>
      </c>
      <c r="K143" s="104">
        <f t="shared" si="7"/>
        <v>2026</v>
      </c>
      <c r="L143" s="3"/>
      <c r="M143" s="3"/>
    </row>
    <row r="144" spans="7:13">
      <c r="G144" s="31">
        <v>46235</v>
      </c>
      <c r="H144" s="35">
        <v>3.4028344428672819</v>
      </c>
      <c r="I144" s="35">
        <v>3.3608238646185384</v>
      </c>
      <c r="J144" s="35">
        <v>3.221027521830774</v>
      </c>
      <c r="K144" s="104">
        <f t="shared" si="7"/>
        <v>2026</v>
      </c>
      <c r="L144" s="3"/>
      <c r="M144" s="3"/>
    </row>
    <row r="145" spans="7:13">
      <c r="G145" s="31">
        <v>46266</v>
      </c>
      <c r="H145" s="35">
        <v>3.3761691280543444</v>
      </c>
      <c r="I145" s="35">
        <v>3.2654947259014939</v>
      </c>
      <c r="J145" s="35">
        <v>3.2247412626718859</v>
      </c>
      <c r="K145" s="104">
        <f t="shared" si="7"/>
        <v>2026</v>
      </c>
      <c r="L145" s="3"/>
      <c r="M145" s="3"/>
    </row>
    <row r="146" spans="7:13">
      <c r="G146" s="31">
        <v>46296</v>
      </c>
      <c r="H146" s="35">
        <v>3.3761691280543444</v>
      </c>
      <c r="I146" s="35">
        <v>3.2927316226777923</v>
      </c>
      <c r="J146" s="35">
        <v>3.2849640871223524</v>
      </c>
      <c r="K146" s="104">
        <f t="shared" si="7"/>
        <v>2026</v>
      </c>
      <c r="L146" s="3"/>
      <c r="M146" s="3"/>
    </row>
    <row r="147" spans="7:13">
      <c r="G147" s="31">
        <v>46327</v>
      </c>
      <c r="H147" s="35">
        <v>3.5762096836662272</v>
      </c>
      <c r="I147" s="35">
        <v>3.6741517398911272</v>
      </c>
      <c r="J147" s="35">
        <v>3.4553946803171733</v>
      </c>
      <c r="K147" s="104">
        <f t="shared" si="7"/>
        <v>2026</v>
      </c>
      <c r="L147" s="3"/>
      <c r="M147" s="3"/>
    </row>
    <row r="148" spans="7:13">
      <c r="G148" s="31">
        <v>46357</v>
      </c>
      <c r="H148" s="35">
        <v>3.7495849244651729</v>
      </c>
      <c r="I148" s="35">
        <v>4.0828087538807605</v>
      </c>
      <c r="J148" s="35">
        <v>3.6395761517615175</v>
      </c>
      <c r="K148" s="104">
        <f t="shared" si="7"/>
        <v>2026</v>
      </c>
      <c r="L148" s="3"/>
      <c r="M148" s="3"/>
    </row>
    <row r="149" spans="7:13">
      <c r="G149" s="31">
        <v>46388</v>
      </c>
      <c r="H149" s="35">
        <v>3.7678349498124302</v>
      </c>
      <c r="I149" s="35">
        <v>4.0371895408390897</v>
      </c>
      <c r="J149" s="35">
        <v>3.6099665964067045</v>
      </c>
      <c r="K149" s="104">
        <f t="shared" si="6"/>
        <v>2027</v>
      </c>
      <c r="L149" s="3"/>
      <c r="M149" s="3"/>
    </row>
    <row r="150" spans="7:13">
      <c r="G150" s="31">
        <v>46419</v>
      </c>
      <c r="H150" s="35">
        <v>3.7269751708405154</v>
      </c>
      <c r="I150" s="35">
        <v>3.8072293534179087</v>
      </c>
      <c r="J150" s="35">
        <v>3.6096654822844525</v>
      </c>
      <c r="K150" s="104">
        <f t="shared" si="6"/>
        <v>2027</v>
      </c>
      <c r="L150" s="3"/>
      <c r="M150" s="3"/>
    </row>
    <row r="151" spans="7:13">
      <c r="G151" s="31">
        <v>46447</v>
      </c>
      <c r="H151" s="35">
        <v>3.5495443688532902</v>
      </c>
      <c r="I151" s="35">
        <v>3.5215008431296679</v>
      </c>
      <c r="J151" s="35">
        <v>3.45408985245408</v>
      </c>
      <c r="K151" s="104">
        <f t="shared" si="6"/>
        <v>2027</v>
      </c>
      <c r="L151" s="3"/>
      <c r="M151" s="3"/>
    </row>
    <row r="152" spans="7:13">
      <c r="G152" s="31">
        <v>46478</v>
      </c>
      <c r="H152" s="35">
        <v>3.3586288259150359</v>
      </c>
      <c r="I152" s="35">
        <v>3.3334316243245041</v>
      </c>
      <c r="J152" s="35">
        <v>3.2851648298705207</v>
      </c>
      <c r="K152" s="104">
        <f t="shared" si="6"/>
        <v>2027</v>
      </c>
      <c r="L152" s="3"/>
      <c r="M152" s="3"/>
    </row>
    <row r="153" spans="7:13">
      <c r="G153" s="31">
        <v>46508</v>
      </c>
      <c r="H153" s="35">
        <v>3.3449413069045928</v>
      </c>
      <c r="I153" s="35">
        <v>3.3125120306027847</v>
      </c>
      <c r="J153" s="35">
        <v>3.2113918699186987</v>
      </c>
      <c r="K153" s="104">
        <f t="shared" si="6"/>
        <v>2027</v>
      </c>
      <c r="L153" s="3"/>
      <c r="M153" s="3"/>
    </row>
    <row r="154" spans="7:13">
      <c r="G154" s="31">
        <v>46539</v>
      </c>
      <c r="H154" s="35">
        <v>3.3449413069045928</v>
      </c>
      <c r="I154" s="35">
        <v>3.3125120306027851</v>
      </c>
      <c r="J154" s="35">
        <v>3.2289568603834184</v>
      </c>
      <c r="K154" s="104">
        <f t="shared" si="6"/>
        <v>2027</v>
      </c>
      <c r="L154" s="3"/>
      <c r="M154" s="3"/>
    </row>
    <row r="155" spans="7:13">
      <c r="G155" s="31">
        <v>46569</v>
      </c>
      <c r="H155" s="35">
        <v>3.5359582388725541</v>
      </c>
      <c r="I155" s="35">
        <v>3.5076234888786257</v>
      </c>
      <c r="J155" s="35">
        <v>3.3553244203553145</v>
      </c>
      <c r="K155" s="104">
        <f t="shared" si="6"/>
        <v>2027</v>
      </c>
      <c r="L155" s="3"/>
      <c r="M155" s="3"/>
    </row>
    <row r="156" spans="7:13">
      <c r="G156" s="31">
        <v>46600</v>
      </c>
      <c r="H156" s="35">
        <v>3.5359582388725541</v>
      </c>
      <c r="I156" s="35">
        <v>3.5076234888786257</v>
      </c>
      <c r="J156" s="35">
        <v>3.3528151360032119</v>
      </c>
      <c r="K156" s="104">
        <f t="shared" si="6"/>
        <v>2027</v>
      </c>
      <c r="L156" s="3"/>
      <c r="M156" s="3"/>
    </row>
    <row r="157" spans="7:13">
      <c r="G157" s="31">
        <v>46631</v>
      </c>
      <c r="H157" s="35">
        <v>3.4949970708709319</v>
      </c>
      <c r="I157" s="35">
        <v>3.3542994368736458</v>
      </c>
      <c r="J157" s="35">
        <v>3.342376513098464</v>
      </c>
      <c r="K157" s="104">
        <f t="shared" si="6"/>
        <v>2027</v>
      </c>
      <c r="L157" s="3"/>
      <c r="M157" s="3"/>
    </row>
    <row r="158" spans="7:13">
      <c r="G158" s="31">
        <v>46661</v>
      </c>
      <c r="H158" s="35">
        <v>3.4949970708709319</v>
      </c>
      <c r="I158" s="35">
        <v>3.423996895164326</v>
      </c>
      <c r="J158" s="35">
        <v>3.402599337548931</v>
      </c>
      <c r="K158" s="104">
        <f t="shared" si="6"/>
        <v>2027</v>
      </c>
      <c r="L158" s="3"/>
      <c r="M158" s="3"/>
    </row>
    <row r="159" spans="7:13">
      <c r="G159" s="31">
        <v>46692</v>
      </c>
      <c r="H159" s="35">
        <v>3.7132876518300724</v>
      </c>
      <c r="I159" s="35">
        <v>3.8281489471396286</v>
      </c>
      <c r="J159" s="35">
        <v>3.5910967780788918</v>
      </c>
      <c r="K159" s="104">
        <f t="shared" si="6"/>
        <v>2027</v>
      </c>
      <c r="L159" s="3"/>
      <c r="M159" s="3"/>
    </row>
    <row r="160" spans="7:13">
      <c r="G160" s="31">
        <v>46722</v>
      </c>
      <c r="H160" s="35">
        <v>3.8906170647875902</v>
      </c>
      <c r="I160" s="35">
        <v>4.2461783533659725</v>
      </c>
      <c r="J160" s="35">
        <v>3.7791927331125161</v>
      </c>
      <c r="K160" s="104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3.9284351728682956</v>
      </c>
      <c r="I161" s="35">
        <v>4.2194074871428811</v>
      </c>
      <c r="J161" s="35">
        <v>3.7689548529559369</v>
      </c>
      <c r="K161" s="104">
        <f t="shared" si="8"/>
        <v>2028</v>
      </c>
      <c r="L161" s="3"/>
      <c r="M161" s="3"/>
    </row>
    <row r="162" spans="7:13">
      <c r="G162" s="31">
        <v>46784</v>
      </c>
      <c r="H162" s="35">
        <v>3.8725698174997465</v>
      </c>
      <c r="I162" s="35">
        <v>3.9625728711534505</v>
      </c>
      <c r="J162" s="35">
        <v>3.7537987754692357</v>
      </c>
      <c r="K162" s="104">
        <f t="shared" si="8"/>
        <v>2028</v>
      </c>
      <c r="L162" s="3"/>
      <c r="M162" s="3"/>
    </row>
    <row r="163" spans="7:13">
      <c r="G163" s="31">
        <v>46813</v>
      </c>
      <c r="H163" s="35">
        <v>3.7188640484639564</v>
      </c>
      <c r="I163" s="35">
        <v>3.7128322758072771</v>
      </c>
      <c r="J163" s="35">
        <v>3.6217100471745458</v>
      </c>
      <c r="K163" s="104">
        <f t="shared" si="8"/>
        <v>2028</v>
      </c>
      <c r="L163" s="3"/>
      <c r="M163" s="3"/>
    </row>
    <row r="164" spans="7:13">
      <c r="G164" s="31">
        <v>46844</v>
      </c>
      <c r="H164" s="35">
        <v>3.5791499655277299</v>
      </c>
      <c r="I164" s="35">
        <v>3.5915607696283973</v>
      </c>
      <c r="J164" s="35">
        <v>3.5034725685034629</v>
      </c>
      <c r="K164" s="104">
        <f t="shared" si="8"/>
        <v>2028</v>
      </c>
      <c r="L164" s="3"/>
      <c r="M164" s="3"/>
    </row>
    <row r="165" spans="7:13">
      <c r="G165" s="31">
        <v>46874</v>
      </c>
      <c r="H165" s="35">
        <v>3.5651582794281658</v>
      </c>
      <c r="I165" s="35">
        <v>3.5772691659967273</v>
      </c>
      <c r="J165" s="35">
        <v>3.4293984944293885</v>
      </c>
      <c r="K165" s="104">
        <f t="shared" si="8"/>
        <v>2028</v>
      </c>
      <c r="L165" s="3"/>
      <c r="M165" s="3"/>
    </row>
    <row r="166" spans="7:13">
      <c r="G166" s="31">
        <v>46905</v>
      </c>
      <c r="H166" s="35">
        <v>3.5651582794281658</v>
      </c>
      <c r="I166" s="35">
        <v>3.5915607696283969</v>
      </c>
      <c r="J166" s="35">
        <v>3.4469634848941082</v>
      </c>
      <c r="K166" s="104">
        <f t="shared" si="8"/>
        <v>2028</v>
      </c>
      <c r="L166" s="3"/>
      <c r="M166" s="3"/>
    </row>
    <row r="167" spans="7:13">
      <c r="G167" s="31">
        <v>46935</v>
      </c>
      <c r="H167" s="35">
        <v>3.7887210899320691</v>
      </c>
      <c r="I167" s="35">
        <v>3.7556553055297086</v>
      </c>
      <c r="J167" s="35">
        <v>3.6055502559470036</v>
      </c>
      <c r="K167" s="104">
        <f t="shared" si="8"/>
        <v>2028</v>
      </c>
      <c r="L167" s="3"/>
      <c r="M167" s="3"/>
    </row>
    <row r="168" spans="7:13">
      <c r="G168" s="31">
        <v>46966</v>
      </c>
      <c r="H168" s="35">
        <v>3.8027127760316337</v>
      </c>
      <c r="I168" s="35">
        <v>3.7699469091613782</v>
      </c>
      <c r="J168" s="35">
        <v>3.6168922212185084</v>
      </c>
      <c r="K168" s="104">
        <f t="shared" si="8"/>
        <v>2028</v>
      </c>
      <c r="L168" s="3"/>
      <c r="M168" s="3"/>
    </row>
    <row r="169" spans="7:13">
      <c r="G169" s="31">
        <v>46997</v>
      </c>
      <c r="H169" s="35">
        <v>3.7887210899320691</v>
      </c>
      <c r="I169" s="35">
        <v>3.6771550479006812</v>
      </c>
      <c r="J169" s="35">
        <v>3.6331523838201347</v>
      </c>
      <c r="K169" s="104">
        <f t="shared" si="8"/>
        <v>2028</v>
      </c>
      <c r="L169" s="3"/>
      <c r="M169" s="3"/>
    </row>
    <row r="170" spans="7:13">
      <c r="G170" s="31">
        <v>47027</v>
      </c>
      <c r="H170" s="35">
        <v>3.7887210899320691</v>
      </c>
      <c r="I170" s="35">
        <v>3.7485095037138736</v>
      </c>
      <c r="J170" s="35">
        <v>3.6933752082706013</v>
      </c>
      <c r="K170" s="104">
        <f t="shared" si="8"/>
        <v>2028</v>
      </c>
      <c r="L170" s="3"/>
      <c r="M170" s="3"/>
    </row>
    <row r="171" spans="7:13">
      <c r="G171" s="31">
        <v>47058</v>
      </c>
      <c r="H171" s="35">
        <v>3.970308842137281</v>
      </c>
      <c r="I171" s="35">
        <v>4.1124275845956708</v>
      </c>
      <c r="J171" s="35">
        <v>3.8455382113821135</v>
      </c>
      <c r="K171" s="104">
        <f t="shared" si="8"/>
        <v>2028</v>
      </c>
      <c r="L171" s="3"/>
      <c r="M171" s="3"/>
    </row>
    <row r="172" spans="7:13">
      <c r="G172" s="31">
        <v>47088</v>
      </c>
      <c r="H172" s="35">
        <v>4.1798799665416198</v>
      </c>
      <c r="I172" s="35">
        <v>4.5618881625771728</v>
      </c>
      <c r="J172" s="35">
        <v>4.0655522633744861</v>
      </c>
      <c r="K172" s="104">
        <f t="shared" si="8"/>
        <v>2028</v>
      </c>
      <c r="L172" s="3"/>
      <c r="M172" s="3"/>
    </row>
    <row r="173" spans="7:13">
      <c r="G173" s="31">
        <v>47119</v>
      </c>
      <c r="H173" s="35">
        <v>4.2089786180675253</v>
      </c>
      <c r="I173" s="35">
        <v>4.5323211130348415</v>
      </c>
      <c r="J173" s="35">
        <v>4.0466824450466721</v>
      </c>
      <c r="K173" s="104">
        <f t="shared" si="8"/>
        <v>2029</v>
      </c>
      <c r="L173" s="3"/>
      <c r="M173" s="3"/>
    </row>
    <row r="174" spans="7:13">
      <c r="G174" s="31">
        <v>47150</v>
      </c>
      <c r="H174" s="35">
        <v>4.165989669471764</v>
      </c>
      <c r="I174" s="35">
        <v>4.3350866266832808</v>
      </c>
      <c r="J174" s="35">
        <v>4.0442735320686536</v>
      </c>
      <c r="K174" s="104">
        <f t="shared" si="8"/>
        <v>2029</v>
      </c>
      <c r="L174" s="3"/>
      <c r="M174" s="3"/>
    </row>
    <row r="175" spans="7:13">
      <c r="G175" s="31">
        <v>47178</v>
      </c>
      <c r="H175" s="35">
        <v>3.9800421889891515</v>
      </c>
      <c r="I175" s="35">
        <v>4.0281796168104282</v>
      </c>
      <c r="J175" s="35">
        <v>3.8802667068152163</v>
      </c>
      <c r="K175" s="104">
        <f t="shared" si="8"/>
        <v>2029</v>
      </c>
      <c r="L175" s="3"/>
      <c r="M175" s="3"/>
    </row>
    <row r="176" spans="7:13">
      <c r="G176" s="31">
        <v>47209</v>
      </c>
      <c r="H176" s="35">
        <v>3.708218200344723</v>
      </c>
      <c r="I176" s="35">
        <v>3.7578818959505846</v>
      </c>
      <c r="J176" s="35">
        <v>3.6312453277125365</v>
      </c>
      <c r="K176" s="104">
        <f t="shared" si="8"/>
        <v>2029</v>
      </c>
      <c r="L176" s="3"/>
      <c r="M176" s="3"/>
    </row>
    <row r="177" spans="7:13">
      <c r="G177" s="31">
        <v>47239</v>
      </c>
      <c r="H177" s="35">
        <v>3.6796264939673531</v>
      </c>
      <c r="I177" s="35">
        <v>3.743227824110865</v>
      </c>
      <c r="J177" s="35">
        <v>3.5427177757703503</v>
      </c>
      <c r="K177" s="104">
        <f t="shared" si="8"/>
        <v>2029</v>
      </c>
      <c r="L177" s="3"/>
      <c r="M177" s="3"/>
    </row>
    <row r="178" spans="7:13">
      <c r="G178" s="31">
        <v>47270</v>
      </c>
      <c r="H178" s="35">
        <v>3.6939223471560378</v>
      </c>
      <c r="I178" s="35">
        <v>3.7578818959505846</v>
      </c>
      <c r="J178" s="35">
        <v>3.5744351299809294</v>
      </c>
      <c r="K178" s="104">
        <f t="shared" si="8"/>
        <v>2029</v>
      </c>
      <c r="L178" s="3"/>
      <c r="M178" s="3"/>
    </row>
    <row r="179" spans="7:13">
      <c r="G179" s="31">
        <v>47300</v>
      </c>
      <c r="H179" s="35">
        <v>3.8942670698570416</v>
      </c>
      <c r="I179" s="35">
        <v>3.9040083649671518</v>
      </c>
      <c r="J179" s="35">
        <v>3.7100368563685637</v>
      </c>
      <c r="K179" s="104">
        <f t="shared" si="8"/>
        <v>2029</v>
      </c>
      <c r="L179" s="3"/>
      <c r="M179" s="3"/>
    </row>
    <row r="180" spans="7:13">
      <c r="G180" s="31">
        <v>47331</v>
      </c>
      <c r="H180" s="35">
        <v>3.9085629230457268</v>
      </c>
      <c r="I180" s="35">
        <v>3.9113095103007218</v>
      </c>
      <c r="J180" s="35">
        <v>3.7216799357623205</v>
      </c>
      <c r="K180" s="104">
        <f t="shared" si="8"/>
        <v>2029</v>
      </c>
      <c r="L180" s="3"/>
      <c r="M180" s="3"/>
    </row>
    <row r="181" spans="7:13">
      <c r="G181" s="31">
        <v>47362</v>
      </c>
      <c r="H181" s="35">
        <v>3.8512781212612794</v>
      </c>
      <c r="I181" s="35">
        <v>3.7651830412841552</v>
      </c>
      <c r="J181" s="35">
        <v>3.6950815216300308</v>
      </c>
      <c r="K181" s="104">
        <f t="shared" si="8"/>
        <v>2029</v>
      </c>
      <c r="L181" s="3"/>
      <c r="M181" s="3"/>
    </row>
    <row r="182" spans="7:13">
      <c r="G182" s="31">
        <v>47392</v>
      </c>
      <c r="H182" s="35">
        <v>3.8512781212612794</v>
      </c>
      <c r="I182" s="35">
        <v>3.845547421126009</v>
      </c>
      <c r="J182" s="35">
        <v>3.7553043460804978</v>
      </c>
      <c r="K182" s="104">
        <f t="shared" si="8"/>
        <v>2029</v>
      </c>
      <c r="L182" s="3"/>
      <c r="M182" s="3"/>
    </row>
    <row r="183" spans="7:13">
      <c r="G183" s="31">
        <v>47423</v>
      </c>
      <c r="H183" s="35">
        <v>4.0229297485552067</v>
      </c>
      <c r="I183" s="35">
        <v>4.1451015044927129</v>
      </c>
      <c r="J183" s="35">
        <v>3.8976309545317678</v>
      </c>
      <c r="K183" s="104">
        <f t="shared" si="8"/>
        <v>2029</v>
      </c>
      <c r="L183" s="3"/>
      <c r="M183" s="3"/>
    </row>
    <row r="184" spans="7:13">
      <c r="G184" s="31">
        <v>47453</v>
      </c>
      <c r="H184" s="35">
        <v>4.28045788401095</v>
      </c>
      <c r="I184" s="35">
        <v>4.5688786208752719</v>
      </c>
      <c r="J184" s="35">
        <v>4.1651206664659242</v>
      </c>
      <c r="K184" s="104">
        <f t="shared" si="8"/>
        <v>2029</v>
      </c>
      <c r="L184" s="3"/>
      <c r="M184" s="3"/>
    </row>
    <row r="185" spans="7:13">
      <c r="G185" s="31">
        <v>47484</v>
      </c>
      <c r="H185" s="35">
        <v>4.3206079397749164</v>
      </c>
      <c r="I185" s="35">
        <v>4.5541209866903953</v>
      </c>
      <c r="J185" s="35">
        <v>4.1571913279132788</v>
      </c>
      <c r="K185" s="104">
        <f t="shared" si="8"/>
        <v>2030</v>
      </c>
      <c r="L185" s="3"/>
      <c r="M185" s="3"/>
    </row>
    <row r="186" spans="7:13">
      <c r="G186" s="31">
        <v>47515</v>
      </c>
      <c r="H186" s="35">
        <v>4.2621064696339852</v>
      </c>
      <c r="I186" s="35">
        <v>4.3374167794493141</v>
      </c>
      <c r="J186" s="35">
        <v>4.1394255947003913</v>
      </c>
      <c r="K186" s="104">
        <f t="shared" si="8"/>
        <v>2030</v>
      </c>
      <c r="L186" s="3"/>
      <c r="M186" s="3"/>
    </row>
    <row r="187" spans="7:13">
      <c r="G187" s="31">
        <v>47543</v>
      </c>
      <c r="H187" s="35">
        <v>4.027999200040556</v>
      </c>
      <c r="I187" s="35">
        <v>4.0234675301057834</v>
      </c>
      <c r="J187" s="35">
        <v>3.9277423667570006</v>
      </c>
      <c r="K187" s="104">
        <f t="shared" si="8"/>
        <v>2030</v>
      </c>
      <c r="L187" s="3"/>
      <c r="M187" s="3"/>
    </row>
    <row r="188" spans="7:13">
      <c r="G188" s="31">
        <v>47574</v>
      </c>
      <c r="H188" s="35">
        <v>3.7352890712764881</v>
      </c>
      <c r="I188" s="35">
        <v>3.7693773162630144</v>
      </c>
      <c r="J188" s="35">
        <v>3.658044484592994</v>
      </c>
      <c r="K188" s="104">
        <f t="shared" si="8"/>
        <v>2030</v>
      </c>
      <c r="L188" s="3"/>
      <c r="M188" s="3"/>
    </row>
    <row r="189" spans="7:13">
      <c r="G189" s="31">
        <v>47604</v>
      </c>
      <c r="H189" s="35">
        <v>3.749889091554294</v>
      </c>
      <c r="I189" s="35">
        <v>3.8067115416921231</v>
      </c>
      <c r="J189" s="35">
        <v>3.6122751380106393</v>
      </c>
      <c r="K189" s="104">
        <f t="shared" si="8"/>
        <v>2030</v>
      </c>
      <c r="L189" s="3"/>
      <c r="M189" s="3"/>
    </row>
    <row r="190" spans="7:13">
      <c r="G190" s="31">
        <v>47635</v>
      </c>
      <c r="H190" s="35">
        <v>3.7937905414174184</v>
      </c>
      <c r="I190" s="35">
        <v>3.8515540371451165</v>
      </c>
      <c r="J190" s="35">
        <v>3.6733009334537789</v>
      </c>
      <c r="K190" s="104">
        <f t="shared" si="8"/>
        <v>2030</v>
      </c>
      <c r="L190" s="3"/>
      <c r="M190" s="3"/>
    </row>
    <row r="191" spans="7:13">
      <c r="G191" s="31">
        <v>47665</v>
      </c>
      <c r="H191" s="35">
        <v>4.0571992405961677</v>
      </c>
      <c r="I191" s="35">
        <v>4.0533452666835856</v>
      </c>
      <c r="J191" s="35">
        <v>3.8713336545217301</v>
      </c>
      <c r="K191" s="104">
        <f t="shared" si="8"/>
        <v>2030</v>
      </c>
      <c r="L191" s="3"/>
      <c r="M191" s="3"/>
    </row>
    <row r="192" spans="7:13">
      <c r="G192" s="31">
        <v>47696</v>
      </c>
      <c r="H192" s="35">
        <v>4.1158020997668059</v>
      </c>
      <c r="I192" s="35">
        <v>4.1206090098630757</v>
      </c>
      <c r="J192" s="35">
        <v>3.9268390243902438</v>
      </c>
      <c r="K192" s="104">
        <f t="shared" si="8"/>
        <v>2030</v>
      </c>
      <c r="L192" s="3"/>
      <c r="M192" s="3"/>
    </row>
    <row r="193" spans="7:13">
      <c r="G193" s="31">
        <v>47727</v>
      </c>
      <c r="H193" s="35">
        <v>4.0571992405961677</v>
      </c>
      <c r="I193" s="35">
        <v>3.9860815235040965</v>
      </c>
      <c r="J193" s="35">
        <v>3.8989357823948607</v>
      </c>
      <c r="K193" s="104">
        <f t="shared" si="8"/>
        <v>2030</v>
      </c>
      <c r="L193" s="3"/>
      <c r="M193" s="3"/>
    </row>
    <row r="194" spans="7:13">
      <c r="G194" s="31">
        <v>47757</v>
      </c>
      <c r="H194" s="35">
        <v>4.0865006701814863</v>
      </c>
      <c r="I194" s="35">
        <v>4.0683100255587767</v>
      </c>
      <c r="J194" s="35">
        <v>3.9881659339556359</v>
      </c>
      <c r="K194" s="104">
        <f t="shared" si="8"/>
        <v>2030</v>
      </c>
      <c r="L194" s="3"/>
      <c r="M194" s="3"/>
    </row>
    <row r="195" spans="7:13">
      <c r="G195" s="31">
        <v>47788</v>
      </c>
      <c r="H195" s="35">
        <v>4.3206079397749164</v>
      </c>
      <c r="I195" s="35">
        <v>4.4420665292304911</v>
      </c>
      <c r="J195" s="35">
        <v>4.1923213088427174</v>
      </c>
      <c r="K195" s="104">
        <f t="shared" si="8"/>
        <v>2030</v>
      </c>
      <c r="L195" s="3"/>
      <c r="M195" s="3"/>
    </row>
    <row r="196" spans="7:13">
      <c r="G196" s="31">
        <v>47818</v>
      </c>
      <c r="H196" s="35">
        <v>4.6280194778464967</v>
      </c>
      <c r="I196" s="35">
        <v>4.9054562426356139</v>
      </c>
      <c r="J196" s="35">
        <v>4.5091937368262576</v>
      </c>
      <c r="K196" s="104">
        <f t="shared" si="8"/>
        <v>2030</v>
      </c>
      <c r="L196" s="3"/>
      <c r="M196" s="3"/>
    </row>
    <row r="197" spans="7:13">
      <c r="G197" s="31">
        <v>47849</v>
      </c>
      <c r="H197" s="35">
        <v>4.6598556331744909</v>
      </c>
      <c r="I197" s="35">
        <v>4.9033332145598951</v>
      </c>
      <c r="J197" s="35">
        <v>4.4930339455987145</v>
      </c>
      <c r="K197" s="104">
        <f t="shared" si="8"/>
        <v>2031</v>
      </c>
      <c r="L197" s="3"/>
      <c r="M197" s="3"/>
    </row>
    <row r="198" spans="7:13">
      <c r="G198" s="31">
        <v>47880</v>
      </c>
      <c r="H198" s="35">
        <v>4.5550193764574676</v>
      </c>
      <c r="I198" s="35">
        <v>4.6586153929538368</v>
      </c>
      <c r="J198" s="35">
        <v>4.4293984944293889</v>
      </c>
      <c r="K198" s="104">
        <f t="shared" si="8"/>
        <v>2031</v>
      </c>
      <c r="L198" s="3"/>
      <c r="M198" s="3"/>
    </row>
    <row r="199" spans="7:13">
      <c r="G199" s="31">
        <v>47908</v>
      </c>
      <c r="H199" s="35">
        <v>4.3903635922133226</v>
      </c>
      <c r="I199" s="35">
        <v>4.4216129660619776</v>
      </c>
      <c r="J199" s="35">
        <v>4.2864696577336137</v>
      </c>
      <c r="K199" s="104">
        <f t="shared" si="8"/>
        <v>2031</v>
      </c>
      <c r="L199" s="3"/>
      <c r="M199" s="3"/>
    </row>
    <row r="200" spans="7:13">
      <c r="G200" s="31">
        <v>47939</v>
      </c>
      <c r="H200" s="35">
        <v>4.0909617874885935</v>
      </c>
      <c r="I200" s="35">
        <v>4.0928543013609922</v>
      </c>
      <c r="J200" s="35">
        <v>4.0101472648800565</v>
      </c>
      <c r="K200" s="104">
        <f t="shared" si="8"/>
        <v>2031</v>
      </c>
      <c r="L200" s="3"/>
      <c r="M200" s="3"/>
    </row>
    <row r="201" spans="7:13">
      <c r="G201" s="31">
        <v>47969</v>
      </c>
      <c r="H201" s="35">
        <v>4.0609506346953266</v>
      </c>
      <c r="I201" s="35">
        <v>4.1004661337300341</v>
      </c>
      <c r="J201" s="35">
        <v>3.9202145137006927</v>
      </c>
      <c r="K201" s="104">
        <f t="shared" si="8"/>
        <v>2031</v>
      </c>
      <c r="L201" s="3"/>
      <c r="M201" s="3"/>
    </row>
    <row r="202" spans="7:13">
      <c r="G202" s="31">
        <v>48000</v>
      </c>
      <c r="H202" s="35">
        <v>4.0759562110919605</v>
      </c>
      <c r="I202" s="35">
        <v>4.1004661337300341</v>
      </c>
      <c r="J202" s="35">
        <v>3.9526344675298604</v>
      </c>
      <c r="K202" s="104">
        <f t="shared" si="8"/>
        <v>2031</v>
      </c>
      <c r="L202" s="3"/>
      <c r="M202" s="3"/>
    </row>
    <row r="203" spans="7:13">
      <c r="G203" s="31">
        <v>48030</v>
      </c>
      <c r="H203" s="35">
        <v>4.4801942725337121</v>
      </c>
      <c r="I203" s="35">
        <v>4.4216129660619776</v>
      </c>
      <c r="J203" s="35">
        <v>4.2900830272006427</v>
      </c>
      <c r="K203" s="104">
        <f t="shared" si="8"/>
        <v>2031</v>
      </c>
      <c r="L203" s="3"/>
      <c r="M203" s="3"/>
    </row>
    <row r="204" spans="7:13">
      <c r="G204" s="31">
        <v>48061</v>
      </c>
      <c r="H204" s="35">
        <v>4.4950984599006389</v>
      </c>
      <c r="I204" s="35">
        <v>4.4598274714249211</v>
      </c>
      <c r="J204" s="35">
        <v>4.3023283348389043</v>
      </c>
      <c r="K204" s="104">
        <f t="shared" si="8"/>
        <v>2031</v>
      </c>
      <c r="L204" s="3"/>
      <c r="M204" s="3"/>
    </row>
    <row r="205" spans="7:13">
      <c r="G205" s="31">
        <v>48092</v>
      </c>
      <c r="H205" s="35">
        <v>4.4052677795802495</v>
      </c>
      <c r="I205" s="35">
        <v>4.2839786093482868</v>
      </c>
      <c r="J205" s="35">
        <v>4.2435107096256148</v>
      </c>
      <c r="K205" s="104">
        <f t="shared" si="8"/>
        <v>2031</v>
      </c>
      <c r="L205" s="3"/>
      <c r="M205" s="3"/>
    </row>
    <row r="206" spans="7:13">
      <c r="G206" s="31">
        <v>48122</v>
      </c>
      <c r="H206" s="35">
        <v>4.4052677795802495</v>
      </c>
      <c r="I206" s="35">
        <v>4.3375203417944714</v>
      </c>
      <c r="J206" s="35">
        <v>4.3037335340760814</v>
      </c>
      <c r="K206" s="104">
        <f t="shared" si="8"/>
        <v>2031</v>
      </c>
      <c r="L206" s="3"/>
      <c r="M206" s="3"/>
    </row>
    <row r="207" spans="7:13">
      <c r="G207" s="31">
        <v>48153</v>
      </c>
      <c r="H207" s="35">
        <v>4.4950984599006389</v>
      </c>
      <c r="I207" s="35">
        <v>4.6280645011325134</v>
      </c>
      <c r="J207" s="35">
        <v>4.3650604436414735</v>
      </c>
      <c r="K207" s="104">
        <f t="shared" si="8"/>
        <v>2031</v>
      </c>
      <c r="L207" s="3"/>
      <c r="M207" s="3"/>
    </row>
    <row r="208" spans="7:13">
      <c r="G208" s="31">
        <v>48183</v>
      </c>
      <c r="H208" s="35">
        <v>4.7047709733346856</v>
      </c>
      <c r="I208" s="35">
        <v>4.9874258388274013</v>
      </c>
      <c r="J208" s="35">
        <v>4.5851748670079289</v>
      </c>
      <c r="K208" s="104">
        <f t="shared" si="8"/>
        <v>2031</v>
      </c>
      <c r="L208" s="3"/>
      <c r="M208" s="3"/>
    </row>
    <row r="209" spans="7:13">
      <c r="G209" s="31">
        <v>48214</v>
      </c>
      <c r="H209" s="35">
        <v>4.7519168721484339</v>
      </c>
      <c r="I209" s="35">
        <v>4.9376641319794494</v>
      </c>
      <c r="J209" s="35">
        <v>4.5841711532670883</v>
      </c>
      <c r="K209" s="104">
        <f t="shared" si="8"/>
        <v>2032</v>
      </c>
      <c r="L209" s="3"/>
      <c r="M209" s="3"/>
    </row>
    <row r="210" spans="7:13">
      <c r="G210" s="31">
        <v>48245</v>
      </c>
      <c r="H210" s="35">
        <v>4.64474866774815</v>
      </c>
      <c r="I210" s="35">
        <v>4.6874057249074914</v>
      </c>
      <c r="J210" s="35">
        <v>4.5182271604938267</v>
      </c>
      <c r="K210" s="104">
        <f t="shared" si="8"/>
        <v>2032</v>
      </c>
      <c r="L210" s="3"/>
      <c r="M210" s="3"/>
    </row>
    <row r="211" spans="7:13">
      <c r="G211" s="31">
        <v>48274</v>
      </c>
      <c r="H211" s="35">
        <v>4.5835096938051301</v>
      </c>
      <c r="I211" s="35">
        <v>4.5778367637313551</v>
      </c>
      <c r="J211" s="35">
        <v>4.4776771253638463</v>
      </c>
      <c r="K211" s="104">
        <f t="shared" si="8"/>
        <v>2032</v>
      </c>
      <c r="L211" s="3"/>
      <c r="M211" s="3"/>
    </row>
    <row r="212" spans="7:13">
      <c r="G212" s="31">
        <v>48305</v>
      </c>
      <c r="H212" s="35">
        <v>4.384381639460611</v>
      </c>
      <c r="I212" s="35">
        <v>4.3509834466648849</v>
      </c>
      <c r="J212" s="35">
        <v>4.3006220214794739</v>
      </c>
      <c r="K212" s="104">
        <f t="shared" si="8"/>
        <v>2032</v>
      </c>
      <c r="L212" s="3"/>
      <c r="M212" s="3"/>
    </row>
    <row r="213" spans="7:13">
      <c r="G213" s="31">
        <v>48335</v>
      </c>
      <c r="H213" s="35">
        <v>4.384381639460611</v>
      </c>
      <c r="I213" s="35">
        <v>4.3666213607835971</v>
      </c>
      <c r="J213" s="35">
        <v>4.2403991970290074</v>
      </c>
      <c r="K213" s="104">
        <f t="shared" si="8"/>
        <v>2032</v>
      </c>
      <c r="L213" s="3"/>
      <c r="M213" s="3"/>
    </row>
    <row r="214" spans="7:13">
      <c r="G214" s="31">
        <v>48366</v>
      </c>
      <c r="H214" s="35">
        <v>4.4150011264321201</v>
      </c>
      <c r="I214" s="35">
        <v>4.4135868843123074</v>
      </c>
      <c r="J214" s="35">
        <v>4.2882763424671282</v>
      </c>
      <c r="K214" s="104">
        <f t="shared" si="8"/>
        <v>2032</v>
      </c>
      <c r="L214" s="3"/>
      <c r="M214" s="3"/>
    </row>
    <row r="215" spans="7:13">
      <c r="G215" s="31">
        <v>48396</v>
      </c>
      <c r="H215" s="35">
        <v>4.64474866774815</v>
      </c>
      <c r="I215" s="35">
        <v>4.6091125919687777</v>
      </c>
      <c r="J215" s="35">
        <v>4.4529857673391549</v>
      </c>
      <c r="K215" s="104">
        <f t="shared" si="8"/>
        <v>2032</v>
      </c>
      <c r="L215" s="3"/>
      <c r="M215" s="3"/>
    </row>
    <row r="216" spans="7:13">
      <c r="G216" s="31">
        <v>48427</v>
      </c>
      <c r="H216" s="35">
        <v>4.705987641691169</v>
      </c>
      <c r="I216" s="35">
        <v>4.6560781154974897</v>
      </c>
      <c r="J216" s="35">
        <v>4.5111007929338554</v>
      </c>
      <c r="K216" s="104">
        <f t="shared" si="8"/>
        <v>2032</v>
      </c>
      <c r="L216" s="3"/>
      <c r="M216" s="3"/>
    </row>
    <row r="217" spans="7:13">
      <c r="G217" s="31">
        <v>48458</v>
      </c>
      <c r="H217" s="35">
        <v>4.6600584112339041</v>
      </c>
      <c r="I217" s="35">
        <v>4.5230522831432864</v>
      </c>
      <c r="J217" s="35">
        <v>4.4957439726989854</v>
      </c>
      <c r="K217" s="104">
        <f t="shared" si="8"/>
        <v>2032</v>
      </c>
      <c r="L217" s="3"/>
      <c r="M217" s="3"/>
    </row>
    <row r="218" spans="7:13">
      <c r="G218" s="31">
        <v>48488</v>
      </c>
      <c r="H218" s="35">
        <v>4.6600584112339041</v>
      </c>
      <c r="I218" s="35">
        <v>4.6247505060874889</v>
      </c>
      <c r="J218" s="35">
        <v>4.5559667971494529</v>
      </c>
      <c r="K218" s="104">
        <f t="shared" si="8"/>
        <v>2032</v>
      </c>
      <c r="L218" s="3"/>
      <c r="M218" s="3"/>
    </row>
    <row r="219" spans="7:13">
      <c r="G219" s="31">
        <v>48519</v>
      </c>
      <c r="H219" s="35">
        <v>4.8591864655784249</v>
      </c>
      <c r="I219" s="35">
        <v>4.9689917413894502</v>
      </c>
      <c r="J219" s="35">
        <v>4.7254940479775165</v>
      </c>
      <c r="K219" s="104">
        <f t="shared" si="8"/>
        <v>2032</v>
      </c>
      <c r="L219" s="3"/>
      <c r="M219" s="3"/>
    </row>
    <row r="220" spans="7:13">
      <c r="G220" s="31">
        <v>48549</v>
      </c>
      <c r="H220" s="35">
        <v>5.1501729808374739</v>
      </c>
      <c r="I220" s="35">
        <v>5.4070086802311002</v>
      </c>
      <c r="J220" s="35">
        <v>5.0261063133594295</v>
      </c>
      <c r="K220" s="104">
        <f t="shared" si="8"/>
        <v>2032</v>
      </c>
      <c r="L220" s="3"/>
      <c r="M220" s="3"/>
    </row>
    <row r="221" spans="7:13">
      <c r="G221" s="31">
        <v>48580</v>
      </c>
      <c r="H221" s="35">
        <v>5.1905258146608535</v>
      </c>
      <c r="I221" s="35">
        <v>5.4030733111151346</v>
      </c>
      <c r="J221" s="35">
        <v>5.0183777175549533</v>
      </c>
      <c r="K221" s="104">
        <f t="shared" si="8"/>
        <v>2033</v>
      </c>
      <c r="L221" s="3"/>
      <c r="M221" s="3"/>
    </row>
    <row r="222" spans="7:13">
      <c r="G222" s="31">
        <v>48611</v>
      </c>
      <c r="H222" s="35">
        <v>5.1905258146608535</v>
      </c>
      <c r="I222" s="35">
        <v>5.235043406097855</v>
      </c>
      <c r="J222" s="35">
        <v>5.058526267188598</v>
      </c>
      <c r="K222" s="104">
        <f t="shared" si="8"/>
        <v>2033</v>
      </c>
      <c r="L222" s="3"/>
      <c r="M222" s="3"/>
    </row>
    <row r="223" spans="7:13">
      <c r="G223" s="31">
        <v>48639</v>
      </c>
      <c r="H223" s="35">
        <v>4.9868352539795193</v>
      </c>
      <c r="I223" s="35">
        <v>4.9869598082741948</v>
      </c>
      <c r="J223" s="35">
        <v>4.8769544514704402</v>
      </c>
      <c r="K223" s="104">
        <f t="shared" si="8"/>
        <v>2033</v>
      </c>
      <c r="L223" s="3"/>
      <c r="M223" s="3"/>
    </row>
    <row r="224" spans="7:13">
      <c r="G224" s="31">
        <v>48670</v>
      </c>
      <c r="H224" s="35">
        <v>4.7988599929027673</v>
      </c>
      <c r="I224" s="35">
        <v>4.7549283739498733</v>
      </c>
      <c r="J224" s="35">
        <v>4.7109401987353205</v>
      </c>
      <c r="K224" s="104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4.8144739034776443</v>
      </c>
      <c r="I225" s="35">
        <v>4.7549283739498733</v>
      </c>
      <c r="J225" s="35">
        <v>4.6661745658938072</v>
      </c>
      <c r="K225" s="104">
        <f t="shared" si="9"/>
        <v>2033</v>
      </c>
      <c r="L225" s="3"/>
      <c r="M225" s="3"/>
    </row>
    <row r="226" spans="7:13">
      <c r="G226" s="31">
        <v>48731</v>
      </c>
      <c r="H226" s="35">
        <v>4.8458031136571025</v>
      </c>
      <c r="I226" s="35">
        <v>4.7869291386033952</v>
      </c>
      <c r="J226" s="35">
        <v>4.714754310950517</v>
      </c>
      <c r="K226" s="104">
        <f t="shared" si="9"/>
        <v>2033</v>
      </c>
      <c r="L226" s="3"/>
      <c r="M226" s="3"/>
    </row>
    <row r="227" spans="7:13">
      <c r="G227" s="31">
        <v>48761</v>
      </c>
      <c r="H227" s="35">
        <v>5.0181644641589784</v>
      </c>
      <c r="I227" s="35">
        <v>4.8989318148907213</v>
      </c>
      <c r="J227" s="35">
        <v>4.8226535380909361</v>
      </c>
      <c r="K227" s="104">
        <f t="shared" si="9"/>
        <v>2033</v>
      </c>
      <c r="L227" s="3"/>
      <c r="M227" s="3"/>
    </row>
    <row r="228" spans="7:13">
      <c r="G228" s="31">
        <v>48792</v>
      </c>
      <c r="H228" s="35">
        <v>5.0338797637635615</v>
      </c>
      <c r="I228" s="35">
        <v>4.9309325795442422</v>
      </c>
      <c r="J228" s="35">
        <v>4.8357018167218708</v>
      </c>
      <c r="K228" s="104">
        <f t="shared" si="9"/>
        <v>2033</v>
      </c>
      <c r="L228" s="3"/>
      <c r="M228" s="3"/>
    </row>
    <row r="229" spans="7:13">
      <c r="G229" s="31">
        <v>48823</v>
      </c>
      <c r="H229" s="35">
        <v>5.0338797637635615</v>
      </c>
      <c r="I229" s="35">
        <v>4.8349302855836775</v>
      </c>
      <c r="J229" s="35">
        <v>4.8658132289471041</v>
      </c>
      <c r="K229" s="104">
        <f t="shared" si="9"/>
        <v>2033</v>
      </c>
      <c r="L229" s="3"/>
      <c r="M229" s="3"/>
    </row>
    <row r="230" spans="7:13">
      <c r="G230" s="31">
        <v>48853</v>
      </c>
      <c r="H230" s="35">
        <v>5.0025505535841024</v>
      </c>
      <c r="I230" s="35">
        <v>4.8669828314097776</v>
      </c>
      <c r="J230" s="35">
        <v>4.8950212988055801</v>
      </c>
      <c r="K230" s="104">
        <f t="shared" si="9"/>
        <v>2033</v>
      </c>
      <c r="L230" s="3"/>
      <c r="M230" s="3"/>
    </row>
    <row r="231" spans="7:13">
      <c r="G231" s="31">
        <v>48884</v>
      </c>
      <c r="H231" s="35">
        <v>5.1278673943019371</v>
      </c>
      <c r="I231" s="35">
        <v>5.2190430237710954</v>
      </c>
      <c r="J231" s="35">
        <v>4.9914781893004108</v>
      </c>
      <c r="K231" s="104">
        <f t="shared" si="9"/>
        <v>2033</v>
      </c>
      <c r="L231" s="3"/>
      <c r="M231" s="3"/>
    </row>
    <row r="232" spans="7:13">
      <c r="G232" s="31">
        <v>48914</v>
      </c>
      <c r="H232" s="35">
        <v>5.3785010757376055</v>
      </c>
      <c r="I232" s="35">
        <v>5.6431826083617036</v>
      </c>
      <c r="J232" s="35">
        <v>5.2521426477968483</v>
      </c>
      <c r="K232" s="104">
        <f t="shared" si="9"/>
        <v>2033</v>
      </c>
      <c r="L232" s="3"/>
      <c r="M232" s="3"/>
    </row>
    <row r="233" spans="7:13">
      <c r="G233" s="31">
        <v>48945</v>
      </c>
      <c r="H233" s="35">
        <v>5.4063830589070268</v>
      </c>
      <c r="I233" s="35">
        <v>5.6090070344598848</v>
      </c>
      <c r="J233" s="35">
        <v>5.2320683729800255</v>
      </c>
      <c r="K233" s="104">
        <f t="shared" si="9"/>
        <v>2034</v>
      </c>
      <c r="L233" s="3"/>
      <c r="M233" s="3"/>
    </row>
    <row r="234" spans="7:13">
      <c r="G234" s="31">
        <v>48976</v>
      </c>
      <c r="H234" s="35">
        <v>5.3742427364899124</v>
      </c>
      <c r="I234" s="35">
        <v>5.3961864151621919</v>
      </c>
      <c r="J234" s="35">
        <v>5.2403991970290074</v>
      </c>
      <c r="K234" s="104">
        <f t="shared" si="9"/>
        <v>2034</v>
      </c>
      <c r="L234" s="3"/>
      <c r="M234" s="3"/>
    </row>
    <row r="235" spans="7:13">
      <c r="G235" s="31">
        <v>49004</v>
      </c>
      <c r="H235" s="35">
        <v>5.1338493470546487</v>
      </c>
      <c r="I235" s="35">
        <v>5.1342254630874891</v>
      </c>
      <c r="J235" s="35">
        <v>5.0224929438924013</v>
      </c>
      <c r="K235" s="104">
        <f t="shared" si="9"/>
        <v>2034</v>
      </c>
      <c r="L235" s="3"/>
      <c r="M235" s="3"/>
    </row>
    <row r="236" spans="7:13">
      <c r="G236" s="31">
        <v>49035</v>
      </c>
      <c r="H236" s="35">
        <v>4.9415143577004974</v>
      </c>
      <c r="I236" s="35">
        <v>4.8558498793053975</v>
      </c>
      <c r="J236" s="35">
        <v>4.8521627220716645</v>
      </c>
      <c r="K236" s="104">
        <f t="shared" si="9"/>
        <v>2034</v>
      </c>
      <c r="L236" s="3"/>
      <c r="M236" s="3"/>
    </row>
    <row r="237" spans="7:13">
      <c r="G237" s="31">
        <v>49065</v>
      </c>
      <c r="H237" s="35">
        <v>4.90947542431309</v>
      </c>
      <c r="I237" s="35">
        <v>4.8394870287705869</v>
      </c>
      <c r="J237" s="35">
        <v>4.7602225434106193</v>
      </c>
      <c r="K237" s="104">
        <f t="shared" si="9"/>
        <v>2034</v>
      </c>
      <c r="L237" s="3"/>
      <c r="M237" s="3"/>
    </row>
    <row r="238" spans="7:13">
      <c r="G238" s="31">
        <v>49096</v>
      </c>
      <c r="H238" s="35">
        <v>4.9415143577004974</v>
      </c>
      <c r="I238" s="35">
        <v>4.8558498793053975</v>
      </c>
      <c r="J238" s="35">
        <v>4.8095048880859181</v>
      </c>
      <c r="K238" s="104">
        <f t="shared" si="9"/>
        <v>2034</v>
      </c>
      <c r="L238" s="3"/>
      <c r="M238" s="3"/>
    </row>
    <row r="239" spans="7:13">
      <c r="G239" s="31">
        <v>49126</v>
      </c>
      <c r="H239" s="35">
        <v>5.1178298803609454</v>
      </c>
      <c r="I239" s="35">
        <v>4.9868562459290366</v>
      </c>
      <c r="J239" s="35">
        <v>4.9213185988156178</v>
      </c>
      <c r="K239" s="104">
        <f t="shared" si="9"/>
        <v>2034</v>
      </c>
      <c r="L239" s="3"/>
      <c r="M239" s="3"/>
    </row>
    <row r="240" spans="7:13">
      <c r="G240" s="31">
        <v>49157</v>
      </c>
      <c r="H240" s="35">
        <v>5.1819077471357602</v>
      </c>
      <c r="I240" s="35">
        <v>5.0687222797756686</v>
      </c>
      <c r="J240" s="35">
        <v>4.9822440228846725</v>
      </c>
      <c r="K240" s="104">
        <f t="shared" si="9"/>
        <v>2034</v>
      </c>
      <c r="L240" s="3"/>
      <c r="M240" s="3"/>
    </row>
    <row r="241" spans="7:13">
      <c r="G241" s="31">
        <v>49188</v>
      </c>
      <c r="H241" s="35">
        <v>5.1658882804420561</v>
      </c>
      <c r="I241" s="35">
        <v>4.970493395394227</v>
      </c>
      <c r="J241" s="35">
        <v>4.9964967580046178</v>
      </c>
      <c r="K241" s="104">
        <f t="shared" si="9"/>
        <v>2034</v>
      </c>
      <c r="L241" s="3"/>
      <c r="M241" s="3"/>
    </row>
    <row r="242" spans="7:13">
      <c r="G242" s="31">
        <v>49218</v>
      </c>
      <c r="H242" s="35">
        <v>5.1819077471357602</v>
      </c>
      <c r="I242" s="35">
        <v>5.0687222797756686</v>
      </c>
      <c r="J242" s="35">
        <v>5.0725782595603732</v>
      </c>
      <c r="K242" s="104">
        <f t="shared" si="9"/>
        <v>2034</v>
      </c>
      <c r="L242" s="3"/>
      <c r="M242" s="3"/>
    </row>
    <row r="243" spans="7:13">
      <c r="G243" s="31">
        <v>49249</v>
      </c>
      <c r="H243" s="35">
        <v>5.342203803102505</v>
      </c>
      <c r="I243" s="35">
        <v>5.4289121162318121</v>
      </c>
      <c r="J243" s="35">
        <v>5.2036632741142226</v>
      </c>
      <c r="K243" s="104">
        <f t="shared" si="9"/>
        <v>2034</v>
      </c>
      <c r="L243" s="3"/>
      <c r="M243" s="3"/>
    </row>
    <row r="244" spans="7:13">
      <c r="G244" s="31">
        <v>49279</v>
      </c>
      <c r="H244" s="35">
        <v>5.5825971925377678</v>
      </c>
      <c r="I244" s="35">
        <v>5.7891019526879575</v>
      </c>
      <c r="J244" s="35">
        <v>5.4541902238281637</v>
      </c>
      <c r="K244" s="104">
        <f t="shared" si="9"/>
        <v>2034</v>
      </c>
      <c r="L244" s="3"/>
      <c r="M244" s="3"/>
    </row>
    <row r="245" spans="7:13">
      <c r="G245" s="31">
        <v>49310</v>
      </c>
      <c r="H245" s="35">
        <v>5.6237611385988036</v>
      </c>
      <c r="I245" s="35">
        <v>5.7907589502104688</v>
      </c>
      <c r="J245" s="35">
        <v>5.4472645990163606</v>
      </c>
      <c r="K245" s="104">
        <f t="shared" si="9"/>
        <v>2035</v>
      </c>
      <c r="L245" s="3"/>
      <c r="M245" s="3"/>
    </row>
    <row r="246" spans="7:13">
      <c r="G246" s="31">
        <v>49341</v>
      </c>
      <c r="H246" s="35">
        <v>5.6237611385988036</v>
      </c>
      <c r="I246" s="35">
        <v>5.6234539816092894</v>
      </c>
      <c r="J246" s="35">
        <v>5.4874131486500053</v>
      </c>
      <c r="K246" s="104">
        <f t="shared" si="9"/>
        <v>2035</v>
      </c>
      <c r="L246" s="3"/>
      <c r="M246" s="3"/>
    </row>
    <row r="247" spans="7:13">
      <c r="G247" s="31">
        <v>49369</v>
      </c>
      <c r="H247" s="35">
        <v>5.3616704968062461</v>
      </c>
      <c r="I247" s="35">
        <v>5.3389682194629335</v>
      </c>
      <c r="J247" s="35">
        <v>5.2480274214593994</v>
      </c>
      <c r="K247" s="104">
        <f t="shared" si="9"/>
        <v>2035</v>
      </c>
      <c r="L247" s="3"/>
      <c r="M247" s="3"/>
    </row>
    <row r="248" spans="7:13">
      <c r="G248" s="31">
        <v>49400</v>
      </c>
      <c r="H248" s="35">
        <v>5.0832562212308625</v>
      </c>
      <c r="I248" s="35">
        <v>4.970855863602277</v>
      </c>
      <c r="J248" s="35">
        <v>4.9924819030412522</v>
      </c>
      <c r="K248" s="104">
        <f t="shared" si="9"/>
        <v>2035</v>
      </c>
      <c r="L248" s="3"/>
      <c r="M248" s="3"/>
    </row>
    <row r="249" spans="7:13">
      <c r="G249" s="31">
        <v>49430</v>
      </c>
      <c r="H249" s="35">
        <v>5.116004877826219</v>
      </c>
      <c r="I249" s="35">
        <v>4.970855863602277</v>
      </c>
      <c r="J249" s="35">
        <v>4.9646790324199532</v>
      </c>
      <c r="K249" s="104">
        <f t="shared" si="9"/>
        <v>2035</v>
      </c>
      <c r="L249" s="3"/>
      <c r="M249" s="3"/>
    </row>
    <row r="250" spans="7:13">
      <c r="G250" s="31">
        <v>49461</v>
      </c>
      <c r="H250" s="35">
        <v>5.1651785572341069</v>
      </c>
      <c r="I250" s="35">
        <v>5.012695051045716</v>
      </c>
      <c r="J250" s="35">
        <v>5.0309241393154673</v>
      </c>
      <c r="K250" s="104">
        <f t="shared" si="9"/>
        <v>2035</v>
      </c>
      <c r="L250" s="3"/>
      <c r="M250" s="3"/>
    </row>
    <row r="251" spans="7:13">
      <c r="G251" s="31">
        <v>49491</v>
      </c>
      <c r="H251" s="35">
        <v>5.3125982064280644</v>
      </c>
      <c r="I251" s="35">
        <v>5.146549382161175</v>
      </c>
      <c r="J251" s="35">
        <v>5.114132008431195</v>
      </c>
      <c r="K251" s="104">
        <f t="shared" si="9"/>
        <v>2035</v>
      </c>
      <c r="L251" s="3"/>
      <c r="M251" s="3"/>
    </row>
    <row r="252" spans="7:13">
      <c r="G252" s="31">
        <v>49522</v>
      </c>
      <c r="H252" s="35">
        <v>5.4108441762141339</v>
      </c>
      <c r="I252" s="35">
        <v>5.2218909882629134</v>
      </c>
      <c r="J252" s="35">
        <v>5.2088825855665961</v>
      </c>
      <c r="K252" s="104">
        <f t="shared" si="9"/>
        <v>2035</v>
      </c>
      <c r="L252" s="3"/>
      <c r="M252" s="3"/>
    </row>
    <row r="253" spans="7:13">
      <c r="G253" s="31">
        <v>49553</v>
      </c>
      <c r="H253" s="35">
        <v>5.2142508476122877</v>
      </c>
      <c r="I253" s="35">
        <v>4.9624673136445576</v>
      </c>
      <c r="J253" s="35">
        <v>5.0443739034427386</v>
      </c>
      <c r="K253" s="104">
        <f t="shared" si="9"/>
        <v>2035</v>
      </c>
      <c r="L253" s="3"/>
      <c r="M253" s="3"/>
    </row>
    <row r="254" spans="7:13">
      <c r="G254" s="31">
        <v>49583</v>
      </c>
      <c r="H254" s="35">
        <v>5.2469995042076452</v>
      </c>
      <c r="I254" s="35">
        <v>5.0378089197462952</v>
      </c>
      <c r="J254" s="35">
        <v>5.1370166817223728</v>
      </c>
      <c r="K254" s="104">
        <f t="shared" si="9"/>
        <v>2035</v>
      </c>
      <c r="L254" s="3"/>
      <c r="M254" s="3"/>
    </row>
    <row r="255" spans="7:13">
      <c r="G255" s="31">
        <v>49614</v>
      </c>
      <c r="H255" s="35">
        <v>5.3945205424313087</v>
      </c>
      <c r="I255" s="35">
        <v>5.3557453193783724</v>
      </c>
      <c r="J255" s="35">
        <v>5.255454903141624</v>
      </c>
      <c r="K255" s="104">
        <f t="shared" si="9"/>
        <v>2035</v>
      </c>
      <c r="L255" s="3"/>
      <c r="M255" s="3"/>
    </row>
    <row r="256" spans="7:13">
      <c r="G256" s="31">
        <v>49644</v>
      </c>
      <c r="H256" s="35">
        <v>5.6237611385988036</v>
      </c>
      <c r="I256" s="35">
        <v>5.815872818911048</v>
      </c>
      <c r="J256" s="35">
        <v>5.4949410017063132</v>
      </c>
      <c r="K256" s="104">
        <f t="shared" si="9"/>
        <v>2035</v>
      </c>
      <c r="L256" s="3"/>
      <c r="M256" s="3"/>
    </row>
    <row r="257" spans="7:13">
      <c r="G257" s="31">
        <v>49675</v>
      </c>
      <c r="H257" s="35">
        <v>5.6975723522254889</v>
      </c>
      <c r="I257" s="35">
        <v>5.8153032260126851</v>
      </c>
      <c r="J257" s="35">
        <v>5.5203349593495936</v>
      </c>
      <c r="K257" s="104">
        <f t="shared" si="9"/>
        <v>2036</v>
      </c>
      <c r="L257" s="3"/>
      <c r="M257" s="3"/>
    </row>
    <row r="258" spans="7:13">
      <c r="G258" s="31">
        <v>49706</v>
      </c>
      <c r="H258" s="35">
        <v>5.6472833934908246</v>
      </c>
      <c r="I258" s="35">
        <v>5.6443217941584312</v>
      </c>
      <c r="J258" s="35">
        <v>5.5106993074375188</v>
      </c>
      <c r="K258" s="104">
        <f t="shared" si="9"/>
        <v>2036</v>
      </c>
      <c r="L258" s="3"/>
      <c r="M258" s="3"/>
    </row>
    <row r="259" spans="7:13">
      <c r="G259" s="31">
        <v>49735</v>
      </c>
      <c r="H259" s="35">
        <v>5.3795149660346748</v>
      </c>
      <c r="I259" s="35">
        <v>5.2766754688509812</v>
      </c>
      <c r="J259" s="35">
        <v>5.2656927832982028</v>
      </c>
      <c r="K259" s="104">
        <f t="shared" si="9"/>
        <v>2036</v>
      </c>
      <c r="L259" s="3"/>
      <c r="M259" s="3"/>
    </row>
    <row r="260" spans="7:13">
      <c r="G260" s="31">
        <v>49766</v>
      </c>
      <c r="H260" s="35">
        <v>5.1116451495488189</v>
      </c>
      <c r="I260" s="35">
        <v>4.951800392093384</v>
      </c>
      <c r="J260" s="35">
        <v>5.0205858877848035</v>
      </c>
      <c r="K260" s="104">
        <f t="shared" si="9"/>
        <v>2036</v>
      </c>
      <c r="L260" s="3"/>
      <c r="M260" s="3"/>
    </row>
    <row r="261" spans="7:13">
      <c r="G261" s="31">
        <v>49796</v>
      </c>
      <c r="H261" s="35">
        <v>5.1451035293521246</v>
      </c>
      <c r="I261" s="35">
        <v>4.9603442855688389</v>
      </c>
      <c r="J261" s="35">
        <v>4.9934856167820936</v>
      </c>
      <c r="K261" s="104">
        <f t="shared" si="9"/>
        <v>2036</v>
      </c>
      <c r="L261" s="3"/>
      <c r="M261" s="3"/>
    </row>
    <row r="262" spans="7:13">
      <c r="G262" s="31">
        <v>49827</v>
      </c>
      <c r="H262" s="35">
        <v>5.1952910990570818</v>
      </c>
      <c r="I262" s="35">
        <v>5.0201515398970216</v>
      </c>
      <c r="J262" s="35">
        <v>5.0607344374184473</v>
      </c>
      <c r="K262" s="104">
        <f t="shared" si="9"/>
        <v>2036</v>
      </c>
      <c r="L262" s="3"/>
      <c r="M262" s="3"/>
    </row>
    <row r="263" spans="7:13">
      <c r="G263" s="31">
        <v>49857</v>
      </c>
      <c r="H263" s="35">
        <v>5.3962441559363272</v>
      </c>
      <c r="I263" s="35">
        <v>5.1911847529238546</v>
      </c>
      <c r="J263" s="35">
        <v>5.1969383920505878</v>
      </c>
      <c r="K263" s="104">
        <f t="shared" si="9"/>
        <v>2036</v>
      </c>
      <c r="L263" s="3"/>
      <c r="M263" s="3"/>
    </row>
    <row r="264" spans="7:13">
      <c r="G264" s="31">
        <v>49888</v>
      </c>
      <c r="H264" s="35">
        <v>5.479890105444591</v>
      </c>
      <c r="I264" s="35">
        <v>5.268079794202948</v>
      </c>
      <c r="J264" s="35">
        <v>5.2772354913178754</v>
      </c>
      <c r="K264" s="104">
        <f t="shared" si="9"/>
        <v>2036</v>
      </c>
      <c r="L264" s="3"/>
      <c r="M264" s="3"/>
    </row>
    <row r="265" spans="7:13">
      <c r="G265" s="31">
        <v>49919</v>
      </c>
      <c r="H265" s="35">
        <v>5.4631609155429386</v>
      </c>
      <c r="I265" s="35">
        <v>5.1740451848003657</v>
      </c>
      <c r="J265" s="35">
        <v>5.2907856268192308</v>
      </c>
      <c r="K265" s="104">
        <f t="shared" si="9"/>
        <v>2036</v>
      </c>
      <c r="L265" s="3"/>
      <c r="M265" s="3"/>
    </row>
    <row r="266" spans="7:13">
      <c r="G266" s="31">
        <v>49949</v>
      </c>
      <c r="H266" s="35">
        <v>5.4966192953462434</v>
      </c>
      <c r="I266" s="35">
        <v>5.2424481137765833</v>
      </c>
      <c r="J266" s="35">
        <v>5.3841310047174549</v>
      </c>
      <c r="K266" s="104">
        <f t="shared" si="9"/>
        <v>2036</v>
      </c>
      <c r="L266" s="3"/>
      <c r="M266" s="3"/>
    </row>
    <row r="267" spans="7:13">
      <c r="G267" s="31">
        <v>49980</v>
      </c>
      <c r="H267" s="35">
        <v>5.6641139724221841</v>
      </c>
      <c r="I267" s="35">
        <v>5.5759188651822136</v>
      </c>
      <c r="J267" s="35">
        <v>5.5223423868312755</v>
      </c>
      <c r="K267" s="104">
        <f t="shared" si="9"/>
        <v>2036</v>
      </c>
      <c r="L267" s="3"/>
      <c r="M267" s="3"/>
    </row>
    <row r="268" spans="7:13">
      <c r="G268" s="31">
        <v>50010</v>
      </c>
      <c r="H268" s="35">
        <v>5.9821713586129981</v>
      </c>
      <c r="I268" s="35">
        <v>6.0803710484420979</v>
      </c>
      <c r="J268" s="35">
        <v>5.8497538090936461</v>
      </c>
      <c r="K268" s="104">
        <f t="shared" si="9"/>
        <v>2036</v>
      </c>
      <c r="L268" s="3"/>
      <c r="M268" s="3"/>
    </row>
    <row r="269" spans="7:13">
      <c r="G269" s="31">
        <v>50041</v>
      </c>
      <c r="H269" s="35">
        <v>6.0285061451890911</v>
      </c>
      <c r="I269" s="35">
        <v>6.1702631640383983</v>
      </c>
      <c r="J269" s="35">
        <v>5.8479471243601315</v>
      </c>
      <c r="K269" s="104">
        <f t="shared" si="9"/>
        <v>2037</v>
      </c>
      <c r="L269" s="3"/>
      <c r="M269" s="3"/>
    </row>
    <row r="270" spans="7:13">
      <c r="G270" s="31">
        <v>50072</v>
      </c>
      <c r="H270" s="35">
        <v>6.0113713991686097</v>
      </c>
      <c r="I270" s="35">
        <v>5.9867506884201447</v>
      </c>
      <c r="J270" s="35">
        <v>5.8711329117735618</v>
      </c>
      <c r="K270" s="104">
        <f t="shared" si="9"/>
        <v>2037</v>
      </c>
      <c r="L270" s="3"/>
      <c r="M270" s="3"/>
    </row>
    <row r="271" spans="7:13">
      <c r="G271" s="31">
        <v>50100</v>
      </c>
      <c r="H271" s="35">
        <v>5.7889238679914836</v>
      </c>
      <c r="I271" s="35">
        <v>5.6634290468399024</v>
      </c>
      <c r="J271" s="35">
        <v>5.6709923918498442</v>
      </c>
      <c r="K271" s="104">
        <f t="shared" si="9"/>
        <v>2037</v>
      </c>
      <c r="L271" s="3"/>
      <c r="M271" s="3"/>
    </row>
    <row r="272" spans="7:13">
      <c r="G272" s="31">
        <v>50131</v>
      </c>
      <c r="H272" s="35">
        <v>5.5836110828348371</v>
      </c>
      <c r="I272" s="35">
        <v>5.418711225233845</v>
      </c>
      <c r="J272" s="35">
        <v>5.487814634146341</v>
      </c>
      <c r="K272" s="104">
        <f t="shared" si="9"/>
        <v>2037</v>
      </c>
      <c r="L272" s="3"/>
      <c r="M272" s="3"/>
    </row>
    <row r="273" spans="7:13">
      <c r="G273" s="31">
        <v>50161</v>
      </c>
      <c r="H273" s="35">
        <v>5.5836110828348371</v>
      </c>
      <c r="I273" s="35">
        <v>5.4274622433996136</v>
      </c>
      <c r="J273" s="35">
        <v>5.4275918096958753</v>
      </c>
      <c r="K273" s="104">
        <f t="shared" si="9"/>
        <v>2037</v>
      </c>
      <c r="L273" s="3"/>
      <c r="M273" s="3"/>
    </row>
    <row r="274" spans="7:13">
      <c r="G274" s="31">
        <v>50192</v>
      </c>
      <c r="H274" s="35">
        <v>5.6178805748757989</v>
      </c>
      <c r="I274" s="35">
        <v>5.4799165712216489</v>
      </c>
      <c r="J274" s="35">
        <v>5.4790823246010234</v>
      </c>
      <c r="K274" s="104">
        <f t="shared" si="9"/>
        <v>2037</v>
      </c>
      <c r="L274" s="3"/>
      <c r="M274" s="3"/>
    </row>
    <row r="275" spans="7:13">
      <c r="G275" s="31">
        <v>50222</v>
      </c>
      <c r="H275" s="35">
        <v>5.8231933600324446</v>
      </c>
      <c r="I275" s="35">
        <v>5.6284767553494071</v>
      </c>
      <c r="J275" s="35">
        <v>5.6196022483187793</v>
      </c>
      <c r="K275" s="104">
        <f t="shared" si="9"/>
        <v>2037</v>
      </c>
      <c r="L275" s="3"/>
      <c r="M275" s="3"/>
    </row>
    <row r="276" spans="7:13">
      <c r="G276" s="31">
        <v>50253</v>
      </c>
      <c r="H276" s="35">
        <v>5.874496209064179</v>
      </c>
      <c r="I276" s="35">
        <v>5.6808793019988615</v>
      </c>
      <c r="J276" s="35">
        <v>5.6678808792532367</v>
      </c>
      <c r="K276" s="104">
        <f t="shared" si="9"/>
        <v>2037</v>
      </c>
      <c r="L276" s="3"/>
      <c r="M276" s="3"/>
    </row>
    <row r="277" spans="7:13">
      <c r="G277" s="31">
        <v>50284</v>
      </c>
      <c r="H277" s="35">
        <v>5.874496209064179</v>
      </c>
      <c r="I277" s="35">
        <v>5.5585721723684118</v>
      </c>
      <c r="J277" s="35">
        <v>5.69799229147847</v>
      </c>
      <c r="K277" s="104">
        <f t="shared" si="9"/>
        <v>2037</v>
      </c>
      <c r="L277" s="3"/>
      <c r="M277" s="3"/>
    </row>
    <row r="278" spans="7:13">
      <c r="G278" s="31">
        <v>50314</v>
      </c>
      <c r="H278" s="35">
        <v>5.8573614630436994</v>
      </c>
      <c r="I278" s="35">
        <v>5.5760224275273709</v>
      </c>
      <c r="J278" s="35">
        <v>5.7412523537087221</v>
      </c>
      <c r="K278" s="104">
        <f t="shared" si="9"/>
        <v>2037</v>
      </c>
      <c r="L278" s="3"/>
      <c r="M278" s="3"/>
    </row>
    <row r="279" spans="7:13">
      <c r="G279" s="31">
        <v>50345</v>
      </c>
      <c r="H279" s="35">
        <v>6.0455395021798646</v>
      </c>
      <c r="I279" s="35">
        <v>5.9954499254133351</v>
      </c>
      <c r="J279" s="35">
        <v>5.8999394961357012</v>
      </c>
      <c r="K279" s="104">
        <f t="shared" si="9"/>
        <v>2037</v>
      </c>
      <c r="L279" s="3"/>
      <c r="M279" s="3"/>
    </row>
    <row r="280" spans="7:13">
      <c r="G280" s="31">
        <v>50375</v>
      </c>
      <c r="H280" s="35">
        <v>6.4048622234614223</v>
      </c>
      <c r="I280" s="35">
        <v>6.5546865892612871</v>
      </c>
      <c r="J280" s="35">
        <v>6.2682020676503054</v>
      </c>
      <c r="K280" s="104">
        <f t="shared" si="9"/>
        <v>2037</v>
      </c>
      <c r="L280" s="3"/>
      <c r="M280" s="3"/>
    </row>
    <row r="281" spans="7:13">
      <c r="G281" s="31">
        <v>50406</v>
      </c>
      <c r="H281" s="35">
        <v>6.4474456159383555</v>
      </c>
      <c r="I281" s="35">
        <v>6.5175594885224921</v>
      </c>
      <c r="J281" s="35">
        <v>6.2626816420756803</v>
      </c>
      <c r="K281" s="104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6.3949260985501368</v>
      </c>
      <c r="I282" s="35">
        <v>6.3119364522132138</v>
      </c>
      <c r="J282" s="35">
        <v>6.2508378199337553</v>
      </c>
      <c r="K282" s="104">
        <f t="shared" si="10"/>
        <v>2038</v>
      </c>
      <c r="L282" s="3"/>
      <c r="M282" s="3"/>
    </row>
    <row r="283" spans="7:13">
      <c r="G283" s="31">
        <v>50465</v>
      </c>
      <c r="H283" s="35">
        <v>6.1148895984994427</v>
      </c>
      <c r="I283" s="35">
        <v>5.9186066653068208</v>
      </c>
      <c r="J283" s="35">
        <v>5.993686359530261</v>
      </c>
      <c r="K283" s="104">
        <f t="shared" si="10"/>
        <v>2038</v>
      </c>
      <c r="L283" s="3"/>
      <c r="M283" s="3"/>
    </row>
    <row r="284" spans="7:13">
      <c r="G284" s="31">
        <v>50496</v>
      </c>
      <c r="H284" s="35">
        <v>5.8348530984487486</v>
      </c>
      <c r="I284" s="35">
        <v>5.6593383342062005</v>
      </c>
      <c r="J284" s="35">
        <v>5.7365348991267684</v>
      </c>
      <c r="K284" s="104">
        <f t="shared" si="10"/>
        <v>2038</v>
      </c>
      <c r="L284" s="3"/>
      <c r="M284" s="3"/>
    </row>
    <row r="285" spans="7:13">
      <c r="G285" s="31">
        <v>50526</v>
      </c>
      <c r="H285" s="35">
        <v>5.8348530984487486</v>
      </c>
      <c r="I285" s="35">
        <v>5.6772546199183651</v>
      </c>
      <c r="J285" s="35">
        <v>5.6763120746763027</v>
      </c>
      <c r="K285" s="104">
        <f t="shared" si="10"/>
        <v>2038</v>
      </c>
      <c r="L285" s="3"/>
      <c r="M285" s="3"/>
    </row>
    <row r="286" spans="7:13">
      <c r="G286" s="31">
        <v>50557</v>
      </c>
      <c r="H286" s="35">
        <v>5.8698323136976578</v>
      </c>
      <c r="I286" s="35">
        <v>5.7040772673140365</v>
      </c>
      <c r="J286" s="35">
        <v>5.7285051892000398</v>
      </c>
      <c r="K286" s="104">
        <f t="shared" si="10"/>
        <v>2038</v>
      </c>
      <c r="L286" s="3"/>
      <c r="M286" s="3"/>
    </row>
    <row r="287" spans="7:13">
      <c r="G287" s="31">
        <v>50587</v>
      </c>
      <c r="H287" s="35">
        <v>6.0799103832505326</v>
      </c>
      <c r="I287" s="35">
        <v>5.8739195133715629</v>
      </c>
      <c r="J287" s="35">
        <v>5.8737425674997494</v>
      </c>
      <c r="K287" s="104">
        <f t="shared" si="10"/>
        <v>2038</v>
      </c>
      <c r="L287" s="3"/>
      <c r="M287" s="3"/>
    </row>
    <row r="288" spans="7:13">
      <c r="G288" s="31">
        <v>50618</v>
      </c>
      <c r="H288" s="35">
        <v>6.1498688137483528</v>
      </c>
      <c r="I288" s="35">
        <v>5.9364711698464072</v>
      </c>
      <c r="J288" s="35">
        <v>5.9404895312656825</v>
      </c>
      <c r="K288" s="104">
        <f t="shared" si="10"/>
        <v>2038</v>
      </c>
      <c r="L288" s="3"/>
      <c r="M288" s="3"/>
    </row>
    <row r="289" spans="7:13">
      <c r="G289" s="31">
        <v>50649</v>
      </c>
      <c r="H289" s="35">
        <v>6.1148895984994427</v>
      </c>
      <c r="I289" s="35">
        <v>5.7934515711845513</v>
      </c>
      <c r="J289" s="35">
        <v>5.9359728194318979</v>
      </c>
      <c r="K289" s="104">
        <f t="shared" si="10"/>
        <v>2038</v>
      </c>
      <c r="L289" s="3"/>
      <c r="M289" s="3"/>
    </row>
    <row r="290" spans="7:13">
      <c r="G290" s="31">
        <v>50679</v>
      </c>
      <c r="H290" s="35">
        <v>6.062370081111224</v>
      </c>
      <c r="I290" s="35">
        <v>5.8202742185802219</v>
      </c>
      <c r="J290" s="35">
        <v>5.9442032721067948</v>
      </c>
      <c r="K290" s="104">
        <f t="shared" si="10"/>
        <v>2038</v>
      </c>
      <c r="L290" s="3"/>
      <c r="M290" s="3"/>
    </row>
    <row r="291" spans="7:13">
      <c r="G291" s="31">
        <v>50710</v>
      </c>
      <c r="H291" s="35">
        <v>6.2549078485247902</v>
      </c>
      <c r="I291" s="35">
        <v>6.1956877197744493</v>
      </c>
      <c r="J291" s="35">
        <v>6.1072063836193911</v>
      </c>
      <c r="K291" s="104">
        <f t="shared" si="10"/>
        <v>2038</v>
      </c>
      <c r="L291" s="3"/>
      <c r="M291" s="3"/>
    </row>
    <row r="292" spans="7:13">
      <c r="G292" s="31">
        <v>50740</v>
      </c>
      <c r="H292" s="35">
        <v>6.6399833833519217</v>
      </c>
      <c r="I292" s="35">
        <v>6.7409952481987814</v>
      </c>
      <c r="J292" s="35">
        <v>6.5009632841513598</v>
      </c>
      <c r="K292" s="104">
        <f t="shared" si="10"/>
        <v>2038</v>
      </c>
      <c r="L292" s="3"/>
      <c r="M292" s="3"/>
    </row>
    <row r="293" spans="7:13">
      <c r="G293" s="31">
        <v>50771</v>
      </c>
      <c r="H293" s="35">
        <v>6.6855070576903577</v>
      </c>
      <c r="I293" s="35">
        <v>6.7037645851148291</v>
      </c>
      <c r="J293" s="35">
        <v>6.4983536284251731</v>
      </c>
      <c r="K293" s="104">
        <f t="shared" si="10"/>
        <v>2039</v>
      </c>
      <c r="L293" s="3"/>
      <c r="M293" s="3"/>
    </row>
    <row r="294" spans="7:13">
      <c r="G294" s="31">
        <v>50802</v>
      </c>
      <c r="H294" s="35">
        <v>6.6317708719456556</v>
      </c>
      <c r="I294" s="35">
        <v>6.4934812432734823</v>
      </c>
      <c r="J294" s="35">
        <v>6.4853053497942383</v>
      </c>
      <c r="K294" s="104">
        <f t="shared" si="10"/>
        <v>2039</v>
      </c>
      <c r="L294" s="3"/>
      <c r="M294" s="3"/>
    </row>
    <row r="295" spans="7:13">
      <c r="G295" s="31">
        <v>50830</v>
      </c>
      <c r="H295" s="35">
        <v>6.3274010047652842</v>
      </c>
      <c r="I295" s="35">
        <v>6.1093685050860653</v>
      </c>
      <c r="J295" s="35">
        <v>6.2040647596105583</v>
      </c>
      <c r="K295" s="104">
        <f t="shared" si="10"/>
        <v>2039</v>
      </c>
      <c r="L295" s="3"/>
      <c r="M295" s="3"/>
    </row>
    <row r="296" spans="7:13">
      <c r="G296" s="31">
        <v>50861</v>
      </c>
      <c r="H296" s="35">
        <v>6.0588214650714791</v>
      </c>
      <c r="I296" s="35">
        <v>5.8716411417781078</v>
      </c>
      <c r="J296" s="35">
        <v>5.9582552644785709</v>
      </c>
      <c r="K296" s="104">
        <f t="shared" si="10"/>
        <v>2039</v>
      </c>
      <c r="L296" s="3"/>
      <c r="M296" s="3"/>
    </row>
    <row r="297" spans="7:13">
      <c r="G297" s="31">
        <v>50891</v>
      </c>
      <c r="H297" s="35">
        <v>6.0588214650714791</v>
      </c>
      <c r="I297" s="35">
        <v>5.8441453391389162</v>
      </c>
      <c r="J297" s="35">
        <v>5.8980324400281035</v>
      </c>
      <c r="K297" s="104">
        <f t="shared" si="10"/>
        <v>2039</v>
      </c>
      <c r="L297" s="3"/>
      <c r="M297" s="3"/>
    </row>
    <row r="298" spans="7:13">
      <c r="G298" s="31">
        <v>50922</v>
      </c>
      <c r="H298" s="35">
        <v>6.0766659342999088</v>
      </c>
      <c r="I298" s="35">
        <v>5.8899198956983243</v>
      </c>
      <c r="J298" s="35">
        <v>5.9332627923316261</v>
      </c>
      <c r="K298" s="104">
        <f t="shared" si="10"/>
        <v>2039</v>
      </c>
      <c r="L298" s="3"/>
      <c r="M298" s="3"/>
    </row>
    <row r="299" spans="7:13">
      <c r="G299" s="31">
        <v>50952</v>
      </c>
      <c r="H299" s="35">
        <v>6.3631913322518505</v>
      </c>
      <c r="I299" s="35">
        <v>6.1185337726324631</v>
      </c>
      <c r="J299" s="35">
        <v>6.1541801866907555</v>
      </c>
      <c r="K299" s="104">
        <f t="shared" si="10"/>
        <v>2039</v>
      </c>
      <c r="L299" s="3"/>
      <c r="M299" s="3"/>
    </row>
    <row r="300" spans="7:13">
      <c r="G300" s="31">
        <v>50983</v>
      </c>
      <c r="H300" s="35">
        <v>6.4348733762546901</v>
      </c>
      <c r="I300" s="35">
        <v>6.2099793234061194</v>
      </c>
      <c r="J300" s="35">
        <v>6.2226334638161198</v>
      </c>
      <c r="K300" s="104">
        <f t="shared" si="10"/>
        <v>2039</v>
      </c>
      <c r="L300" s="3"/>
      <c r="M300" s="3"/>
    </row>
    <row r="301" spans="7:13">
      <c r="G301" s="31">
        <v>51014</v>
      </c>
      <c r="H301" s="35">
        <v>6.3631913322518505</v>
      </c>
      <c r="I301" s="35">
        <v>6.118481991459884</v>
      </c>
      <c r="J301" s="35">
        <v>6.1817823145638862</v>
      </c>
      <c r="K301" s="104">
        <f t="shared" si="10"/>
        <v>2039</v>
      </c>
      <c r="L301" s="3"/>
      <c r="M301" s="3"/>
    </row>
    <row r="302" spans="7:13">
      <c r="G302" s="31">
        <v>51044</v>
      </c>
      <c r="H302" s="35">
        <v>6.3453468630234209</v>
      </c>
      <c r="I302" s="35">
        <v>6.1550912804728934</v>
      </c>
      <c r="J302" s="35">
        <v>6.2243397771755493</v>
      </c>
      <c r="K302" s="104">
        <f t="shared" si="10"/>
        <v>2039</v>
      </c>
      <c r="L302" s="3"/>
      <c r="M302" s="3"/>
    </row>
    <row r="303" spans="7:13">
      <c r="G303" s="31">
        <v>51075</v>
      </c>
      <c r="H303" s="35">
        <v>6.613926402717226</v>
      </c>
      <c r="I303" s="35">
        <v>6.5392040186603104</v>
      </c>
      <c r="J303" s="35">
        <v>6.4626214192512288</v>
      </c>
      <c r="K303" s="104">
        <f t="shared" si="10"/>
        <v>2039</v>
      </c>
      <c r="L303" s="3"/>
      <c r="M303" s="3"/>
    </row>
    <row r="304" spans="7:13">
      <c r="G304" s="31">
        <v>51105</v>
      </c>
      <c r="H304" s="35">
        <v>6.9003504116394607</v>
      </c>
      <c r="I304" s="35">
        <v>6.9872665049821929</v>
      </c>
      <c r="J304" s="35">
        <v>6.7587169727993572</v>
      </c>
      <c r="K304" s="104">
        <f t="shared" si="10"/>
        <v>2039</v>
      </c>
      <c r="L304" s="3"/>
      <c r="M304" s="3"/>
    </row>
    <row r="305" spans="7:13">
      <c r="G305" s="31">
        <v>51136</v>
      </c>
      <c r="H305" s="35">
        <v>6.9494227020176416</v>
      </c>
      <c r="I305" s="35">
        <v>6.9700233745135485</v>
      </c>
      <c r="J305" s="35">
        <v>6.7596203151661145</v>
      </c>
      <c r="K305" s="104">
        <f t="shared" si="9"/>
        <v>2040</v>
      </c>
      <c r="L305" s="3"/>
      <c r="M305" s="3"/>
    </row>
    <row r="306" spans="7:13">
      <c r="G306" s="31">
        <v>51167</v>
      </c>
      <c r="H306" s="35">
        <v>6.8395169938152698</v>
      </c>
      <c r="I306" s="35">
        <v>6.7080106412662666</v>
      </c>
      <c r="J306" s="35">
        <v>6.6909662952925819</v>
      </c>
      <c r="K306" s="104">
        <f t="shared" si="9"/>
        <v>2040</v>
      </c>
      <c r="L306" s="3"/>
      <c r="M306" s="3"/>
    </row>
    <row r="307" spans="7:13">
      <c r="G307" s="31">
        <v>51196</v>
      </c>
      <c r="H307" s="35">
        <v>6.5647527233093381</v>
      </c>
      <c r="I307" s="35">
        <v>6.3806500682249014</v>
      </c>
      <c r="J307" s="35">
        <v>6.4390341463414638</v>
      </c>
      <c r="K307" s="104">
        <f t="shared" si="9"/>
        <v>2040</v>
      </c>
      <c r="L307" s="3"/>
      <c r="M307" s="3"/>
    </row>
    <row r="308" spans="7:13">
      <c r="G308" s="31">
        <v>51227</v>
      </c>
      <c r="H308" s="35">
        <v>6.2533870130791849</v>
      </c>
      <c r="I308" s="35">
        <v>6.0999443316767774</v>
      </c>
      <c r="J308" s="35">
        <v>6.1508679313459798</v>
      </c>
      <c r="K308" s="104">
        <f t="shared" si="9"/>
        <v>2040</v>
      </c>
      <c r="L308" s="3"/>
      <c r="M308" s="3"/>
    </row>
    <row r="309" spans="7:13">
      <c r="G309" s="31">
        <v>51257</v>
      </c>
      <c r="H309" s="35">
        <v>6.2716370384264426</v>
      </c>
      <c r="I309" s="35">
        <v>6.1093167239134871</v>
      </c>
      <c r="J309" s="35">
        <v>6.1087119542306532</v>
      </c>
      <c r="K309" s="104">
        <f t="shared" si="9"/>
        <v>2040</v>
      </c>
      <c r="L309" s="3"/>
      <c r="M309" s="3"/>
    </row>
    <row r="310" spans="7:13">
      <c r="G310" s="31">
        <v>51288</v>
      </c>
      <c r="H310" s="35">
        <v>6.3083398671803712</v>
      </c>
      <c r="I310" s="35">
        <v>6.1467027305151749</v>
      </c>
      <c r="J310" s="35">
        <v>6.1626113821138206</v>
      </c>
      <c r="K310" s="104">
        <f t="shared" si="9"/>
        <v>2040</v>
      </c>
      <c r="L310" s="3"/>
      <c r="M310" s="3"/>
    </row>
    <row r="311" spans="7:13">
      <c r="G311" s="31">
        <v>51318</v>
      </c>
      <c r="H311" s="35">
        <v>6.5647527233093381</v>
      </c>
      <c r="I311" s="35">
        <v>6.3805982870523223</v>
      </c>
      <c r="J311" s="35">
        <v>6.3537184783699692</v>
      </c>
      <c r="K311" s="104">
        <f t="shared" si="9"/>
        <v>2040</v>
      </c>
      <c r="L311" s="3"/>
      <c r="M311" s="3"/>
    </row>
    <row r="312" spans="7:13">
      <c r="G312" s="31">
        <v>51349</v>
      </c>
      <c r="H312" s="35">
        <v>6.6930098458886755</v>
      </c>
      <c r="I312" s="35">
        <v>6.4928598692025412</v>
      </c>
      <c r="J312" s="35">
        <v>6.4781789822342661</v>
      </c>
      <c r="K312" s="104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6.6197055774105245</v>
      </c>
      <c r="I313" s="35">
        <v>6.333839888213924</v>
      </c>
      <c r="J313" s="35">
        <v>6.4357218909966871</v>
      </c>
      <c r="K313" s="104">
        <f t="shared" si="11"/>
        <v>2040</v>
      </c>
      <c r="L313" s="3"/>
      <c r="M313" s="3"/>
    </row>
    <row r="314" spans="7:13">
      <c r="G314" s="31">
        <v>51410</v>
      </c>
      <c r="H314" s="35">
        <v>6.5647527233093381</v>
      </c>
      <c r="I314" s="35">
        <v>6.3245192771497916</v>
      </c>
      <c r="J314" s="35">
        <v>6.4415434306935655</v>
      </c>
      <c r="K314" s="104">
        <f t="shared" si="11"/>
        <v>2040</v>
      </c>
      <c r="L314" s="3"/>
      <c r="M314" s="3"/>
    </row>
    <row r="315" spans="7:13">
      <c r="G315" s="31">
        <v>51441</v>
      </c>
      <c r="H315" s="35">
        <v>6.7479626999898619</v>
      </c>
      <c r="I315" s="35">
        <v>6.698690030202135</v>
      </c>
      <c r="J315" s="35">
        <v>6.5953123757904244</v>
      </c>
      <c r="K315" s="104">
        <f t="shared" si="11"/>
        <v>2040</v>
      </c>
      <c r="L315" s="3"/>
      <c r="M315" s="3"/>
    </row>
    <row r="316" spans="7:13">
      <c r="G316" s="31">
        <v>51471</v>
      </c>
      <c r="H316" s="35">
        <v>7.150882704045423</v>
      </c>
      <c r="I316" s="35">
        <v>7.2693703331899382</v>
      </c>
      <c r="J316" s="35">
        <v>7.0067346381611966</v>
      </c>
      <c r="K316" s="104">
        <f t="shared" si="11"/>
        <v>2040</v>
      </c>
      <c r="L316" s="3"/>
      <c r="M316" s="3"/>
    </row>
    <row r="317" spans="7:13">
      <c r="G317" s="31">
        <v>51502</v>
      </c>
      <c r="H317" s="35">
        <v>7.2407133843658116</v>
      </c>
      <c r="I317" s="35">
        <v>7.2640886535869296</v>
      </c>
      <c r="J317" s="35">
        <v>7.0479872729097659</v>
      </c>
      <c r="K317" s="104">
        <f t="shared" si="11"/>
        <v>2041</v>
      </c>
      <c r="L317" s="3"/>
      <c r="M317" s="3"/>
    </row>
    <row r="318" spans="7:13">
      <c r="G318" s="31">
        <v>51533</v>
      </c>
      <c r="H318" s="35">
        <v>7.1470299209165571</v>
      </c>
      <c r="I318" s="35">
        <v>7.1109199450996847</v>
      </c>
      <c r="J318" s="35">
        <v>6.9953926728896914</v>
      </c>
      <c r="K318" s="104">
        <f t="shared" si="11"/>
        <v>2041</v>
      </c>
      <c r="L318" s="3"/>
      <c r="M318" s="3"/>
    </row>
    <row r="319" spans="7:13">
      <c r="G319" s="31">
        <v>51561</v>
      </c>
      <c r="H319" s="35">
        <v>6.809708619081416</v>
      </c>
      <c r="I319" s="35">
        <v>6.6228306123746119</v>
      </c>
      <c r="J319" s="35">
        <v>6.6815313861286763</v>
      </c>
      <c r="K319" s="104">
        <f t="shared" si="11"/>
        <v>2041</v>
      </c>
      <c r="L319" s="3"/>
      <c r="M319" s="3"/>
    </row>
    <row r="320" spans="7:13">
      <c r="G320" s="31">
        <v>51592</v>
      </c>
      <c r="H320" s="35">
        <v>6.5099012582378588</v>
      </c>
      <c r="I320" s="35">
        <v>6.3644425612078255</v>
      </c>
      <c r="J320" s="35">
        <v>6.4048075077787807</v>
      </c>
      <c r="K320" s="104">
        <f t="shared" si="11"/>
        <v>2041</v>
      </c>
      <c r="L320" s="3"/>
      <c r="M320" s="3"/>
    </row>
    <row r="321" spans="7:13">
      <c r="G321" s="31">
        <v>51622</v>
      </c>
      <c r="H321" s="35">
        <v>6.5286582287336508</v>
      </c>
      <c r="I321" s="35">
        <v>6.3740220781348507</v>
      </c>
      <c r="J321" s="35">
        <v>6.3631533875338748</v>
      </c>
      <c r="K321" s="104">
        <f t="shared" si="11"/>
        <v>2041</v>
      </c>
      <c r="L321" s="3"/>
      <c r="M321" s="3"/>
    </row>
    <row r="322" spans="7:13">
      <c r="G322" s="31">
        <v>51653</v>
      </c>
      <c r="H322" s="35">
        <v>6.5660707806955294</v>
      </c>
      <c r="I322" s="35">
        <v>6.3836015950618767</v>
      </c>
      <c r="J322" s="35">
        <v>6.4177554150356313</v>
      </c>
      <c r="K322" s="104">
        <f t="shared" si="11"/>
        <v>2041</v>
      </c>
      <c r="L322" s="3"/>
      <c r="M322" s="3"/>
    </row>
    <row r="323" spans="7:13">
      <c r="G323" s="31">
        <v>51683</v>
      </c>
      <c r="H323" s="35">
        <v>6.7535390966237454</v>
      </c>
      <c r="I323" s="35">
        <v>6.5749848089120642</v>
      </c>
      <c r="J323" s="35">
        <v>6.5406099769145838</v>
      </c>
      <c r="K323" s="104">
        <f t="shared" si="11"/>
        <v>2041</v>
      </c>
      <c r="L323" s="3"/>
      <c r="M323" s="3"/>
    </row>
    <row r="324" spans="7:13">
      <c r="G324" s="31">
        <v>51714</v>
      </c>
      <c r="H324" s="35">
        <v>6.8472225600730008</v>
      </c>
      <c r="I324" s="35">
        <v>6.6611486800827127</v>
      </c>
      <c r="J324" s="35">
        <v>6.6308438422161995</v>
      </c>
      <c r="K324" s="104">
        <f t="shared" si="11"/>
        <v>2041</v>
      </c>
      <c r="L324" s="3"/>
      <c r="M324" s="3"/>
    </row>
    <row r="325" spans="7:13">
      <c r="G325" s="31">
        <v>51745</v>
      </c>
      <c r="H325" s="35">
        <v>6.809708619081416</v>
      </c>
      <c r="I325" s="35">
        <v>6.5558257750580147</v>
      </c>
      <c r="J325" s="35">
        <v>6.6238178460303123</v>
      </c>
      <c r="K325" s="104">
        <f t="shared" si="11"/>
        <v>2041</v>
      </c>
      <c r="L325" s="3"/>
      <c r="M325" s="3"/>
    </row>
    <row r="326" spans="7:13">
      <c r="G326" s="31">
        <v>51775</v>
      </c>
      <c r="H326" s="35">
        <v>6.7909516485856232</v>
      </c>
      <c r="I326" s="35">
        <v>6.5558775562305929</v>
      </c>
      <c r="J326" s="35">
        <v>6.6654719662752182</v>
      </c>
      <c r="K326" s="104">
        <f t="shared" si="11"/>
        <v>2041</v>
      </c>
      <c r="L326" s="3"/>
      <c r="M326" s="3"/>
    </row>
    <row r="327" spans="7:13">
      <c r="G327" s="31">
        <v>51806</v>
      </c>
      <c r="H327" s="35">
        <v>6.978318575484133</v>
      </c>
      <c r="I327" s="35">
        <v>6.9674343158846233</v>
      </c>
      <c r="J327" s="35">
        <v>6.8233561377095242</v>
      </c>
      <c r="K327" s="104">
        <f t="shared" si="11"/>
        <v>2041</v>
      </c>
      <c r="L327" s="3"/>
      <c r="M327" s="3"/>
    </row>
    <row r="328" spans="7:13">
      <c r="G328" s="31">
        <v>51836</v>
      </c>
      <c r="H328" s="35">
        <v>7.3719107888066517</v>
      </c>
      <c r="I328" s="35">
        <v>7.522424923581136</v>
      </c>
      <c r="J328" s="35">
        <v>7.225544233664559</v>
      </c>
      <c r="K328" s="104">
        <f t="shared" si="11"/>
        <v>2041</v>
      </c>
      <c r="L328" s="3"/>
      <c r="M328" s="3"/>
    </row>
    <row r="329" spans="7:13">
      <c r="G329" s="31">
        <v>51867</v>
      </c>
      <c r="H329" s="35">
        <v>7.4266608648484231</v>
      </c>
      <c r="I329" s="35">
        <v>7.4700741581042589</v>
      </c>
      <c r="J329" s="35">
        <v>7.2320683729800264</v>
      </c>
      <c r="K329" s="104">
        <f t="shared" ref="K329:K340" si="12">YEAR(G329)</f>
        <v>2042</v>
      </c>
    </row>
    <row r="330" spans="7:13">
      <c r="G330" s="31">
        <v>51898</v>
      </c>
      <c r="H330" s="35">
        <v>7.2925231785460811</v>
      </c>
      <c r="I330" s="35">
        <v>7.2057312720909446</v>
      </c>
      <c r="J330" s="35">
        <v>7.1394255947003913</v>
      </c>
      <c r="K330" s="104">
        <f t="shared" si="12"/>
        <v>2042</v>
      </c>
    </row>
    <row r="331" spans="7:13">
      <c r="G331" s="31">
        <v>51926</v>
      </c>
      <c r="H331" s="35">
        <v>7.004882501267363</v>
      </c>
      <c r="I331" s="35">
        <v>6.8238969054969818</v>
      </c>
      <c r="J331" s="35">
        <v>6.87474628124059</v>
      </c>
      <c r="K331" s="104">
        <f t="shared" si="12"/>
        <v>2042</v>
      </c>
    </row>
    <row r="332" spans="7:13">
      <c r="G332" s="31">
        <v>51957</v>
      </c>
      <c r="H332" s="35">
        <v>7.2732592629017541</v>
      </c>
      <c r="I332" s="35">
        <v>7.0980264331276341</v>
      </c>
      <c r="J332" s="35">
        <v>7.1605035832580546</v>
      </c>
      <c r="K332" s="104">
        <f t="shared" si="12"/>
        <v>2042</v>
      </c>
    </row>
    <row r="333" spans="7:13">
      <c r="G333" s="31">
        <v>51987</v>
      </c>
      <c r="H333" s="35">
        <v>7.2732592629017541</v>
      </c>
      <c r="I333" s="35">
        <v>7.0980264331276341</v>
      </c>
      <c r="J333" s="35">
        <v>7.1002807588075871</v>
      </c>
      <c r="K333" s="104">
        <f t="shared" si="12"/>
        <v>2042</v>
      </c>
    </row>
    <row r="334" spans="7:13">
      <c r="G334" s="31">
        <v>52018</v>
      </c>
      <c r="H334" s="35">
        <v>7.3308482317753221</v>
      </c>
      <c r="I334" s="35">
        <v>7.1372247807695697</v>
      </c>
      <c r="J334" s="35">
        <v>7.1748566897520822</v>
      </c>
      <c r="K334" s="104">
        <f t="shared" si="12"/>
        <v>2042</v>
      </c>
    </row>
    <row r="335" spans="7:13">
      <c r="G335" s="31">
        <v>52048</v>
      </c>
      <c r="H335" s="35">
        <v>7.5224734979215251</v>
      </c>
      <c r="I335" s="35">
        <v>7.3232227526715929</v>
      </c>
      <c r="J335" s="35">
        <v>7.3018264779684827</v>
      </c>
      <c r="K335" s="104">
        <f t="shared" si="12"/>
        <v>2042</v>
      </c>
    </row>
    <row r="336" spans="7:13">
      <c r="G336" s="31">
        <v>52079</v>
      </c>
      <c r="H336" s="35">
        <v>7.5992249934097131</v>
      </c>
      <c r="I336" s="35">
        <v>7.4113543084002229</v>
      </c>
      <c r="J336" s="35">
        <v>7.3752983237980523</v>
      </c>
      <c r="K336" s="104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4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4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4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4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4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4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4">
        <f t="shared" si="13"/>
        <v>1900</v>
      </c>
    </row>
    <row r="344" spans="7:11">
      <c r="G344" s="31"/>
      <c r="H344" s="35"/>
      <c r="K344" s="104"/>
    </row>
    <row r="345" spans="7:11">
      <c r="G345" s="31"/>
      <c r="H345" s="35"/>
      <c r="K345" s="104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topLeftCell="A5" zoomScale="80" zoomScaleNormal="80" zoomScaleSheetLayoutView="80" workbookViewId="0">
      <selection activeCell="B5" sqref="B5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4"/>
      <c r="J1" s="94"/>
      <c r="K1" s="94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57</v>
      </c>
      <c r="O3" s="118"/>
    </row>
    <row r="4" spans="1:18" ht="38.25">
      <c r="B4" s="83" t="str">
        <f ca="1">'Table 1'!B5</f>
        <v>Tesoro Non Firm - 25.0 MW and 85.0% CF</v>
      </c>
      <c r="C4" s="83"/>
      <c r="D4" s="83"/>
      <c r="E4" s="83"/>
      <c r="F4" s="83"/>
      <c r="G4" s="83"/>
      <c r="K4" s="56">
        <f>MIN(K13:K24)</f>
        <v>43831</v>
      </c>
      <c r="M4" s="57" t="s">
        <v>178</v>
      </c>
      <c r="P4" s="251" t="s">
        <v>177</v>
      </c>
      <c r="Q4" s="251" t="s">
        <v>176</v>
      </c>
      <c r="R4" s="251" t="s">
        <v>164</v>
      </c>
    </row>
    <row r="5" spans="1:18">
      <c r="B5" s="83" t="str">
        <f>TEXT($K$5,"MMMM YYYY")&amp;"  through  "&amp;TEXT($K$6,"MMMM YYYY")</f>
        <v>January 2020  through  December 2020</v>
      </c>
      <c r="C5" s="83"/>
      <c r="D5" s="83"/>
      <c r="E5" s="83"/>
      <c r="F5" s="83"/>
      <c r="G5" s="83"/>
      <c r="J5" s="56" t="s">
        <v>40</v>
      </c>
      <c r="K5" s="210">
        <f>MIN(K13:K24)</f>
        <v>43831</v>
      </c>
      <c r="M5" s="56" t="s">
        <v>41</v>
      </c>
      <c r="O5" s="3" t="s">
        <v>99</v>
      </c>
      <c r="P5" s="5">
        <f>MATCH('Table 5'!K5,'Table 5'!$B$12:$B$264,FALSE)+ROW('Table 5'!$B$11)</f>
        <v>13</v>
      </c>
      <c r="Q5" s="5">
        <v>13</v>
      </c>
      <c r="R5" s="5">
        <v>25</v>
      </c>
    </row>
    <row r="6" spans="1:18">
      <c r="B6" s="83" t="s">
        <v>42</v>
      </c>
      <c r="C6" s="83"/>
      <c r="D6" s="83"/>
      <c r="E6" s="83"/>
      <c r="F6" s="83"/>
      <c r="G6" s="83"/>
      <c r="J6" s="56" t="s">
        <v>43</v>
      </c>
      <c r="K6" s="210">
        <f>EDATE(K5,1*12-1)</f>
        <v>44166</v>
      </c>
      <c r="M6" s="57">
        <v>25</v>
      </c>
      <c r="N6" s="56" t="s">
        <v>34</v>
      </c>
      <c r="O6" s="5" t="s">
        <v>100</v>
      </c>
      <c r="P6">
        <f>P5+12-1</f>
        <v>24</v>
      </c>
      <c r="Q6">
        <f>Q5+239</f>
        <v>252</v>
      </c>
      <c r="R6">
        <f>R5+179</f>
        <v>204</v>
      </c>
    </row>
    <row r="7" spans="1:18">
      <c r="A7" s="107"/>
      <c r="B7" s="190"/>
      <c r="C7" s="58"/>
      <c r="D7" s="58"/>
      <c r="E7" s="58"/>
      <c r="F7" s="58"/>
      <c r="G7" s="91"/>
      <c r="M7" s="111">
        <f ca="1">SUM(OFFSET(F12,MATCH(K5,B13:B24,0),0,12))/(EDATE(K5,12)-K5)/24/Study_MW</f>
        <v>0.85</v>
      </c>
      <c r="N7" s="88" t="s">
        <v>36</v>
      </c>
    </row>
    <row r="8" spans="1:18">
      <c r="A8" s="107"/>
      <c r="B8" s="107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7" t="str">
        <f>P4</f>
        <v>1 Year Starting 2020</v>
      </c>
      <c r="C9" s="58">
        <f ca="1">NPV($K$9,INDIRECT("C"&amp;$P$5&amp;":C"&amp;$P$6))</f>
        <v>3775469.1383176986</v>
      </c>
      <c r="D9" s="58">
        <f ca="1">NPV($K$9,INDIRECT("d"&amp;$P$5&amp;":d"&amp;$P$6))</f>
        <v>0</v>
      </c>
      <c r="E9" s="58">
        <f ca="1">NPV($K$9,INDIRECT("e"&amp;$P$5&amp;":e"&amp;$P$6))</f>
        <v>3775469.1383176986</v>
      </c>
      <c r="F9" s="58">
        <f ca="1">NPV($K$9,INDIRECT("f"&amp;$P$5&amp;":f"&amp;$P$6))</f>
        <v>180044.62209129069</v>
      </c>
      <c r="G9" s="91">
        <f ca="1">($C9+D9)/$F9</f>
        <v>20.969630164256539</v>
      </c>
      <c r="J9" s="110">
        <f>'Table 1'!I39</f>
        <v>6.9099999999999995E-2</v>
      </c>
      <c r="K9" s="93">
        <f>((1+J9)^(1/12))-1</f>
        <v>5.5836284214501042E-3</v>
      </c>
    </row>
    <row r="10" spans="1:18">
      <c r="A10" s="107"/>
      <c r="C10" s="58"/>
      <c r="D10" s="58"/>
      <c r="E10" s="58"/>
      <c r="F10" s="58"/>
      <c r="G10" s="91"/>
      <c r="N10" s="59"/>
    </row>
    <row r="11" spans="1:18">
      <c r="B11" s="92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0.0% CF</v>
      </c>
      <c r="E12" s="66" t="s">
        <v>52</v>
      </c>
      <c r="F12" s="67" t="s">
        <v>48</v>
      </c>
      <c r="G12" s="65" t="str">
        <f>D12</f>
        <v>0.0%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84</v>
      </c>
      <c r="R12" s="56" t="s">
        <v>85</v>
      </c>
    </row>
    <row r="13" spans="1:18">
      <c r="B13" s="74">
        <f>[10]NPC!$F$3</f>
        <v>43831</v>
      </c>
      <c r="C13" s="69">
        <f>IF(F13="","",-INDEX([10]Delta!$F$1:$EE$997,$L$13,$I13))</f>
        <v>306150.11626407504</v>
      </c>
      <c r="D13" s="70">
        <f>IF(ISNUMBER($F13),VLOOKUP($J13,'Table 1'!$B$13:$C$33,2,FALSE)/12*1000*Study_MW,"")</f>
        <v>0</v>
      </c>
      <c r="E13" s="71">
        <f>IF(ISNUMBER(C13+D13),C13+D13,"")</f>
        <v>306150.11626407504</v>
      </c>
      <c r="F13" s="69">
        <f>IF(INDEX([10]Delta!$F$1:$EE$997,$L$14,$I13)=0,"",INDEX([10]Delta!$F$1:$EE$997,$L$14,$I13))</f>
        <v>15810</v>
      </c>
      <c r="G13" s="72">
        <f>IF(ISNUMBER($F13),E13/$F13,"")</f>
        <v>19.364333729543013</v>
      </c>
      <c r="I13" s="60">
        <v>1</v>
      </c>
      <c r="J13" s="73">
        <f>YEAR(B13)</f>
        <v>2020</v>
      </c>
      <c r="K13" s="74">
        <f t="shared" ref="K13:K24" si="0">IF(ISNUMBER(F13),B13,"")</f>
        <v>43831</v>
      </c>
      <c r="L13" s="56">
        <f>MATCH(M13,[10]Delta!$A$1:$A$997,FALSE)</f>
        <v>283</v>
      </c>
      <c r="M13" s="56" t="s">
        <v>51</v>
      </c>
    </row>
    <row r="14" spans="1:18">
      <c r="B14" s="78">
        <f t="shared" ref="B14:B77" si="1">EDATE(B13,1)</f>
        <v>43862</v>
      </c>
      <c r="C14" s="75">
        <f>IF(F14="","",-INDEX([10]Delta!$F$1:$EE$997,$L$13,$I14))</f>
        <v>350647.85253883898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350647.85253883898</v>
      </c>
      <c r="F14" s="75">
        <f>IF(INDEX([10]Delta!$F$1:$EE$997,$L$14,$I14)=0,"",INDEX([10]Delta!$F$1:$EE$997,$L$14,$I14))</f>
        <v>14790</v>
      </c>
      <c r="G14" s="76">
        <f t="shared" ref="G14:G77" si="3">IF(ISNUMBER($F14),E14/$F14,"")</f>
        <v>23.708441686196011</v>
      </c>
      <c r="I14" s="77">
        <f>I13+1</f>
        <v>2</v>
      </c>
      <c r="J14" s="73">
        <f t="shared" ref="J14:J77" si="4">YEAR(B14)</f>
        <v>2020</v>
      </c>
      <c r="K14" s="78">
        <f t="shared" si="0"/>
        <v>43862</v>
      </c>
      <c r="L14" s="56">
        <f>MATCH(M14,[10]Delta!$C$304:$C$507,FALSE)+ROW([10]Delta!$C$303)+2</f>
        <v>379</v>
      </c>
      <c r="M14" s="90" t="str">
        <f>CHOOSE([10]NPC!$EQ$84,[10]NPC!$EI$84,[10]NPC!$EK$84,[10]NPC!$EM$84,[10]NPC!$EO$84)</f>
        <v>QF - 435 - UT - Gas</v>
      </c>
    </row>
    <row r="15" spans="1:18">
      <c r="B15" s="78">
        <f t="shared" si="1"/>
        <v>43891</v>
      </c>
      <c r="C15" s="75">
        <f>IF(F15="","",-INDEX([10]Delta!$F$1:$EE$997,$L$13,$I15))</f>
        <v>275015.04212746024</v>
      </c>
      <c r="D15" s="71">
        <f>IF(ISNUMBER($F15),VLOOKUP($J15,'Table 1'!$B$13:$C$33,2,FALSE)/12*1000*Study_MW,"")</f>
        <v>0</v>
      </c>
      <c r="E15" s="71">
        <f t="shared" si="2"/>
        <v>275015.04212746024</v>
      </c>
      <c r="F15" s="75">
        <f>IF(INDEX([10]Delta!$F$1:$EE$997,$L$14,$I15)=0,"",INDEX([10]Delta!$F$1:$EE$997,$L$14,$I15))</f>
        <v>15810</v>
      </c>
      <c r="G15" s="76">
        <f t="shared" si="3"/>
        <v>17.395005827163835</v>
      </c>
      <c r="I15" s="77">
        <f t="shared" ref="I15:I24" si="5">I14+1</f>
        <v>3</v>
      </c>
      <c r="J15" s="73">
        <f t="shared" si="4"/>
        <v>2020</v>
      </c>
      <c r="K15" s="78">
        <f t="shared" si="0"/>
        <v>43891</v>
      </c>
    </row>
    <row r="16" spans="1:18">
      <c r="B16" s="78">
        <f t="shared" si="1"/>
        <v>43922</v>
      </c>
      <c r="C16" s="75">
        <f>IF(F16="","",-INDEX([10]Delta!$F$1:$EE$997,$L$13,$I16))</f>
        <v>257189.14635083079</v>
      </c>
      <c r="D16" s="71">
        <f>IF(ISNUMBER($F16),VLOOKUP($J16,'Table 1'!$B$13:$C$33,2,FALSE)/12*1000*Study_MW,"")</f>
        <v>0</v>
      </c>
      <c r="E16" s="71">
        <f t="shared" si="2"/>
        <v>257189.14635083079</v>
      </c>
      <c r="F16" s="75">
        <f>IF(INDEX([10]Delta!$F$1:$EE$997,$L$14,$I16)=0,"",INDEX([10]Delta!$F$1:$EE$997,$L$14,$I16))</f>
        <v>15300</v>
      </c>
      <c r="G16" s="76">
        <f t="shared" si="3"/>
        <v>16.80974812750528</v>
      </c>
      <c r="I16" s="77">
        <f t="shared" si="5"/>
        <v>4</v>
      </c>
      <c r="J16" s="73">
        <f t="shared" si="4"/>
        <v>2020</v>
      </c>
      <c r="K16" s="78">
        <f t="shared" si="0"/>
        <v>43922</v>
      </c>
      <c r="L16" s="73">
        <f>YEAR(B13)</f>
        <v>2020</v>
      </c>
      <c r="M16" s="56">
        <f>SUMIF($J$13:$J$264,L16,$C$13:$C$264)</f>
        <v>3916454.8540098071</v>
      </c>
      <c r="N16" s="56">
        <f>SUMIF($J$13:$J$264,L16,$D$13:$D$264)</f>
        <v>0</v>
      </c>
      <c r="O16" s="56">
        <f t="shared" ref="O16:O25" si="6">SUMIF($J$13:$J$264,L16,$F$13:$F$264)</f>
        <v>186660</v>
      </c>
      <c r="P16" s="117">
        <f t="shared" ref="P16:P25" si="7">(M16+N16)/O16</f>
        <v>20.981757494963073</v>
      </c>
      <c r="Q16" s="180">
        <f>M16/O16</f>
        <v>20.981757494963073</v>
      </c>
      <c r="R16" s="180">
        <f>IFERROR(N16/O16,0)</f>
        <v>0</v>
      </c>
    </row>
    <row r="17" spans="2:18">
      <c r="B17" s="78">
        <f t="shared" si="1"/>
        <v>43952</v>
      </c>
      <c r="C17" s="75">
        <f>IF(F17="","",-INDEX([10]Delta!$F$1:$EE$997,$L$13,$I17))</f>
        <v>249937.27025285363</v>
      </c>
      <c r="D17" s="71">
        <f>IF(ISNUMBER($F17),VLOOKUP($J17,'Table 1'!$B$13:$C$33,2,FALSE)/12*1000*Study_MW,"")</f>
        <v>0</v>
      </c>
      <c r="E17" s="71">
        <f t="shared" si="2"/>
        <v>249937.27025285363</v>
      </c>
      <c r="F17" s="75">
        <f>IF(INDEX([10]Delta!$F$1:$EE$997,$L$14,$I17)=0,"",INDEX([10]Delta!$F$1:$EE$997,$L$14,$I17))</f>
        <v>15810</v>
      </c>
      <c r="G17" s="76">
        <f t="shared" si="3"/>
        <v>15.80880899765045</v>
      </c>
      <c r="I17" s="77">
        <f t="shared" si="5"/>
        <v>5</v>
      </c>
      <c r="J17" s="73">
        <f t="shared" si="4"/>
        <v>2020</v>
      </c>
      <c r="K17" s="78">
        <f t="shared" si="0"/>
        <v>43952</v>
      </c>
      <c r="L17" s="73">
        <f>L16+1</f>
        <v>2021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7" t="e">
        <f t="shared" si="7"/>
        <v>#DIV/0!</v>
      </c>
      <c r="Q17" s="180" t="e">
        <f t="shared" ref="Q17:Q33" si="9">M17/O17</f>
        <v>#DIV/0!</v>
      </c>
      <c r="R17" s="180">
        <f t="shared" ref="R17:R33" si="10">IFERROR(N17/O17,0)</f>
        <v>0</v>
      </c>
    </row>
    <row r="18" spans="2:18">
      <c r="B18" s="78">
        <f t="shared" si="1"/>
        <v>43983</v>
      </c>
      <c r="C18" s="75">
        <f>IF(F18="","",-INDEX([10]Delta!$F$1:$EE$997,$L$13,$I18))</f>
        <v>255951.90620836616</v>
      </c>
      <c r="D18" s="71">
        <f>IF(ISNUMBER($F18),VLOOKUP($J18,'Table 1'!$B$13:$C$33,2,FALSE)/12*1000*Study_MW,"")</f>
        <v>0</v>
      </c>
      <c r="E18" s="71">
        <f t="shared" si="2"/>
        <v>255951.90620836616</v>
      </c>
      <c r="F18" s="75">
        <f>IF(INDEX([10]Delta!$F$1:$EE$997,$L$14,$I18)=0,"",INDEX([10]Delta!$F$1:$EE$997,$L$14,$I18))</f>
        <v>15300</v>
      </c>
      <c r="G18" s="76">
        <f t="shared" si="3"/>
        <v>16.728882758716743</v>
      </c>
      <c r="I18" s="77">
        <f t="shared" si="5"/>
        <v>6</v>
      </c>
      <c r="J18" s="73">
        <f t="shared" si="4"/>
        <v>2020</v>
      </c>
      <c r="K18" s="78">
        <f t="shared" si="0"/>
        <v>43983</v>
      </c>
      <c r="L18" s="73">
        <f t="shared" ref="L18:L37" si="11">L17+1</f>
        <v>2022</v>
      </c>
      <c r="M18" s="56">
        <f t="shared" ref="M18:M36" si="12">SUMIF($J$13:$J$264,L18,$C$13:$C$264)</f>
        <v>0</v>
      </c>
      <c r="N18" s="56">
        <f t="shared" si="8"/>
        <v>0</v>
      </c>
      <c r="O18" s="56">
        <f t="shared" si="6"/>
        <v>0</v>
      </c>
      <c r="P18" s="117" t="e">
        <f t="shared" si="7"/>
        <v>#DIV/0!</v>
      </c>
      <c r="Q18" s="180" t="e">
        <f t="shared" si="9"/>
        <v>#DIV/0!</v>
      </c>
      <c r="R18" s="180">
        <f t="shared" si="10"/>
        <v>0</v>
      </c>
    </row>
    <row r="19" spans="2:18">
      <c r="B19" s="78">
        <f t="shared" si="1"/>
        <v>44013</v>
      </c>
      <c r="C19" s="75">
        <f>IF(F19="","",-INDEX([10]Delta!$F$1:$EE$997,$L$13,$I19))</f>
        <v>501351.32106080651</v>
      </c>
      <c r="D19" s="71">
        <f>IF(ISNUMBER($F19),VLOOKUP($J19,'Table 1'!$B$13:$C$33,2,FALSE)/12*1000*Study_MW,"")</f>
        <v>0</v>
      </c>
      <c r="E19" s="71">
        <f t="shared" si="2"/>
        <v>501351.32106080651</v>
      </c>
      <c r="F19" s="75">
        <f>IF(INDEX([10]Delta!$F$1:$EE$997,$L$14,$I19)=0,"",INDEX([10]Delta!$F$1:$EE$997,$L$14,$I19))</f>
        <v>15810</v>
      </c>
      <c r="G19" s="76">
        <f t="shared" si="3"/>
        <v>31.711026000051014</v>
      </c>
      <c r="I19" s="77">
        <f t="shared" si="5"/>
        <v>7</v>
      </c>
      <c r="J19" s="73">
        <f t="shared" si="4"/>
        <v>2020</v>
      </c>
      <c r="K19" s="78">
        <f t="shared" si="0"/>
        <v>44013</v>
      </c>
      <c r="L19" s="73">
        <f t="shared" si="11"/>
        <v>2023</v>
      </c>
      <c r="M19" s="56">
        <f t="shared" si="12"/>
        <v>0</v>
      </c>
      <c r="N19" s="56">
        <f t="shared" si="8"/>
        <v>0</v>
      </c>
      <c r="O19" s="56">
        <f t="shared" si="6"/>
        <v>0</v>
      </c>
      <c r="P19" s="117" t="e">
        <f t="shared" si="7"/>
        <v>#DIV/0!</v>
      </c>
      <c r="Q19" s="180" t="e">
        <f t="shared" si="9"/>
        <v>#DIV/0!</v>
      </c>
      <c r="R19" s="180">
        <f t="shared" si="10"/>
        <v>0</v>
      </c>
    </row>
    <row r="20" spans="2:18">
      <c r="B20" s="78">
        <f t="shared" si="1"/>
        <v>44044</v>
      </c>
      <c r="C20" s="75">
        <f>IF(F20="","",-INDEX([10]Delta!$F$1:$EE$997,$L$13,$I20))</f>
        <v>497518.57837188244</v>
      </c>
      <c r="D20" s="71">
        <f>IF(ISNUMBER($F20),VLOOKUP($J20,'Table 1'!$B$13:$C$33,2,FALSE)/12*1000*Study_MW,"")</f>
        <v>0</v>
      </c>
      <c r="E20" s="71">
        <f t="shared" si="2"/>
        <v>497518.57837188244</v>
      </c>
      <c r="F20" s="75">
        <f>IF(INDEX([10]Delta!$F$1:$EE$997,$L$14,$I20)=0,"",INDEX([10]Delta!$F$1:$EE$997,$L$14,$I20))</f>
        <v>15810</v>
      </c>
      <c r="G20" s="76">
        <f t="shared" si="3"/>
        <v>31.468600782535258</v>
      </c>
      <c r="I20" s="77">
        <f t="shared" si="5"/>
        <v>8</v>
      </c>
      <c r="J20" s="73">
        <f t="shared" si="4"/>
        <v>2020</v>
      </c>
      <c r="K20" s="78">
        <f t="shared" si="0"/>
        <v>44044</v>
      </c>
      <c r="L20" s="73">
        <f t="shared" si="11"/>
        <v>2024</v>
      </c>
      <c r="M20" s="56">
        <f t="shared" si="12"/>
        <v>0</v>
      </c>
      <c r="N20" s="56">
        <f t="shared" si="8"/>
        <v>0</v>
      </c>
      <c r="O20" s="56">
        <f t="shared" si="6"/>
        <v>0</v>
      </c>
      <c r="P20" s="117" t="e">
        <f t="shared" si="7"/>
        <v>#DIV/0!</v>
      </c>
      <c r="Q20" s="180" t="e">
        <f t="shared" si="9"/>
        <v>#DIV/0!</v>
      </c>
      <c r="R20" s="180">
        <f t="shared" si="10"/>
        <v>0</v>
      </c>
    </row>
    <row r="21" spans="2:18">
      <c r="B21" s="78">
        <f t="shared" si="1"/>
        <v>44075</v>
      </c>
      <c r="C21" s="75">
        <f>IF(F21="","",-INDEX([10]Delta!$F$1:$EE$997,$L$13,$I21))</f>
        <v>342288.96337607503</v>
      </c>
      <c r="D21" s="71">
        <f>IF(ISNUMBER($F21),VLOOKUP($J21,'Table 1'!$B$13:$C$33,2,FALSE)/12*1000*Study_MW,"")</f>
        <v>0</v>
      </c>
      <c r="E21" s="71">
        <f t="shared" si="2"/>
        <v>342288.96337607503</v>
      </c>
      <c r="F21" s="75">
        <f>IF(INDEX([10]Delta!$F$1:$EE$997,$L$14,$I21)=0,"",INDEX([10]Delta!$F$1:$EE$997,$L$14,$I21))</f>
        <v>15300</v>
      </c>
      <c r="G21" s="76">
        <f t="shared" si="3"/>
        <v>22.37182767163889</v>
      </c>
      <c r="I21" s="77">
        <f t="shared" si="5"/>
        <v>9</v>
      </c>
      <c r="J21" s="73">
        <f t="shared" si="4"/>
        <v>2020</v>
      </c>
      <c r="K21" s="78">
        <f t="shared" si="0"/>
        <v>44075</v>
      </c>
      <c r="L21" s="73">
        <f t="shared" si="11"/>
        <v>2025</v>
      </c>
      <c r="M21" s="56">
        <f t="shared" si="12"/>
        <v>0</v>
      </c>
      <c r="N21" s="56">
        <f t="shared" si="8"/>
        <v>0</v>
      </c>
      <c r="O21" s="56">
        <f t="shared" si="6"/>
        <v>0</v>
      </c>
      <c r="P21" s="117" t="e">
        <f t="shared" si="7"/>
        <v>#DIV/0!</v>
      </c>
      <c r="Q21" s="180" t="e">
        <f t="shared" si="9"/>
        <v>#DIV/0!</v>
      </c>
      <c r="R21" s="180">
        <f t="shared" si="10"/>
        <v>0</v>
      </c>
    </row>
    <row r="22" spans="2:18">
      <c r="B22" s="78">
        <f t="shared" si="1"/>
        <v>44105</v>
      </c>
      <c r="C22" s="75">
        <f>IF(F22="","",-INDEX([10]Delta!$F$1:$EE$997,$L$13,$I22))</f>
        <v>275718.73283581436</v>
      </c>
      <c r="D22" s="71">
        <f>IF(ISNUMBER($F22),VLOOKUP($J22,'Table 1'!$B$13:$C$33,2,FALSE)/12*1000*Study_MW,"")</f>
        <v>0</v>
      </c>
      <c r="E22" s="71">
        <f t="shared" si="2"/>
        <v>275718.73283581436</v>
      </c>
      <c r="F22" s="75">
        <f>IF(INDEX([10]Delta!$F$1:$EE$997,$L$14,$I22)=0,"",INDEX([10]Delta!$F$1:$EE$997,$L$14,$I22))</f>
        <v>15810</v>
      </c>
      <c r="G22" s="76">
        <f t="shared" si="3"/>
        <v>17.439515043378517</v>
      </c>
      <c r="I22" s="77">
        <f t="shared" si="5"/>
        <v>10</v>
      </c>
      <c r="J22" s="73">
        <f t="shared" si="4"/>
        <v>2020</v>
      </c>
      <c r="K22" s="78">
        <f t="shared" si="0"/>
        <v>44105</v>
      </c>
      <c r="L22" s="73">
        <f t="shared" si="11"/>
        <v>2026</v>
      </c>
      <c r="M22" s="56">
        <f t="shared" si="12"/>
        <v>0</v>
      </c>
      <c r="N22" s="56">
        <f t="shared" si="8"/>
        <v>0</v>
      </c>
      <c r="O22" s="56">
        <f t="shared" si="6"/>
        <v>0</v>
      </c>
      <c r="P22" s="117" t="e">
        <f t="shared" si="7"/>
        <v>#DIV/0!</v>
      </c>
      <c r="Q22" s="180" t="e">
        <f t="shared" si="9"/>
        <v>#DIV/0!</v>
      </c>
      <c r="R22" s="180">
        <f t="shared" si="10"/>
        <v>0</v>
      </c>
    </row>
    <row r="23" spans="2:18">
      <c r="B23" s="78">
        <f t="shared" si="1"/>
        <v>44136</v>
      </c>
      <c r="C23" s="75">
        <f>IF(F23="","",-INDEX([10]Delta!$F$1:$EE$997,$L$13,$I23))</f>
        <v>321111.02089376748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321111.02089376748</v>
      </c>
      <c r="F23" s="75">
        <f>IF(INDEX([10]Delta!$F$1:$EE$997,$L$14,$I23)=0,"",INDEX([10]Delta!$F$1:$EE$997,$L$14,$I23))</f>
        <v>15300</v>
      </c>
      <c r="G23" s="76">
        <f t="shared" ref="G23" si="14">IF(ISNUMBER($F23),E23/$F23,"")</f>
        <v>20.987648424429246</v>
      </c>
      <c r="I23" s="77">
        <f t="shared" si="5"/>
        <v>11</v>
      </c>
      <c r="J23" s="73">
        <f t="shared" si="4"/>
        <v>2020</v>
      </c>
      <c r="K23" s="78">
        <f t="shared" si="0"/>
        <v>44136</v>
      </c>
      <c r="L23" s="73">
        <f t="shared" si="11"/>
        <v>2027</v>
      </c>
      <c r="M23" s="56">
        <f t="shared" si="12"/>
        <v>0</v>
      </c>
      <c r="N23" s="56">
        <f t="shared" si="8"/>
        <v>0</v>
      </c>
      <c r="O23" s="56">
        <f t="shared" si="6"/>
        <v>0</v>
      </c>
      <c r="P23" s="117" t="e">
        <f t="shared" si="7"/>
        <v>#DIV/0!</v>
      </c>
      <c r="Q23" s="180" t="e">
        <f t="shared" si="9"/>
        <v>#DIV/0!</v>
      </c>
      <c r="R23" s="180">
        <f t="shared" si="10"/>
        <v>0</v>
      </c>
    </row>
    <row r="24" spans="2:18">
      <c r="B24" s="82">
        <f t="shared" si="1"/>
        <v>44166</v>
      </c>
      <c r="C24" s="79">
        <f>IF(F24="","",-INDEX([10]Delta!$F$1:$EE$997,$L$13,$I24))</f>
        <v>283574.90372903645</v>
      </c>
      <c r="D24" s="80">
        <f>IF(F24&lt;&gt;0,VLOOKUP($J24,'Table 1'!$B$13:$C$33,2,FALSE)/12*1000*Study_MW,0)</f>
        <v>0</v>
      </c>
      <c r="E24" s="80">
        <f t="shared" ref="E24" si="15">IF(ISNUMBER(C24+D24),C24+D24,"")</f>
        <v>283574.90372903645</v>
      </c>
      <c r="F24" s="79">
        <f>IF(INDEX([10]Delta!$F$1:$EE$997,$L$14,$I24)=0,"",INDEX([10]Delta!$F$1:$EE$997,$L$14,$I24))</f>
        <v>15810</v>
      </c>
      <c r="G24" s="81">
        <f t="shared" ref="G24" si="16">IF(ISNUMBER($F24),E24/$F24,"")</f>
        <v>17.93642654832615</v>
      </c>
      <c r="I24" s="64">
        <f t="shared" si="5"/>
        <v>12</v>
      </c>
      <c r="J24" s="73">
        <f t="shared" si="4"/>
        <v>2020</v>
      </c>
      <c r="K24" s="82">
        <f t="shared" si="0"/>
        <v>44166</v>
      </c>
      <c r="L24" s="73">
        <f t="shared" si="11"/>
        <v>2028</v>
      </c>
      <c r="M24" s="56">
        <f t="shared" si="12"/>
        <v>0</v>
      </c>
      <c r="N24" s="56">
        <f t="shared" si="8"/>
        <v>0</v>
      </c>
      <c r="O24" s="56">
        <f t="shared" si="6"/>
        <v>0</v>
      </c>
      <c r="P24" s="117" t="e">
        <f t="shared" si="7"/>
        <v>#DIV/0!</v>
      </c>
      <c r="Q24" s="180" t="e">
        <f t="shared" si="9"/>
        <v>#DIV/0!</v>
      </c>
      <c r="R24" s="180">
        <f t="shared" si="10"/>
        <v>0</v>
      </c>
    </row>
    <row r="25" spans="2:18" hidden="1">
      <c r="B25" s="74">
        <f t="shared" si="1"/>
        <v>44197</v>
      </c>
      <c r="C25" s="69">
        <f>IF(F25&lt;&gt;0,-INDEX([10]Delta!$F$1:$EE$997,$L$13,$I25),0)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17">C25+D25</f>
        <v>0</v>
      </c>
      <c r="F25" s="69">
        <f>INDEX([10]Delta!$F$1:$EE$997,$L$14,$I25)</f>
        <v>0</v>
      </c>
      <c r="G25" s="72" t="e">
        <f t="shared" si="3"/>
        <v>#DIV/0!</v>
      </c>
      <c r="I25" s="60">
        <f>I13+13</f>
        <v>14</v>
      </c>
      <c r="J25" s="73">
        <f t="shared" si="4"/>
        <v>2021</v>
      </c>
      <c r="K25" s="74" t="str">
        <f>IF(ISNUMBER(F25),IF(F25&lt;&gt;0,B25,""),"")</f>
        <v/>
      </c>
      <c r="L25" s="73">
        <f t="shared" si="11"/>
        <v>2029</v>
      </c>
      <c r="M25" s="56">
        <f t="shared" si="12"/>
        <v>0</v>
      </c>
      <c r="N25" s="56">
        <f t="shared" si="8"/>
        <v>0</v>
      </c>
      <c r="O25" s="56">
        <f t="shared" si="6"/>
        <v>0</v>
      </c>
      <c r="P25" s="117" t="e">
        <f t="shared" si="7"/>
        <v>#DIV/0!</v>
      </c>
      <c r="Q25" s="180" t="e">
        <f t="shared" si="9"/>
        <v>#DIV/0!</v>
      </c>
      <c r="R25" s="180">
        <f t="shared" si="10"/>
        <v>0</v>
      </c>
    </row>
    <row r="26" spans="2:18" hidden="1">
      <c r="B26" s="78">
        <f t="shared" si="1"/>
        <v>44228</v>
      </c>
      <c r="C26" s="75">
        <f>IF(F26&lt;&gt;0,-INDEX([10]Delta!$F$1:$EE$997,$L$13,$I26),0)</f>
        <v>0</v>
      </c>
      <c r="D26" s="71">
        <f>IF(F26&lt;&gt;0,VLOOKUP($J26,'Table 1'!$B$13:$C$33,2,FALSE)/12*1000*Study_MW,0)</f>
        <v>0</v>
      </c>
      <c r="E26" s="71">
        <f t="shared" si="17"/>
        <v>0</v>
      </c>
      <c r="F26" s="75">
        <f>INDEX([10]Delta!$F$1:$EE$997,$L$14,$I26)</f>
        <v>0</v>
      </c>
      <c r="G26" s="76" t="e">
        <f t="shared" si="3"/>
        <v>#DIV/0!</v>
      </c>
      <c r="I26" s="77">
        <f t="shared" ref="I26:I89" si="18">I14+13</f>
        <v>15</v>
      </c>
      <c r="J26" s="73">
        <f t="shared" si="4"/>
        <v>2021</v>
      </c>
      <c r="K26" s="78" t="str">
        <f t="shared" ref="K26:K89" si="19">IF(ISNUMBER(F26),IF(F26&lt;&gt;0,B26,""),"")</f>
        <v/>
      </c>
      <c r="L26" s="73">
        <f t="shared" si="11"/>
        <v>2030</v>
      </c>
      <c r="M26" s="56">
        <f t="shared" si="12"/>
        <v>0</v>
      </c>
      <c r="N26" s="56">
        <f t="shared" si="8"/>
        <v>0</v>
      </c>
      <c r="O26" s="56">
        <f>SUMIF($J$13:$J$264,L26,$F$13:$F$264)</f>
        <v>0</v>
      </c>
      <c r="P26" s="117" t="e">
        <f>(M26+N26)/O26</f>
        <v>#DIV/0!</v>
      </c>
      <c r="Q26" s="180" t="e">
        <f t="shared" si="9"/>
        <v>#DIV/0!</v>
      </c>
      <c r="R26" s="180">
        <f t="shared" si="10"/>
        <v>0</v>
      </c>
    </row>
    <row r="27" spans="2:18" hidden="1">
      <c r="B27" s="78">
        <f t="shared" si="1"/>
        <v>44256</v>
      </c>
      <c r="C27" s="75">
        <f>IF(F27&lt;&gt;0,-INDEX([10]Delta!$F$1:$EE$997,$L$13,$I27),0)</f>
        <v>0</v>
      </c>
      <c r="D27" s="71">
        <f>IF(F27&lt;&gt;0,VLOOKUP($J27,'Table 1'!$B$13:$C$33,2,FALSE)/12*1000*Study_MW,0)</f>
        <v>0</v>
      </c>
      <c r="E27" s="71">
        <f t="shared" si="17"/>
        <v>0</v>
      </c>
      <c r="F27" s="75">
        <f>INDEX([10]Delta!$F$1:$EE$997,$L$14,$I27)</f>
        <v>0</v>
      </c>
      <c r="G27" s="76" t="e">
        <f t="shared" si="3"/>
        <v>#DIV/0!</v>
      </c>
      <c r="I27" s="77">
        <f t="shared" si="18"/>
        <v>16</v>
      </c>
      <c r="J27" s="73">
        <f t="shared" si="4"/>
        <v>2021</v>
      </c>
      <c r="K27" s="78" t="str">
        <f t="shared" si="19"/>
        <v/>
      </c>
      <c r="L27" s="73">
        <f t="shared" si="11"/>
        <v>2031</v>
      </c>
      <c r="M27" s="56">
        <f t="shared" si="12"/>
        <v>0</v>
      </c>
      <c r="N27" s="56">
        <f t="shared" si="8"/>
        <v>0</v>
      </c>
      <c r="O27" s="56">
        <f t="shared" ref="O27:O31" si="20">SUMIF($J$13:$J$264,L27,$F$13:$F$264)</f>
        <v>0</v>
      </c>
      <c r="P27" s="117" t="e">
        <f t="shared" ref="P27:P31" si="21">(M27+N27)/O27</f>
        <v>#DIV/0!</v>
      </c>
      <c r="Q27" s="180" t="e">
        <f t="shared" si="9"/>
        <v>#DIV/0!</v>
      </c>
      <c r="R27" s="180">
        <f t="shared" si="10"/>
        <v>0</v>
      </c>
    </row>
    <row r="28" spans="2:18" hidden="1">
      <c r="B28" s="78">
        <f t="shared" si="1"/>
        <v>44287</v>
      </c>
      <c r="C28" s="75">
        <f>IF(F28&lt;&gt;0,-INDEX([10]Delta!$F$1:$EE$997,$L$13,$I28),0)</f>
        <v>0</v>
      </c>
      <c r="D28" s="71">
        <f>IF(F28&lt;&gt;0,VLOOKUP($J28,'Table 1'!$B$13:$C$33,2,FALSE)/12*1000*Study_MW,0)</f>
        <v>0</v>
      </c>
      <c r="E28" s="71">
        <f t="shared" si="17"/>
        <v>0</v>
      </c>
      <c r="F28" s="75">
        <f>INDEX([10]Delta!$F$1:$EE$997,$L$14,$I28)</f>
        <v>0</v>
      </c>
      <c r="G28" s="76" t="e">
        <f t="shared" si="3"/>
        <v>#DIV/0!</v>
      </c>
      <c r="I28" s="77">
        <f t="shared" si="18"/>
        <v>17</v>
      </c>
      <c r="J28" s="73">
        <f t="shared" si="4"/>
        <v>2021</v>
      </c>
      <c r="K28" s="78" t="str">
        <f t="shared" si="19"/>
        <v/>
      </c>
      <c r="L28" s="73">
        <f t="shared" si="11"/>
        <v>2032</v>
      </c>
      <c r="M28" s="56">
        <f t="shared" si="12"/>
        <v>0</v>
      </c>
      <c r="N28" s="56">
        <f t="shared" si="8"/>
        <v>0</v>
      </c>
      <c r="O28" s="56">
        <f t="shared" si="20"/>
        <v>0</v>
      </c>
      <c r="P28" s="117" t="e">
        <f t="shared" si="21"/>
        <v>#DIV/0!</v>
      </c>
      <c r="Q28" s="180" t="e">
        <f t="shared" si="9"/>
        <v>#DIV/0!</v>
      </c>
      <c r="R28" s="180">
        <f t="shared" si="10"/>
        <v>0</v>
      </c>
    </row>
    <row r="29" spans="2:18" hidden="1">
      <c r="B29" s="78">
        <f t="shared" si="1"/>
        <v>44317</v>
      </c>
      <c r="C29" s="75">
        <f>IF(F29&lt;&gt;0,-INDEX([10]Delta!$F$1:$EE$997,$L$13,$I29),0)</f>
        <v>0</v>
      </c>
      <c r="D29" s="71">
        <f>IF(F29&lt;&gt;0,VLOOKUP($J29,'Table 1'!$B$13:$C$33,2,FALSE)/12*1000*Study_MW,0)</f>
        <v>0</v>
      </c>
      <c r="E29" s="71">
        <f t="shared" si="17"/>
        <v>0</v>
      </c>
      <c r="F29" s="75">
        <f>INDEX([10]Delta!$F$1:$EE$997,$L$14,$I29)</f>
        <v>0</v>
      </c>
      <c r="G29" s="76" t="e">
        <f t="shared" si="3"/>
        <v>#DIV/0!</v>
      </c>
      <c r="I29" s="77">
        <f t="shared" si="18"/>
        <v>18</v>
      </c>
      <c r="J29" s="73">
        <f t="shared" si="4"/>
        <v>2021</v>
      </c>
      <c r="K29" s="78" t="str">
        <f t="shared" si="19"/>
        <v/>
      </c>
      <c r="L29" s="73">
        <f t="shared" si="11"/>
        <v>2033</v>
      </c>
      <c r="M29" s="56">
        <f t="shared" si="12"/>
        <v>0</v>
      </c>
      <c r="N29" s="56">
        <f t="shared" si="8"/>
        <v>0</v>
      </c>
      <c r="O29" s="56">
        <f t="shared" si="20"/>
        <v>0</v>
      </c>
      <c r="P29" s="117" t="e">
        <f t="shared" si="21"/>
        <v>#DIV/0!</v>
      </c>
      <c r="Q29" s="180" t="e">
        <f t="shared" si="9"/>
        <v>#DIV/0!</v>
      </c>
      <c r="R29" s="180">
        <f t="shared" si="10"/>
        <v>0</v>
      </c>
    </row>
    <row r="30" spans="2:18" hidden="1">
      <c r="B30" s="78">
        <f t="shared" si="1"/>
        <v>44348</v>
      </c>
      <c r="C30" s="75">
        <f>IF(F30&lt;&gt;0,-INDEX([10]Delta!$F$1:$EE$997,$L$13,$I30),0)</f>
        <v>0</v>
      </c>
      <c r="D30" s="71">
        <f>IF(F30&lt;&gt;0,VLOOKUP($J30,'Table 1'!$B$13:$C$33,2,FALSE)/12*1000*Study_MW,0)</f>
        <v>0</v>
      </c>
      <c r="E30" s="71">
        <f t="shared" si="17"/>
        <v>0</v>
      </c>
      <c r="F30" s="75">
        <f>INDEX([10]Delta!$F$1:$EE$997,$L$14,$I30)</f>
        <v>0</v>
      </c>
      <c r="G30" s="76" t="e">
        <f t="shared" si="3"/>
        <v>#DIV/0!</v>
      </c>
      <c r="I30" s="77">
        <f t="shared" si="18"/>
        <v>19</v>
      </c>
      <c r="J30" s="73">
        <f t="shared" si="4"/>
        <v>2021</v>
      </c>
      <c r="K30" s="78" t="str">
        <f t="shared" si="19"/>
        <v/>
      </c>
      <c r="L30" s="73">
        <f t="shared" si="11"/>
        <v>2034</v>
      </c>
      <c r="M30" s="56">
        <f t="shared" si="12"/>
        <v>0</v>
      </c>
      <c r="N30" s="56">
        <f t="shared" si="8"/>
        <v>0</v>
      </c>
      <c r="O30" s="56">
        <f t="shared" si="20"/>
        <v>0</v>
      </c>
      <c r="P30" s="117" t="e">
        <f t="shared" si="21"/>
        <v>#DIV/0!</v>
      </c>
      <c r="Q30" s="180" t="e">
        <f t="shared" si="9"/>
        <v>#DIV/0!</v>
      </c>
      <c r="R30" s="180">
        <f t="shared" si="10"/>
        <v>0</v>
      </c>
    </row>
    <row r="31" spans="2:18" hidden="1">
      <c r="B31" s="78">
        <f t="shared" si="1"/>
        <v>44378</v>
      </c>
      <c r="C31" s="75">
        <f>IF(F31&lt;&gt;0,-INDEX([10]Delta!$F$1:$EE$997,$L$13,$I31),0)</f>
        <v>0</v>
      </c>
      <c r="D31" s="71">
        <f>IF(F31&lt;&gt;0,VLOOKUP($J31,'Table 1'!$B$13:$C$33,2,FALSE)/12*1000*Study_MW,0)</f>
        <v>0</v>
      </c>
      <c r="E31" s="71">
        <f t="shared" si="17"/>
        <v>0</v>
      </c>
      <c r="F31" s="75">
        <f>INDEX([10]Delta!$F$1:$EE$997,$L$14,$I31)</f>
        <v>0</v>
      </c>
      <c r="G31" s="76" t="e">
        <f t="shared" si="3"/>
        <v>#DIV/0!</v>
      </c>
      <c r="I31" s="77">
        <f t="shared" si="18"/>
        <v>20</v>
      </c>
      <c r="J31" s="73">
        <f t="shared" si="4"/>
        <v>2021</v>
      </c>
      <c r="K31" s="78" t="str">
        <f t="shared" si="19"/>
        <v/>
      </c>
      <c r="L31" s="73">
        <f t="shared" si="11"/>
        <v>2035</v>
      </c>
      <c r="M31" s="56">
        <f t="shared" si="12"/>
        <v>0</v>
      </c>
      <c r="N31" s="56">
        <f t="shared" si="8"/>
        <v>0</v>
      </c>
      <c r="O31" s="56">
        <f t="shared" si="20"/>
        <v>0</v>
      </c>
      <c r="P31" s="117" t="e">
        <f t="shared" si="21"/>
        <v>#DIV/0!</v>
      </c>
      <c r="Q31" s="180" t="e">
        <f t="shared" si="9"/>
        <v>#DIV/0!</v>
      </c>
      <c r="R31" s="180">
        <f t="shared" si="10"/>
        <v>0</v>
      </c>
    </row>
    <row r="32" spans="2:18" hidden="1">
      <c r="B32" s="78">
        <f t="shared" si="1"/>
        <v>44409</v>
      </c>
      <c r="C32" s="75">
        <f>IF(F32&lt;&gt;0,-INDEX([10]Delta!$F$1:$EE$997,$L$13,$I32),0)</f>
        <v>0</v>
      </c>
      <c r="D32" s="71">
        <f>IF(F32&lt;&gt;0,VLOOKUP($J32,'Table 1'!$B$13:$C$33,2,FALSE)/12*1000*Study_MW,0)</f>
        <v>0</v>
      </c>
      <c r="E32" s="71">
        <f t="shared" si="17"/>
        <v>0</v>
      </c>
      <c r="F32" s="75">
        <f>INDEX([10]Delta!$F$1:$EE$997,$L$14,$I32)</f>
        <v>0</v>
      </c>
      <c r="G32" s="76" t="e">
        <f t="shared" si="3"/>
        <v>#DIV/0!</v>
      </c>
      <c r="I32" s="77">
        <f t="shared" si="18"/>
        <v>21</v>
      </c>
      <c r="J32" s="73">
        <f t="shared" si="4"/>
        <v>2021</v>
      </c>
      <c r="K32" s="78" t="str">
        <f t="shared" si="19"/>
        <v/>
      </c>
      <c r="L32" s="73">
        <f t="shared" si="11"/>
        <v>2036</v>
      </c>
      <c r="M32" s="56">
        <f t="shared" si="12"/>
        <v>0</v>
      </c>
      <c r="N32" s="56">
        <f t="shared" si="8"/>
        <v>0</v>
      </c>
      <c r="O32" s="56">
        <f t="shared" ref="O32:O35" si="22">SUMIF($J$13:$J$264,L32,$F$13:$F$264)</f>
        <v>0</v>
      </c>
      <c r="P32" s="117" t="e">
        <f t="shared" ref="P32:P34" si="23">(M32+N32)/O32</f>
        <v>#DIV/0!</v>
      </c>
      <c r="Q32" s="180" t="e">
        <f t="shared" si="9"/>
        <v>#DIV/0!</v>
      </c>
      <c r="R32" s="180">
        <f t="shared" si="10"/>
        <v>0</v>
      </c>
    </row>
    <row r="33" spans="2:20" hidden="1">
      <c r="B33" s="78">
        <f t="shared" si="1"/>
        <v>44440</v>
      </c>
      <c r="C33" s="75">
        <f>IF(F33&lt;&gt;0,-INDEX([10]Delta!$F$1:$EE$997,$L$13,$I33),0)</f>
        <v>0</v>
      </c>
      <c r="D33" s="71">
        <f>IF(F33&lt;&gt;0,VLOOKUP($J33,'Table 1'!$B$13:$C$33,2,FALSE)/12*1000*Study_MW,0)</f>
        <v>0</v>
      </c>
      <c r="E33" s="71">
        <f t="shared" si="17"/>
        <v>0</v>
      </c>
      <c r="F33" s="75">
        <f>INDEX([10]Delta!$F$1:$EE$997,$L$14,$I33)</f>
        <v>0</v>
      </c>
      <c r="G33" s="76" t="e">
        <f t="shared" si="3"/>
        <v>#DIV/0!</v>
      </c>
      <c r="I33" s="77">
        <f t="shared" si="18"/>
        <v>22</v>
      </c>
      <c r="J33" s="73">
        <f t="shared" si="4"/>
        <v>2021</v>
      </c>
      <c r="K33" s="78" t="str">
        <f t="shared" si="19"/>
        <v/>
      </c>
      <c r="L33" s="73">
        <f t="shared" si="11"/>
        <v>2037</v>
      </c>
      <c r="M33" s="56">
        <f t="shared" si="12"/>
        <v>0</v>
      </c>
      <c r="N33" s="56">
        <f t="shared" si="8"/>
        <v>0</v>
      </c>
      <c r="O33" s="56">
        <f t="shared" si="22"/>
        <v>0</v>
      </c>
      <c r="P33" s="117" t="e">
        <f t="shared" si="23"/>
        <v>#DIV/0!</v>
      </c>
      <c r="Q33" s="180" t="e">
        <f t="shared" si="9"/>
        <v>#DIV/0!</v>
      </c>
      <c r="R33" s="180">
        <f t="shared" si="10"/>
        <v>0</v>
      </c>
    </row>
    <row r="34" spans="2:20" hidden="1">
      <c r="B34" s="78">
        <f t="shared" si="1"/>
        <v>44470</v>
      </c>
      <c r="C34" s="75">
        <f>IF(F34&lt;&gt;0,-INDEX([10]Delta!$F$1:$EE$997,$L$13,$I34),0)</f>
        <v>0</v>
      </c>
      <c r="D34" s="71">
        <f>IF(F34&lt;&gt;0,VLOOKUP($J34,'Table 1'!$B$13:$C$33,2,FALSE)/12*1000*Study_MW,0)</f>
        <v>0</v>
      </c>
      <c r="E34" s="71">
        <f t="shared" si="17"/>
        <v>0</v>
      </c>
      <c r="F34" s="75">
        <f>INDEX([10]Delta!$F$1:$EE$997,$L$14,$I34)</f>
        <v>0</v>
      </c>
      <c r="G34" s="76" t="e">
        <f t="shared" si="3"/>
        <v>#DIV/0!</v>
      </c>
      <c r="I34" s="77">
        <f t="shared" si="18"/>
        <v>23</v>
      </c>
      <c r="J34" s="73">
        <f t="shared" si="4"/>
        <v>2021</v>
      </c>
      <c r="K34" s="78" t="str">
        <f t="shared" si="19"/>
        <v/>
      </c>
      <c r="L34" s="73">
        <f t="shared" si="11"/>
        <v>2038</v>
      </c>
      <c r="M34" s="56">
        <f t="shared" si="12"/>
        <v>0</v>
      </c>
      <c r="N34" s="56">
        <f t="shared" si="8"/>
        <v>0</v>
      </c>
      <c r="O34" s="56">
        <f t="shared" si="22"/>
        <v>0</v>
      </c>
      <c r="P34" s="117" t="e">
        <f t="shared" si="23"/>
        <v>#DIV/0!</v>
      </c>
      <c r="Q34" s="180" t="e">
        <f t="shared" ref="Q34" si="24">M34/O34</f>
        <v>#DIV/0!</v>
      </c>
      <c r="R34" s="180">
        <f t="shared" ref="R34" si="25">IFERROR(N34/O34,0)</f>
        <v>0</v>
      </c>
    </row>
    <row r="35" spans="2:20" hidden="1">
      <c r="B35" s="78">
        <f t="shared" si="1"/>
        <v>44501</v>
      </c>
      <c r="C35" s="75">
        <f>IF(F35&lt;&gt;0,-INDEX([10]Delta!$F$1:$EE$997,$L$13,$I35),0)</f>
        <v>0</v>
      </c>
      <c r="D35" s="71">
        <f>IF(F35&lt;&gt;0,VLOOKUP($J35,'Table 1'!$B$13:$C$33,2,FALSE)/12*1000*Study_MW,0)</f>
        <v>0</v>
      </c>
      <c r="E35" s="71">
        <f t="shared" si="17"/>
        <v>0</v>
      </c>
      <c r="F35" s="75">
        <f>INDEX([10]Delta!$F$1:$EE$997,$L$14,$I35)</f>
        <v>0</v>
      </c>
      <c r="G35" s="76" t="e">
        <f t="shared" si="3"/>
        <v>#DIV/0!</v>
      </c>
      <c r="I35" s="77">
        <f t="shared" si="18"/>
        <v>24</v>
      </c>
      <c r="J35" s="73">
        <f t="shared" si="4"/>
        <v>2021</v>
      </c>
      <c r="K35" s="78" t="str">
        <f t="shared" si="19"/>
        <v/>
      </c>
      <c r="L35" s="73">
        <f t="shared" si="11"/>
        <v>2039</v>
      </c>
      <c r="M35" s="56">
        <f t="shared" si="12"/>
        <v>0</v>
      </c>
      <c r="N35" s="56">
        <f t="shared" si="8"/>
        <v>0</v>
      </c>
      <c r="O35" s="56">
        <f t="shared" si="22"/>
        <v>0</v>
      </c>
      <c r="P35" s="117" t="e">
        <f t="shared" ref="P35" si="26">(M35+N35)/O35</f>
        <v>#DIV/0!</v>
      </c>
      <c r="Q35" s="180" t="e">
        <f t="shared" ref="Q35" si="27">M35/O35</f>
        <v>#DIV/0!</v>
      </c>
      <c r="R35" s="180">
        <f t="shared" ref="R35" si="28">IFERROR(N35/O35,0)</f>
        <v>0</v>
      </c>
    </row>
    <row r="36" spans="2:20" hidden="1">
      <c r="B36" s="82">
        <f t="shared" si="1"/>
        <v>44531</v>
      </c>
      <c r="C36" s="79">
        <f>IF(F36&lt;&gt;0,-INDEX([10]Delta!$F$1:$EE$997,$L$13,$I36),0)</f>
        <v>0</v>
      </c>
      <c r="D36" s="80">
        <f>IF(F36&lt;&gt;0,VLOOKUP($J36,'Table 1'!$B$13:$C$33,2,FALSE)/12*1000*Study_MW,0)</f>
        <v>0</v>
      </c>
      <c r="E36" s="80">
        <f t="shared" si="17"/>
        <v>0</v>
      </c>
      <c r="F36" s="79">
        <f>INDEX([10]Delta!$F$1:$EE$997,$L$14,$I36)</f>
        <v>0</v>
      </c>
      <c r="G36" s="81" t="e">
        <f t="shared" si="3"/>
        <v>#DIV/0!</v>
      </c>
      <c r="I36" s="64">
        <f t="shared" si="18"/>
        <v>25</v>
      </c>
      <c r="J36" s="73">
        <f t="shared" si="4"/>
        <v>2021</v>
      </c>
      <c r="K36" s="82" t="str">
        <f t="shared" si="19"/>
        <v/>
      </c>
      <c r="L36" s="73">
        <f t="shared" si="11"/>
        <v>2040</v>
      </c>
      <c r="M36" s="56">
        <f t="shared" si="12"/>
        <v>0</v>
      </c>
      <c r="N36" s="56">
        <f t="shared" si="8"/>
        <v>0</v>
      </c>
      <c r="O36" s="56">
        <f t="shared" ref="O36" si="29">SUMIF($J$13:$J$264,L36,$F$13:$F$264)</f>
        <v>0</v>
      </c>
      <c r="P36" s="117" t="e">
        <f t="shared" ref="P36" si="30">(M36+N36)/O36</f>
        <v>#DIV/0!</v>
      </c>
      <c r="Q36" s="180" t="e">
        <f t="shared" ref="Q36" si="31">M36/O36</f>
        <v>#DIV/0!</v>
      </c>
      <c r="R36" s="180">
        <f t="shared" ref="R36" si="32">IFERROR(N36/O36,0)</f>
        <v>0</v>
      </c>
    </row>
    <row r="37" spans="2:20" hidden="1" outlineLevel="1">
      <c r="B37" s="74">
        <f t="shared" si="1"/>
        <v>44562</v>
      </c>
      <c r="C37" s="69">
        <f>IF(F37&lt;&gt;0,-INDEX([10]Delta!$F$1:$EE$997,$L$13,$I37),0)</f>
        <v>0</v>
      </c>
      <c r="D37" s="70">
        <f>IF(F37&lt;&gt;0,VLOOKUP($J37,'Table 1'!$B$13:$C$33,2,FALSE)/12*1000*Study_MW,0)</f>
        <v>0</v>
      </c>
      <c r="E37" s="70">
        <f t="shared" si="17"/>
        <v>0</v>
      </c>
      <c r="F37" s="69">
        <f>INDEX([10]Delta!$F$1:$EE$997,$L$14,$I37)</f>
        <v>0</v>
      </c>
      <c r="G37" s="72" t="e">
        <f t="shared" si="3"/>
        <v>#DIV/0!</v>
      </c>
      <c r="I37" s="60">
        <f>I25+13</f>
        <v>27</v>
      </c>
      <c r="J37" s="73">
        <f t="shared" si="4"/>
        <v>2022</v>
      </c>
      <c r="K37" s="74" t="str">
        <f t="shared" si="19"/>
        <v/>
      </c>
      <c r="L37" s="73">
        <f t="shared" si="11"/>
        <v>2041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7" t="e">
        <f t="shared" ref="P37" si="33">(M37+N37)/O37</f>
        <v>#DIV/0!</v>
      </c>
      <c r="Q37" s="180" t="e">
        <f t="shared" ref="Q37" si="34">M37/O37</f>
        <v>#DIV/0!</v>
      </c>
      <c r="R37" s="180">
        <f t="shared" ref="R37" si="35">IFERROR(N37/O37,0)</f>
        <v>0</v>
      </c>
    </row>
    <row r="38" spans="2:20" hidden="1" outlineLevel="1">
      <c r="B38" s="78">
        <f t="shared" si="1"/>
        <v>44593</v>
      </c>
      <c r="C38" s="75">
        <f>IF(F38&lt;&gt;0,-INDEX([10]Delta!$F$1:$EE$997,$L$13,$I38),0)</f>
        <v>0</v>
      </c>
      <c r="D38" s="71">
        <f>IF(F38&lt;&gt;0,VLOOKUP($J38,'Table 1'!$B$13:$C$33,2,FALSE)/12*1000*Study_MW,0)</f>
        <v>0</v>
      </c>
      <c r="E38" s="71">
        <f t="shared" si="17"/>
        <v>0</v>
      </c>
      <c r="F38" s="75">
        <f>INDEX([10]Delta!$F$1:$EE$997,$L$14,$I38)</f>
        <v>0</v>
      </c>
      <c r="G38" s="76" t="e">
        <f t="shared" si="3"/>
        <v>#DIV/0!</v>
      </c>
      <c r="I38" s="77">
        <f t="shared" si="18"/>
        <v>28</v>
      </c>
      <c r="J38" s="73">
        <f t="shared" si="4"/>
        <v>2022</v>
      </c>
      <c r="K38" s="78" t="str">
        <f t="shared" si="19"/>
        <v/>
      </c>
      <c r="M38" s="191"/>
    </row>
    <row r="39" spans="2:20" hidden="1" outlineLevel="1">
      <c r="B39" s="78">
        <f t="shared" si="1"/>
        <v>44621</v>
      </c>
      <c r="C39" s="75">
        <f>IF(F39&lt;&gt;0,-INDEX([10]Delta!$F$1:$EE$997,$L$13,$I39),0)</f>
        <v>0</v>
      </c>
      <c r="D39" s="71">
        <f>IF(F39&lt;&gt;0,VLOOKUP($J39,'Table 1'!$B$13:$C$33,2,FALSE)/12*1000*Study_MW,0)</f>
        <v>0</v>
      </c>
      <c r="E39" s="71">
        <f t="shared" si="17"/>
        <v>0</v>
      </c>
      <c r="F39" s="75">
        <f>INDEX([10]Delta!$F$1:$EE$997,$L$14,$I39)</f>
        <v>0</v>
      </c>
      <c r="G39" s="76" t="e">
        <f t="shared" si="3"/>
        <v>#DIV/0!</v>
      </c>
      <c r="I39" s="77">
        <f t="shared" si="18"/>
        <v>29</v>
      </c>
      <c r="J39" s="73">
        <f t="shared" si="4"/>
        <v>2022</v>
      </c>
      <c r="K39" s="78" t="str">
        <f t="shared" si="19"/>
        <v/>
      </c>
    </row>
    <row r="40" spans="2:20" hidden="1" outlineLevel="1">
      <c r="B40" s="78">
        <f t="shared" si="1"/>
        <v>44652</v>
      </c>
      <c r="C40" s="75">
        <f>IF(F40&lt;&gt;0,-INDEX([10]Delta!$F$1:$EE$997,$L$13,$I40),0)</f>
        <v>0</v>
      </c>
      <c r="D40" s="71">
        <f>IF(F40&lt;&gt;0,VLOOKUP($J40,'Table 1'!$B$13:$C$33,2,FALSE)/12*1000*Study_MW,0)</f>
        <v>0</v>
      </c>
      <c r="E40" s="71">
        <f t="shared" si="17"/>
        <v>0</v>
      </c>
      <c r="F40" s="75">
        <f>INDEX([10]Delta!$F$1:$EE$997,$L$14,$I40)</f>
        <v>0</v>
      </c>
      <c r="G40" s="76" t="e">
        <f t="shared" si="3"/>
        <v>#DIV/0!</v>
      </c>
      <c r="I40" s="77">
        <f t="shared" si="18"/>
        <v>30</v>
      </c>
      <c r="J40" s="73">
        <f t="shared" si="4"/>
        <v>2022</v>
      </c>
      <c r="K40" s="78" t="str">
        <f t="shared" si="19"/>
        <v/>
      </c>
      <c r="O40" s="218"/>
      <c r="P40" s="58"/>
      <c r="Q40" s="58"/>
      <c r="R40" s="58"/>
      <c r="S40" s="58"/>
      <c r="T40" s="91"/>
    </row>
    <row r="41" spans="2:20" hidden="1" outlineLevel="1">
      <c r="B41" s="78">
        <f t="shared" si="1"/>
        <v>44682</v>
      </c>
      <c r="C41" s="75">
        <f>IF(F41&lt;&gt;0,-INDEX([10]Delta!$F$1:$EE$997,$L$13,$I41),0)</f>
        <v>0</v>
      </c>
      <c r="D41" s="71">
        <f>IF(F41&lt;&gt;0,VLOOKUP($J41,'Table 1'!$B$13:$C$33,2,FALSE)/12*1000*Study_MW,0)</f>
        <v>0</v>
      </c>
      <c r="E41" s="71">
        <f t="shared" si="17"/>
        <v>0</v>
      </c>
      <c r="F41" s="75">
        <f>INDEX([10]Delta!$F$1:$EE$997,$L$14,$I41)</f>
        <v>0</v>
      </c>
      <c r="G41" s="76" t="e">
        <f t="shared" si="3"/>
        <v>#DIV/0!</v>
      </c>
      <c r="I41" s="77">
        <f t="shared" si="18"/>
        <v>31</v>
      </c>
      <c r="J41" s="73">
        <f t="shared" si="4"/>
        <v>2022</v>
      </c>
      <c r="K41" s="78" t="str">
        <f t="shared" si="19"/>
        <v/>
      </c>
      <c r="O41" s="218"/>
      <c r="P41" s="58"/>
      <c r="Q41" s="58"/>
      <c r="R41" s="58"/>
      <c r="S41" s="58"/>
      <c r="T41" s="91"/>
    </row>
    <row r="42" spans="2:20" hidden="1" outlineLevel="1">
      <c r="B42" s="78">
        <f t="shared" si="1"/>
        <v>44713</v>
      </c>
      <c r="C42" s="75">
        <f>IF(F42&lt;&gt;0,-INDEX([10]Delta!$F$1:$EE$997,$L$13,$I42),0)</f>
        <v>0</v>
      </c>
      <c r="D42" s="71">
        <f>IF(F42&lt;&gt;0,VLOOKUP($J42,'Table 1'!$B$13:$C$33,2,FALSE)/12*1000*Study_MW,0)</f>
        <v>0</v>
      </c>
      <c r="E42" s="71">
        <f t="shared" si="17"/>
        <v>0</v>
      </c>
      <c r="F42" s="75">
        <f>INDEX([10]Delta!$F$1:$EE$997,$L$14,$I42)</f>
        <v>0</v>
      </c>
      <c r="G42" s="76" t="e">
        <f t="shared" si="3"/>
        <v>#DIV/0!</v>
      </c>
      <c r="I42" s="77">
        <f t="shared" si="18"/>
        <v>32</v>
      </c>
      <c r="J42" s="73">
        <f t="shared" si="4"/>
        <v>2022</v>
      </c>
      <c r="K42" s="78" t="str">
        <f t="shared" si="19"/>
        <v/>
      </c>
    </row>
    <row r="43" spans="2:20" hidden="1" outlineLevel="1">
      <c r="B43" s="78">
        <f t="shared" si="1"/>
        <v>44743</v>
      </c>
      <c r="C43" s="75">
        <f>IF(F43&lt;&gt;0,-INDEX([10]Delta!$F$1:$EE$997,$L$13,$I43),0)</f>
        <v>0</v>
      </c>
      <c r="D43" s="71">
        <f>IF(F43&lt;&gt;0,VLOOKUP($J43,'Table 1'!$B$13:$C$33,2,FALSE)/12*1000*Study_MW,0)</f>
        <v>0</v>
      </c>
      <c r="E43" s="71">
        <f t="shared" si="17"/>
        <v>0</v>
      </c>
      <c r="F43" s="75">
        <f>INDEX([10]Delta!$F$1:$EE$997,$L$14,$I43)</f>
        <v>0</v>
      </c>
      <c r="G43" s="76" t="e">
        <f t="shared" si="3"/>
        <v>#DIV/0!</v>
      </c>
      <c r="I43" s="77">
        <f t="shared" si="18"/>
        <v>33</v>
      </c>
      <c r="J43" s="73">
        <f t="shared" si="4"/>
        <v>2022</v>
      </c>
      <c r="K43" s="78" t="str">
        <f t="shared" si="19"/>
        <v/>
      </c>
    </row>
    <row r="44" spans="2:20" hidden="1" outlineLevel="1">
      <c r="B44" s="78">
        <f t="shared" si="1"/>
        <v>44774</v>
      </c>
      <c r="C44" s="75">
        <f>IF(F44&lt;&gt;0,-INDEX([10]Delta!$F$1:$EE$997,$L$13,$I44),0)</f>
        <v>0</v>
      </c>
      <c r="D44" s="71">
        <f>IF(F44&lt;&gt;0,VLOOKUP($J44,'Table 1'!$B$13:$C$33,2,FALSE)/12*1000*Study_MW,0)</f>
        <v>0</v>
      </c>
      <c r="E44" s="71">
        <f t="shared" si="17"/>
        <v>0</v>
      </c>
      <c r="F44" s="75">
        <f>INDEX([10]Delta!$F$1:$EE$997,$L$14,$I44)</f>
        <v>0</v>
      </c>
      <c r="G44" s="76" t="e">
        <f t="shared" si="3"/>
        <v>#DIV/0!</v>
      </c>
      <c r="I44" s="77">
        <f t="shared" si="18"/>
        <v>34</v>
      </c>
      <c r="J44" s="73">
        <f t="shared" si="4"/>
        <v>2022</v>
      </c>
      <c r="K44" s="78" t="str">
        <f t="shared" si="19"/>
        <v/>
      </c>
    </row>
    <row r="45" spans="2:20" hidden="1" outlineLevel="1">
      <c r="B45" s="78">
        <f t="shared" si="1"/>
        <v>44805</v>
      </c>
      <c r="C45" s="75">
        <f>IF(F45&lt;&gt;0,-INDEX([10]Delta!$F$1:$EE$997,$L$13,$I45),0)</f>
        <v>0</v>
      </c>
      <c r="D45" s="71">
        <f>IF(F45&lt;&gt;0,VLOOKUP($J45,'Table 1'!$B$13:$C$33,2,FALSE)/12*1000*Study_MW,0)</f>
        <v>0</v>
      </c>
      <c r="E45" s="71">
        <f t="shared" si="17"/>
        <v>0</v>
      </c>
      <c r="F45" s="75">
        <f>INDEX([10]Delta!$F$1:$EE$997,$L$14,$I45)</f>
        <v>0</v>
      </c>
      <c r="G45" s="76" t="e">
        <f t="shared" si="3"/>
        <v>#DIV/0!</v>
      </c>
      <c r="I45" s="77">
        <f t="shared" si="18"/>
        <v>35</v>
      </c>
      <c r="J45" s="73">
        <f t="shared" si="4"/>
        <v>2022</v>
      </c>
      <c r="K45" s="78" t="str">
        <f t="shared" si="19"/>
        <v/>
      </c>
    </row>
    <row r="46" spans="2:20" hidden="1" outlineLevel="1">
      <c r="B46" s="78">
        <f t="shared" si="1"/>
        <v>44835</v>
      </c>
      <c r="C46" s="75">
        <f>IF(F46&lt;&gt;0,-INDEX([10]Delta!$F$1:$EE$997,$L$13,$I46),0)</f>
        <v>0</v>
      </c>
      <c r="D46" s="71">
        <f>IF(F46&lt;&gt;0,VLOOKUP($J46,'Table 1'!$B$13:$C$33,2,FALSE)/12*1000*Study_MW,0)</f>
        <v>0</v>
      </c>
      <c r="E46" s="71">
        <f t="shared" si="17"/>
        <v>0</v>
      </c>
      <c r="F46" s="75">
        <f>INDEX([10]Delta!$F$1:$EE$997,$L$14,$I46)</f>
        <v>0</v>
      </c>
      <c r="G46" s="76" t="e">
        <f t="shared" si="3"/>
        <v>#DIV/0!</v>
      </c>
      <c r="I46" s="77">
        <f t="shared" si="18"/>
        <v>36</v>
      </c>
      <c r="J46" s="73">
        <f t="shared" si="4"/>
        <v>2022</v>
      </c>
      <c r="K46" s="78" t="str">
        <f t="shared" si="19"/>
        <v/>
      </c>
    </row>
    <row r="47" spans="2:20" hidden="1" outlineLevel="1">
      <c r="B47" s="78">
        <f t="shared" si="1"/>
        <v>44866</v>
      </c>
      <c r="C47" s="75">
        <f>IF(F47&lt;&gt;0,-INDEX([10]Delta!$F$1:$EE$997,$L$13,$I47),0)</f>
        <v>0</v>
      </c>
      <c r="D47" s="71">
        <f>IF(F47&lt;&gt;0,VLOOKUP($J47,'Table 1'!$B$13:$C$33,2,FALSE)/12*1000*Study_MW,0)</f>
        <v>0</v>
      </c>
      <c r="E47" s="71">
        <f t="shared" si="17"/>
        <v>0</v>
      </c>
      <c r="F47" s="75">
        <f>INDEX([10]Delta!$F$1:$EE$997,$L$14,$I47)</f>
        <v>0</v>
      </c>
      <c r="G47" s="76" t="e">
        <f t="shared" si="3"/>
        <v>#DIV/0!</v>
      </c>
      <c r="I47" s="77">
        <f t="shared" si="18"/>
        <v>37</v>
      </c>
      <c r="J47" s="73">
        <f t="shared" si="4"/>
        <v>2022</v>
      </c>
      <c r="K47" s="78" t="str">
        <f t="shared" si="19"/>
        <v/>
      </c>
    </row>
    <row r="48" spans="2:20" hidden="1" outlineLevel="1">
      <c r="B48" s="82">
        <f t="shared" si="1"/>
        <v>44896</v>
      </c>
      <c r="C48" s="79">
        <f>IF(F48&lt;&gt;0,-INDEX([10]Delta!$F$1:$EE$997,$L$13,$I48),0)</f>
        <v>0</v>
      </c>
      <c r="D48" s="80">
        <f>IF(F48&lt;&gt;0,VLOOKUP($J48,'Table 1'!$B$13:$C$33,2,FALSE)/12*1000*Study_MW,0)</f>
        <v>0</v>
      </c>
      <c r="E48" s="80">
        <f t="shared" si="17"/>
        <v>0</v>
      </c>
      <c r="F48" s="79">
        <f>INDEX([10]Delta!$F$1:$EE$997,$L$14,$I48)</f>
        <v>0</v>
      </c>
      <c r="G48" s="81" t="e">
        <f t="shared" si="3"/>
        <v>#DIV/0!</v>
      </c>
      <c r="I48" s="64">
        <f t="shared" si="18"/>
        <v>38</v>
      </c>
      <c r="J48" s="73">
        <f t="shared" si="4"/>
        <v>2022</v>
      </c>
      <c r="K48" s="82" t="str">
        <f t="shared" si="19"/>
        <v/>
      </c>
    </row>
    <row r="49" spans="2:11" hidden="1" outlineLevel="1">
      <c r="B49" s="74">
        <f t="shared" si="1"/>
        <v>44927</v>
      </c>
      <c r="C49" s="69">
        <f>IF(F49&lt;&gt;0,-INDEX([10]Delta!$F$1:$EE$997,$L$13,$I49),0)</f>
        <v>0</v>
      </c>
      <c r="D49" s="70">
        <f>IF(F49&lt;&gt;0,VLOOKUP($J49,'Table 1'!$B$13:$C$33,2,FALSE)/12*1000*Study_MW,0)</f>
        <v>0</v>
      </c>
      <c r="E49" s="70">
        <f t="shared" si="17"/>
        <v>0</v>
      </c>
      <c r="F49" s="69">
        <f>INDEX([10]Delta!$F$1:$EE$997,$L$14,$I49)</f>
        <v>0</v>
      </c>
      <c r="G49" s="72" t="e">
        <f t="shared" si="3"/>
        <v>#DIV/0!</v>
      </c>
      <c r="I49" s="60">
        <f>I37+13</f>
        <v>40</v>
      </c>
      <c r="J49" s="73">
        <f t="shared" si="4"/>
        <v>2023</v>
      </c>
      <c r="K49" s="74" t="str">
        <f t="shared" si="19"/>
        <v/>
      </c>
    </row>
    <row r="50" spans="2:11" hidden="1" outlineLevel="1">
      <c r="B50" s="78">
        <f t="shared" si="1"/>
        <v>44958</v>
      </c>
      <c r="C50" s="75">
        <f>IF(F50&lt;&gt;0,-INDEX([10]Delta!$F$1:$EE$997,$L$13,$I50),0)</f>
        <v>0</v>
      </c>
      <c r="D50" s="71">
        <f>IF(F50&lt;&gt;0,VLOOKUP($J50,'Table 1'!$B$13:$C$33,2,FALSE)/12*1000*Study_MW,0)</f>
        <v>0</v>
      </c>
      <c r="E50" s="71">
        <f t="shared" si="17"/>
        <v>0</v>
      </c>
      <c r="F50" s="75">
        <f>INDEX([10]Delta!$F$1:$EE$997,$L$14,$I50)</f>
        <v>0</v>
      </c>
      <c r="G50" s="76" t="e">
        <f t="shared" si="3"/>
        <v>#DIV/0!</v>
      </c>
      <c r="I50" s="77">
        <f t="shared" si="18"/>
        <v>41</v>
      </c>
      <c r="J50" s="73">
        <f t="shared" si="4"/>
        <v>2023</v>
      </c>
      <c r="K50" s="78" t="str">
        <f t="shared" si="19"/>
        <v/>
      </c>
    </row>
    <row r="51" spans="2:11" hidden="1" outlineLevel="1">
      <c r="B51" s="78">
        <f t="shared" si="1"/>
        <v>44986</v>
      </c>
      <c r="C51" s="75">
        <f>IF(F51&lt;&gt;0,-INDEX([10]Delta!$F$1:$EE$997,$L$13,$I51),0)</f>
        <v>0</v>
      </c>
      <c r="D51" s="71">
        <f>IF(F51&lt;&gt;0,VLOOKUP($J51,'Table 1'!$B$13:$C$33,2,FALSE)/12*1000*Study_MW,0)</f>
        <v>0</v>
      </c>
      <c r="E51" s="71">
        <f t="shared" si="17"/>
        <v>0</v>
      </c>
      <c r="F51" s="75">
        <f>INDEX([10]Delta!$F$1:$EE$997,$L$14,$I51)</f>
        <v>0</v>
      </c>
      <c r="G51" s="76" t="e">
        <f t="shared" si="3"/>
        <v>#DIV/0!</v>
      </c>
      <c r="I51" s="77">
        <f t="shared" si="18"/>
        <v>42</v>
      </c>
      <c r="J51" s="73">
        <f t="shared" si="4"/>
        <v>2023</v>
      </c>
      <c r="K51" s="78" t="str">
        <f t="shared" si="19"/>
        <v/>
      </c>
    </row>
    <row r="52" spans="2:11" hidden="1" outlineLevel="1">
      <c r="B52" s="78">
        <f t="shared" si="1"/>
        <v>45017</v>
      </c>
      <c r="C52" s="75">
        <f>IF(F52&lt;&gt;0,-INDEX([10]Delta!$F$1:$EE$997,$L$13,$I52),0)</f>
        <v>0</v>
      </c>
      <c r="D52" s="71">
        <f>IF(F52&lt;&gt;0,VLOOKUP($J52,'Table 1'!$B$13:$C$33,2,FALSE)/12*1000*Study_MW,0)</f>
        <v>0</v>
      </c>
      <c r="E52" s="71">
        <f t="shared" si="17"/>
        <v>0</v>
      </c>
      <c r="F52" s="75">
        <f>INDEX([10]Delta!$F$1:$EE$997,$L$14,$I52)</f>
        <v>0</v>
      </c>
      <c r="G52" s="76" t="e">
        <f t="shared" si="3"/>
        <v>#DIV/0!</v>
      </c>
      <c r="I52" s="77">
        <f t="shared" si="18"/>
        <v>43</v>
      </c>
      <c r="J52" s="73">
        <f t="shared" si="4"/>
        <v>2023</v>
      </c>
      <c r="K52" s="78" t="str">
        <f t="shared" si="19"/>
        <v/>
      </c>
    </row>
    <row r="53" spans="2:11" hidden="1" outlineLevel="1">
      <c r="B53" s="78">
        <f t="shared" si="1"/>
        <v>45047</v>
      </c>
      <c r="C53" s="75">
        <f>IF(F53&lt;&gt;0,-INDEX([10]Delta!$F$1:$EE$997,$L$13,$I53),0)</f>
        <v>0</v>
      </c>
      <c r="D53" s="71">
        <f>IF(F53&lt;&gt;0,VLOOKUP($J53,'Table 1'!$B$13:$C$33,2,FALSE)/12*1000*Study_MW,0)</f>
        <v>0</v>
      </c>
      <c r="E53" s="71">
        <f t="shared" si="17"/>
        <v>0</v>
      </c>
      <c r="F53" s="75">
        <f>INDEX([10]Delta!$F$1:$EE$997,$L$14,$I53)</f>
        <v>0</v>
      </c>
      <c r="G53" s="76" t="e">
        <f t="shared" si="3"/>
        <v>#DIV/0!</v>
      </c>
      <c r="I53" s="77">
        <f t="shared" si="18"/>
        <v>44</v>
      </c>
      <c r="J53" s="73">
        <f t="shared" si="4"/>
        <v>2023</v>
      </c>
      <c r="K53" s="78" t="str">
        <f t="shared" si="19"/>
        <v/>
      </c>
    </row>
    <row r="54" spans="2:11" hidden="1" outlineLevel="1">
      <c r="B54" s="78">
        <f t="shared" si="1"/>
        <v>45078</v>
      </c>
      <c r="C54" s="75">
        <f>IF(F54&lt;&gt;0,-INDEX([10]Delta!$F$1:$EE$997,$L$13,$I54),0)</f>
        <v>0</v>
      </c>
      <c r="D54" s="71">
        <f>IF(F54&lt;&gt;0,VLOOKUP($J54,'Table 1'!$B$13:$C$33,2,FALSE)/12*1000*Study_MW,0)</f>
        <v>0</v>
      </c>
      <c r="E54" s="71">
        <f t="shared" si="17"/>
        <v>0</v>
      </c>
      <c r="F54" s="75">
        <f>INDEX([10]Delta!$F$1:$EE$997,$L$14,$I54)</f>
        <v>0</v>
      </c>
      <c r="G54" s="76" t="e">
        <f t="shared" si="3"/>
        <v>#DIV/0!</v>
      </c>
      <c r="I54" s="77">
        <f t="shared" si="18"/>
        <v>45</v>
      </c>
      <c r="J54" s="73">
        <f t="shared" si="4"/>
        <v>2023</v>
      </c>
      <c r="K54" s="78" t="str">
        <f t="shared" si="19"/>
        <v/>
      </c>
    </row>
    <row r="55" spans="2:11" hidden="1" outlineLevel="1">
      <c r="B55" s="78">
        <f t="shared" si="1"/>
        <v>45108</v>
      </c>
      <c r="C55" s="75">
        <f>IF(F55&lt;&gt;0,-INDEX([10]Delta!$F$1:$EE$997,$L$13,$I55),0)</f>
        <v>0</v>
      </c>
      <c r="D55" s="71">
        <f>IF(F55&lt;&gt;0,VLOOKUP($J55,'Table 1'!$B$13:$C$33,2,FALSE)/12*1000*Study_MW,0)</f>
        <v>0</v>
      </c>
      <c r="E55" s="71">
        <f t="shared" si="17"/>
        <v>0</v>
      </c>
      <c r="F55" s="75">
        <f>INDEX([10]Delta!$F$1:$EE$997,$L$14,$I55)</f>
        <v>0</v>
      </c>
      <c r="G55" s="76" t="e">
        <f t="shared" si="3"/>
        <v>#DIV/0!</v>
      </c>
      <c r="I55" s="77">
        <f t="shared" si="18"/>
        <v>46</v>
      </c>
      <c r="J55" s="73">
        <f t="shared" si="4"/>
        <v>2023</v>
      </c>
      <c r="K55" s="78" t="str">
        <f t="shared" si="19"/>
        <v/>
      </c>
    </row>
    <row r="56" spans="2:11" hidden="1" outlineLevel="1">
      <c r="B56" s="78">
        <f t="shared" si="1"/>
        <v>45139</v>
      </c>
      <c r="C56" s="75">
        <f>IF(F56&lt;&gt;0,-INDEX([10]Delta!$F$1:$EE$997,$L$13,$I56),0)</f>
        <v>0</v>
      </c>
      <c r="D56" s="71">
        <f>IF(F56&lt;&gt;0,VLOOKUP($J56,'Table 1'!$B$13:$C$33,2,FALSE)/12*1000*Study_MW,0)</f>
        <v>0</v>
      </c>
      <c r="E56" s="71">
        <f t="shared" si="17"/>
        <v>0</v>
      </c>
      <c r="F56" s="75">
        <f>INDEX([10]Delta!$F$1:$EE$997,$L$14,$I56)</f>
        <v>0</v>
      </c>
      <c r="G56" s="76" t="e">
        <f t="shared" si="3"/>
        <v>#DIV/0!</v>
      </c>
      <c r="I56" s="77">
        <f t="shared" si="18"/>
        <v>47</v>
      </c>
      <c r="J56" s="73">
        <f t="shared" si="4"/>
        <v>2023</v>
      </c>
      <c r="K56" s="78" t="str">
        <f t="shared" si="19"/>
        <v/>
      </c>
    </row>
    <row r="57" spans="2:11" hidden="1" outlineLevel="1">
      <c r="B57" s="78">
        <f t="shared" si="1"/>
        <v>45170</v>
      </c>
      <c r="C57" s="75">
        <f>IF(F57&lt;&gt;0,-INDEX([10]Delta!$F$1:$EE$997,$L$13,$I57),0)</f>
        <v>0</v>
      </c>
      <c r="D57" s="71">
        <f>IF(F57&lt;&gt;0,VLOOKUP($J57,'Table 1'!$B$13:$C$33,2,FALSE)/12*1000*Study_MW,0)</f>
        <v>0</v>
      </c>
      <c r="E57" s="71">
        <f t="shared" si="17"/>
        <v>0</v>
      </c>
      <c r="F57" s="75">
        <f>INDEX([10]Delta!$F$1:$EE$997,$L$14,$I57)</f>
        <v>0</v>
      </c>
      <c r="G57" s="76" t="e">
        <f t="shared" si="3"/>
        <v>#DIV/0!</v>
      </c>
      <c r="I57" s="77">
        <f t="shared" si="18"/>
        <v>48</v>
      </c>
      <c r="J57" s="73">
        <f t="shared" si="4"/>
        <v>2023</v>
      </c>
      <c r="K57" s="78" t="str">
        <f t="shared" si="19"/>
        <v/>
      </c>
    </row>
    <row r="58" spans="2:11" hidden="1" outlineLevel="1">
      <c r="B58" s="78">
        <f t="shared" si="1"/>
        <v>45200</v>
      </c>
      <c r="C58" s="75">
        <f>IF(F58&lt;&gt;0,-INDEX([10]Delta!$F$1:$EE$997,$L$13,$I58),0)</f>
        <v>0</v>
      </c>
      <c r="D58" s="71">
        <f>IF(F58&lt;&gt;0,VLOOKUP($J58,'Table 1'!$B$13:$C$33,2,FALSE)/12*1000*Study_MW,0)</f>
        <v>0</v>
      </c>
      <c r="E58" s="71">
        <f t="shared" si="17"/>
        <v>0</v>
      </c>
      <c r="F58" s="75">
        <f>INDEX([10]Delta!$F$1:$EE$997,$L$14,$I58)</f>
        <v>0</v>
      </c>
      <c r="G58" s="76" t="e">
        <f t="shared" si="3"/>
        <v>#DIV/0!</v>
      </c>
      <c r="I58" s="77">
        <f t="shared" si="18"/>
        <v>49</v>
      </c>
      <c r="J58" s="73">
        <f t="shared" si="4"/>
        <v>2023</v>
      </c>
      <c r="K58" s="78" t="str">
        <f t="shared" si="19"/>
        <v/>
      </c>
    </row>
    <row r="59" spans="2:11" hidden="1" outlineLevel="1">
      <c r="B59" s="78">
        <f t="shared" si="1"/>
        <v>45231</v>
      </c>
      <c r="C59" s="75">
        <f>IF(F59&lt;&gt;0,-INDEX([10]Delta!$F$1:$EE$997,$L$13,$I59),0)</f>
        <v>0</v>
      </c>
      <c r="D59" s="71">
        <f>IF(F59&lt;&gt;0,VLOOKUP($J59,'Table 1'!$B$13:$C$33,2,FALSE)/12*1000*Study_MW,0)</f>
        <v>0</v>
      </c>
      <c r="E59" s="71">
        <f t="shared" si="17"/>
        <v>0</v>
      </c>
      <c r="F59" s="75">
        <f>INDEX([10]Delta!$F$1:$EE$997,$L$14,$I59)</f>
        <v>0</v>
      </c>
      <c r="G59" s="76" t="e">
        <f t="shared" si="3"/>
        <v>#DIV/0!</v>
      </c>
      <c r="I59" s="77">
        <f t="shared" si="18"/>
        <v>50</v>
      </c>
      <c r="J59" s="73">
        <f t="shared" si="4"/>
        <v>2023</v>
      </c>
      <c r="K59" s="78" t="str">
        <f t="shared" si="19"/>
        <v/>
      </c>
    </row>
    <row r="60" spans="2:11" hidden="1" outlineLevel="1">
      <c r="B60" s="82">
        <f t="shared" si="1"/>
        <v>45261</v>
      </c>
      <c r="C60" s="79">
        <f>IF(F60&lt;&gt;0,-INDEX([10]Delta!$F$1:$EE$997,$L$13,$I60),0)</f>
        <v>0</v>
      </c>
      <c r="D60" s="80">
        <f>IF(F60&lt;&gt;0,VLOOKUP($J60,'Table 1'!$B$13:$C$33,2,FALSE)/12*1000*Study_MW,0)</f>
        <v>0</v>
      </c>
      <c r="E60" s="80">
        <f t="shared" si="17"/>
        <v>0</v>
      </c>
      <c r="F60" s="79">
        <f>INDEX([10]Delta!$F$1:$EE$997,$L$14,$I60)</f>
        <v>0</v>
      </c>
      <c r="G60" s="81" t="e">
        <f t="shared" si="3"/>
        <v>#DIV/0!</v>
      </c>
      <c r="I60" s="64">
        <f t="shared" si="18"/>
        <v>51</v>
      </c>
      <c r="J60" s="73">
        <f t="shared" si="4"/>
        <v>2023</v>
      </c>
      <c r="K60" s="82" t="str">
        <f t="shared" si="19"/>
        <v/>
      </c>
    </row>
    <row r="61" spans="2:11" hidden="1" outlineLevel="1">
      <c r="B61" s="74">
        <f t="shared" si="1"/>
        <v>45292</v>
      </c>
      <c r="C61" s="69">
        <f>IF(F61&lt;&gt;0,-INDEX([10]Delta!$F$1:$EE$997,$L$13,$I61),0)</f>
        <v>0</v>
      </c>
      <c r="D61" s="70">
        <f>IF(F61&lt;&gt;0,VLOOKUP($J61,'Table 1'!$B$13:$C$33,2,FALSE)/12*1000*Study_MW,0)</f>
        <v>0</v>
      </c>
      <c r="E61" s="70">
        <f t="shared" si="17"/>
        <v>0</v>
      </c>
      <c r="F61" s="69">
        <f>INDEX([10]Delta!$F$1:$EE$997,$L$14,$I61)</f>
        <v>0</v>
      </c>
      <c r="G61" s="72" t="e">
        <f t="shared" si="3"/>
        <v>#DIV/0!</v>
      </c>
      <c r="I61" s="60">
        <f>I49+13</f>
        <v>53</v>
      </c>
      <c r="J61" s="73">
        <f t="shared" si="4"/>
        <v>2024</v>
      </c>
      <c r="K61" s="74" t="str">
        <f t="shared" si="19"/>
        <v/>
      </c>
    </row>
    <row r="62" spans="2:11" hidden="1" outlineLevel="1">
      <c r="B62" s="78">
        <f t="shared" si="1"/>
        <v>45323</v>
      </c>
      <c r="C62" s="75">
        <f>IF(F62&lt;&gt;0,-INDEX([10]Delta!$F$1:$EE$997,$L$13,$I62),0)</f>
        <v>0</v>
      </c>
      <c r="D62" s="71">
        <f>IF(F62&lt;&gt;0,VLOOKUP($J62,'Table 1'!$B$13:$C$33,2,FALSE)/12*1000*Study_MW,0)</f>
        <v>0</v>
      </c>
      <c r="E62" s="71">
        <f t="shared" si="17"/>
        <v>0</v>
      </c>
      <c r="F62" s="75">
        <f>INDEX([10]Delta!$F$1:$EE$997,$L$14,$I62)</f>
        <v>0</v>
      </c>
      <c r="G62" s="76" t="e">
        <f t="shared" si="3"/>
        <v>#DIV/0!</v>
      </c>
      <c r="I62" s="77">
        <f t="shared" si="18"/>
        <v>54</v>
      </c>
      <c r="J62" s="73">
        <f t="shared" si="4"/>
        <v>2024</v>
      </c>
      <c r="K62" s="78" t="str">
        <f t="shared" si="19"/>
        <v/>
      </c>
    </row>
    <row r="63" spans="2:11" hidden="1" outlineLevel="1">
      <c r="B63" s="78">
        <f t="shared" si="1"/>
        <v>45352</v>
      </c>
      <c r="C63" s="75">
        <f>IF(F63&lt;&gt;0,-INDEX([10]Delta!$F$1:$EE$997,$L$13,$I63),0)</f>
        <v>0</v>
      </c>
      <c r="D63" s="71">
        <f>IF(F63&lt;&gt;0,VLOOKUP($J63,'Table 1'!$B$13:$C$33,2,FALSE)/12*1000*Study_MW,0)</f>
        <v>0</v>
      </c>
      <c r="E63" s="71">
        <f t="shared" si="17"/>
        <v>0</v>
      </c>
      <c r="F63" s="75">
        <f>INDEX([10]Delta!$F$1:$EE$997,$L$14,$I63)</f>
        <v>0</v>
      </c>
      <c r="G63" s="76" t="e">
        <f t="shared" si="3"/>
        <v>#DIV/0!</v>
      </c>
      <c r="I63" s="77">
        <f t="shared" si="18"/>
        <v>55</v>
      </c>
      <c r="J63" s="73">
        <f t="shared" si="4"/>
        <v>2024</v>
      </c>
      <c r="K63" s="78" t="str">
        <f t="shared" si="19"/>
        <v/>
      </c>
    </row>
    <row r="64" spans="2:11" hidden="1" outlineLevel="1">
      <c r="B64" s="78">
        <f t="shared" si="1"/>
        <v>45383</v>
      </c>
      <c r="C64" s="75">
        <f>IF(F64&lt;&gt;0,-INDEX([10]Delta!$F$1:$EE$997,$L$13,$I64),0)</f>
        <v>0</v>
      </c>
      <c r="D64" s="71">
        <f>IF(F64&lt;&gt;0,VLOOKUP($J64,'Table 1'!$B$13:$C$33,2,FALSE)/12*1000*Study_MW,0)</f>
        <v>0</v>
      </c>
      <c r="E64" s="71">
        <f t="shared" si="17"/>
        <v>0</v>
      </c>
      <c r="F64" s="75">
        <f>INDEX([10]Delta!$F$1:$EE$997,$L$14,$I64)</f>
        <v>0</v>
      </c>
      <c r="G64" s="76" t="e">
        <f t="shared" si="3"/>
        <v>#DIV/0!</v>
      </c>
      <c r="I64" s="77">
        <f t="shared" si="18"/>
        <v>56</v>
      </c>
      <c r="J64" s="73">
        <f t="shared" si="4"/>
        <v>2024</v>
      </c>
      <c r="K64" s="78" t="str">
        <f t="shared" si="19"/>
        <v/>
      </c>
    </row>
    <row r="65" spans="2:11" hidden="1" outlineLevel="1">
      <c r="B65" s="78">
        <f t="shared" si="1"/>
        <v>45413</v>
      </c>
      <c r="C65" s="75">
        <f>IF(F65&lt;&gt;0,-INDEX([10]Delta!$F$1:$EE$997,$L$13,$I65),0)</f>
        <v>0</v>
      </c>
      <c r="D65" s="71">
        <f>IF(F65&lt;&gt;0,VLOOKUP($J65,'Table 1'!$B$13:$C$33,2,FALSE)/12*1000*Study_MW,0)</f>
        <v>0</v>
      </c>
      <c r="E65" s="71">
        <f t="shared" si="17"/>
        <v>0</v>
      </c>
      <c r="F65" s="75">
        <f>INDEX([10]Delta!$F$1:$EE$997,$L$14,$I65)</f>
        <v>0</v>
      </c>
      <c r="G65" s="76" t="e">
        <f t="shared" si="3"/>
        <v>#DIV/0!</v>
      </c>
      <c r="I65" s="77">
        <f t="shared" si="18"/>
        <v>57</v>
      </c>
      <c r="J65" s="73">
        <f t="shared" si="4"/>
        <v>2024</v>
      </c>
      <c r="K65" s="78" t="str">
        <f t="shared" si="19"/>
        <v/>
      </c>
    </row>
    <row r="66" spans="2:11" hidden="1" outlineLevel="1">
      <c r="B66" s="78">
        <f t="shared" si="1"/>
        <v>45444</v>
      </c>
      <c r="C66" s="75">
        <f>IF(F66&lt;&gt;0,-INDEX([10]Delta!$F$1:$EE$997,$L$13,$I66),0)</f>
        <v>0</v>
      </c>
      <c r="D66" s="71">
        <f>IF(F66&lt;&gt;0,VLOOKUP($J66,'Table 1'!$B$13:$C$33,2,FALSE)/12*1000*Study_MW,0)</f>
        <v>0</v>
      </c>
      <c r="E66" s="71">
        <f t="shared" si="17"/>
        <v>0</v>
      </c>
      <c r="F66" s="75">
        <f>INDEX([10]Delta!$F$1:$EE$997,$L$14,$I66)</f>
        <v>0</v>
      </c>
      <c r="G66" s="76" t="e">
        <f t="shared" si="3"/>
        <v>#DIV/0!</v>
      </c>
      <c r="I66" s="77">
        <f t="shared" si="18"/>
        <v>58</v>
      </c>
      <c r="J66" s="73">
        <f t="shared" si="4"/>
        <v>2024</v>
      </c>
      <c r="K66" s="78" t="str">
        <f t="shared" si="19"/>
        <v/>
      </c>
    </row>
    <row r="67" spans="2:11" hidden="1" outlineLevel="1">
      <c r="B67" s="78">
        <f t="shared" si="1"/>
        <v>45474</v>
      </c>
      <c r="C67" s="75">
        <f>IF(F67&lt;&gt;0,-INDEX([10]Delta!$F$1:$EE$997,$L$13,$I67),0)</f>
        <v>0</v>
      </c>
      <c r="D67" s="71">
        <f>IF(F67&lt;&gt;0,VLOOKUP($J67,'Table 1'!$B$13:$C$33,2,FALSE)/12*1000*Study_MW,0)</f>
        <v>0</v>
      </c>
      <c r="E67" s="71">
        <f t="shared" si="17"/>
        <v>0</v>
      </c>
      <c r="F67" s="75">
        <f>INDEX([10]Delta!$F$1:$EE$997,$L$14,$I67)</f>
        <v>0</v>
      </c>
      <c r="G67" s="76" t="e">
        <f t="shared" si="3"/>
        <v>#DIV/0!</v>
      </c>
      <c r="I67" s="77">
        <f t="shared" si="18"/>
        <v>59</v>
      </c>
      <c r="J67" s="73">
        <f t="shared" si="4"/>
        <v>2024</v>
      </c>
      <c r="K67" s="78" t="str">
        <f t="shared" si="19"/>
        <v/>
      </c>
    </row>
    <row r="68" spans="2:11" hidden="1" outlineLevel="1">
      <c r="B68" s="78">
        <f t="shared" si="1"/>
        <v>45505</v>
      </c>
      <c r="C68" s="75">
        <f>IF(F68&lt;&gt;0,-INDEX([10]Delta!$F$1:$EE$997,$L$13,$I68),0)</f>
        <v>0</v>
      </c>
      <c r="D68" s="71">
        <f>IF(F68&lt;&gt;0,VLOOKUP($J68,'Table 1'!$B$13:$C$33,2,FALSE)/12*1000*Study_MW,0)</f>
        <v>0</v>
      </c>
      <c r="E68" s="71">
        <f t="shared" si="17"/>
        <v>0</v>
      </c>
      <c r="F68" s="75">
        <f>INDEX([10]Delta!$F$1:$EE$997,$L$14,$I68)</f>
        <v>0</v>
      </c>
      <c r="G68" s="76" t="e">
        <f t="shared" si="3"/>
        <v>#DIV/0!</v>
      </c>
      <c r="I68" s="77">
        <f t="shared" si="18"/>
        <v>60</v>
      </c>
      <c r="J68" s="73">
        <f t="shared" si="4"/>
        <v>2024</v>
      </c>
      <c r="K68" s="78" t="str">
        <f t="shared" si="19"/>
        <v/>
      </c>
    </row>
    <row r="69" spans="2:11" hidden="1" outlineLevel="1">
      <c r="B69" s="78">
        <f t="shared" si="1"/>
        <v>45536</v>
      </c>
      <c r="C69" s="75">
        <f>IF(F69&lt;&gt;0,-INDEX([10]Delta!$F$1:$EE$997,$L$13,$I69),0)</f>
        <v>0</v>
      </c>
      <c r="D69" s="71">
        <f>IF(F69&lt;&gt;0,VLOOKUP($J69,'Table 1'!$B$13:$C$33,2,FALSE)/12*1000*Study_MW,0)</f>
        <v>0</v>
      </c>
      <c r="E69" s="71">
        <f t="shared" si="17"/>
        <v>0</v>
      </c>
      <c r="F69" s="75">
        <f>INDEX([10]Delta!$F$1:$EE$997,$L$14,$I69)</f>
        <v>0</v>
      </c>
      <c r="G69" s="76" t="e">
        <f t="shared" si="3"/>
        <v>#DIV/0!</v>
      </c>
      <c r="I69" s="77">
        <f t="shared" si="18"/>
        <v>61</v>
      </c>
      <c r="J69" s="73">
        <f t="shared" si="4"/>
        <v>2024</v>
      </c>
      <c r="K69" s="78" t="str">
        <f t="shared" si="19"/>
        <v/>
      </c>
    </row>
    <row r="70" spans="2:11" hidden="1" outlineLevel="1">
      <c r="B70" s="78">
        <f t="shared" si="1"/>
        <v>45566</v>
      </c>
      <c r="C70" s="75">
        <f>IF(F70&lt;&gt;0,-INDEX([10]Delta!$F$1:$EE$997,$L$13,$I70),0)</f>
        <v>0</v>
      </c>
      <c r="D70" s="71">
        <f>IF(F70&lt;&gt;0,VLOOKUP($J70,'Table 1'!$B$13:$C$33,2,FALSE)/12*1000*Study_MW,0)</f>
        <v>0</v>
      </c>
      <c r="E70" s="71">
        <f t="shared" si="17"/>
        <v>0</v>
      </c>
      <c r="F70" s="75">
        <f>INDEX([10]Delta!$F$1:$EE$997,$L$14,$I70)</f>
        <v>0</v>
      </c>
      <c r="G70" s="76" t="e">
        <f t="shared" si="3"/>
        <v>#DIV/0!</v>
      </c>
      <c r="I70" s="77">
        <f t="shared" si="18"/>
        <v>62</v>
      </c>
      <c r="J70" s="73">
        <f t="shared" si="4"/>
        <v>2024</v>
      </c>
      <c r="K70" s="78" t="str">
        <f t="shared" si="19"/>
        <v/>
      </c>
    </row>
    <row r="71" spans="2:11" hidden="1" outlineLevel="1">
      <c r="B71" s="78">
        <f t="shared" si="1"/>
        <v>45597</v>
      </c>
      <c r="C71" s="75">
        <f>IF(F71&lt;&gt;0,-INDEX([10]Delta!$F$1:$EE$997,$L$13,$I71),0)</f>
        <v>0</v>
      </c>
      <c r="D71" s="71">
        <f>IF(F71&lt;&gt;0,VLOOKUP($J71,'Table 1'!$B$13:$C$33,2,FALSE)/12*1000*Study_MW,0)</f>
        <v>0</v>
      </c>
      <c r="E71" s="71">
        <f t="shared" si="17"/>
        <v>0</v>
      </c>
      <c r="F71" s="75">
        <f>INDEX([10]Delta!$F$1:$EE$997,$L$14,$I71)</f>
        <v>0</v>
      </c>
      <c r="G71" s="76" t="e">
        <f t="shared" si="3"/>
        <v>#DIV/0!</v>
      </c>
      <c r="I71" s="77">
        <f t="shared" si="18"/>
        <v>63</v>
      </c>
      <c r="J71" s="73">
        <f t="shared" si="4"/>
        <v>2024</v>
      </c>
      <c r="K71" s="78" t="str">
        <f t="shared" si="19"/>
        <v/>
      </c>
    </row>
    <row r="72" spans="2:11" hidden="1" outlineLevel="1">
      <c r="B72" s="82">
        <f t="shared" si="1"/>
        <v>45627</v>
      </c>
      <c r="C72" s="79">
        <f>IF(F72&lt;&gt;0,-INDEX([10]Delta!$F$1:$EE$997,$L$13,$I72),0)</f>
        <v>0</v>
      </c>
      <c r="D72" s="80">
        <f>IF(F72&lt;&gt;0,VLOOKUP($J72,'Table 1'!$B$13:$C$33,2,FALSE)/12*1000*Study_MW,0)</f>
        <v>0</v>
      </c>
      <c r="E72" s="80">
        <f t="shared" si="17"/>
        <v>0</v>
      </c>
      <c r="F72" s="79">
        <f>INDEX([10]Delta!$F$1:$EE$997,$L$14,$I72)</f>
        <v>0</v>
      </c>
      <c r="G72" s="81" t="e">
        <f t="shared" si="3"/>
        <v>#DIV/0!</v>
      </c>
      <c r="I72" s="64">
        <f t="shared" si="18"/>
        <v>64</v>
      </c>
      <c r="J72" s="73">
        <f t="shared" si="4"/>
        <v>2024</v>
      </c>
      <c r="K72" s="82" t="str">
        <f t="shared" si="19"/>
        <v/>
      </c>
    </row>
    <row r="73" spans="2:11" hidden="1" outlineLevel="1">
      <c r="B73" s="74">
        <f t="shared" si="1"/>
        <v>45658</v>
      </c>
      <c r="C73" s="69">
        <f>IF(F73&lt;&gt;0,-INDEX([10]Delta!$F$1:$EE$997,$L$13,$I73),0)</f>
        <v>0</v>
      </c>
      <c r="D73" s="70">
        <f>IF(F73&lt;&gt;0,VLOOKUP($J73,'Table 1'!$B$13:$C$33,2,FALSE)/12*1000*Study_MW,0)</f>
        <v>0</v>
      </c>
      <c r="E73" s="70">
        <f t="shared" si="17"/>
        <v>0</v>
      </c>
      <c r="F73" s="69">
        <f>INDEX([10]Delta!$F$1:$EE$997,$L$14,$I73)</f>
        <v>0</v>
      </c>
      <c r="G73" s="72" t="e">
        <f t="shared" si="3"/>
        <v>#DIV/0!</v>
      </c>
      <c r="I73" s="60">
        <f>I61+13</f>
        <v>66</v>
      </c>
      <c r="J73" s="73">
        <f t="shared" si="4"/>
        <v>2025</v>
      </c>
      <c r="K73" s="74" t="str">
        <f t="shared" si="19"/>
        <v/>
      </c>
    </row>
    <row r="74" spans="2:11" hidden="1" outlineLevel="1">
      <c r="B74" s="78">
        <f t="shared" si="1"/>
        <v>45689</v>
      </c>
      <c r="C74" s="75">
        <f>IF(F74&lt;&gt;0,-INDEX([10]Delta!$F$1:$EE$997,$L$13,$I74),0)</f>
        <v>0</v>
      </c>
      <c r="D74" s="71">
        <f>IF(F74&lt;&gt;0,VLOOKUP($J74,'Table 1'!$B$13:$C$33,2,FALSE)/12*1000*Study_MW,0)</f>
        <v>0</v>
      </c>
      <c r="E74" s="71">
        <f t="shared" si="17"/>
        <v>0</v>
      </c>
      <c r="F74" s="75">
        <f>INDEX([10]Delta!$F$1:$EE$997,$L$14,$I74)</f>
        <v>0</v>
      </c>
      <c r="G74" s="76" t="e">
        <f t="shared" si="3"/>
        <v>#DIV/0!</v>
      </c>
      <c r="I74" s="77">
        <f t="shared" si="18"/>
        <v>67</v>
      </c>
      <c r="J74" s="73">
        <f t="shared" si="4"/>
        <v>2025</v>
      </c>
      <c r="K74" s="78" t="str">
        <f t="shared" si="19"/>
        <v/>
      </c>
    </row>
    <row r="75" spans="2:11" hidden="1" outlineLevel="1">
      <c r="B75" s="78">
        <f t="shared" si="1"/>
        <v>45717</v>
      </c>
      <c r="C75" s="75">
        <f>IF(F75&lt;&gt;0,-INDEX([10]Delta!$F$1:$EE$997,$L$13,$I75),0)</f>
        <v>0</v>
      </c>
      <c r="D75" s="71">
        <f>IF(F75&lt;&gt;0,VLOOKUP($J75,'Table 1'!$B$13:$C$33,2,FALSE)/12*1000*Study_MW,0)</f>
        <v>0</v>
      </c>
      <c r="E75" s="71">
        <f t="shared" si="17"/>
        <v>0</v>
      </c>
      <c r="F75" s="75">
        <f>INDEX([10]Delta!$F$1:$EE$997,$L$14,$I75)</f>
        <v>0</v>
      </c>
      <c r="G75" s="76" t="e">
        <f t="shared" si="3"/>
        <v>#DIV/0!</v>
      </c>
      <c r="I75" s="77">
        <f t="shared" si="18"/>
        <v>68</v>
      </c>
      <c r="J75" s="73">
        <f t="shared" si="4"/>
        <v>2025</v>
      </c>
      <c r="K75" s="78" t="str">
        <f t="shared" si="19"/>
        <v/>
      </c>
    </row>
    <row r="76" spans="2:11" hidden="1" outlineLevel="1">
      <c r="B76" s="78">
        <f t="shared" si="1"/>
        <v>45748</v>
      </c>
      <c r="C76" s="75">
        <f>IF(F76&lt;&gt;0,-INDEX([10]Delta!$F$1:$EE$997,$L$13,$I76),0)</f>
        <v>0</v>
      </c>
      <c r="D76" s="71">
        <f>IF(F76&lt;&gt;0,VLOOKUP($J76,'Table 1'!$B$13:$C$33,2,FALSE)/12*1000*Study_MW,0)</f>
        <v>0</v>
      </c>
      <c r="E76" s="71">
        <f t="shared" si="17"/>
        <v>0</v>
      </c>
      <c r="F76" s="75">
        <f>INDEX([10]Delta!$F$1:$EE$997,$L$14,$I76)</f>
        <v>0</v>
      </c>
      <c r="G76" s="76" t="e">
        <f t="shared" si="3"/>
        <v>#DIV/0!</v>
      </c>
      <c r="I76" s="77">
        <f t="shared" si="18"/>
        <v>69</v>
      </c>
      <c r="J76" s="73">
        <f t="shared" si="4"/>
        <v>2025</v>
      </c>
      <c r="K76" s="78" t="str">
        <f t="shared" si="19"/>
        <v/>
      </c>
    </row>
    <row r="77" spans="2:11" hidden="1" outlineLevel="1">
      <c r="B77" s="78">
        <f t="shared" si="1"/>
        <v>45778</v>
      </c>
      <c r="C77" s="75">
        <f>IF(F77&lt;&gt;0,-INDEX([10]Delta!$F$1:$EE$997,$L$13,$I77),0)</f>
        <v>0</v>
      </c>
      <c r="D77" s="71">
        <f>IF(F77&lt;&gt;0,VLOOKUP($J77,'Table 1'!$B$13:$C$33,2,FALSE)/12*1000*Study_MW,0)</f>
        <v>0</v>
      </c>
      <c r="E77" s="71">
        <f t="shared" si="17"/>
        <v>0</v>
      </c>
      <c r="F77" s="75">
        <f>INDEX([10]Delta!$F$1:$EE$997,$L$14,$I77)</f>
        <v>0</v>
      </c>
      <c r="G77" s="76" t="e">
        <f t="shared" si="3"/>
        <v>#DIV/0!</v>
      </c>
      <c r="I77" s="77">
        <f t="shared" si="18"/>
        <v>70</v>
      </c>
      <c r="J77" s="73">
        <f t="shared" si="4"/>
        <v>2025</v>
      </c>
      <c r="K77" s="78" t="str">
        <f t="shared" si="19"/>
        <v/>
      </c>
    </row>
    <row r="78" spans="2:11" hidden="1" outlineLevel="1">
      <c r="B78" s="78">
        <f t="shared" ref="B78:B132" si="36">EDATE(B77,1)</f>
        <v>45809</v>
      </c>
      <c r="C78" s="75">
        <f>IF(F78&lt;&gt;0,-INDEX([10]Delta!$F$1:$EE$997,$L$13,$I78),0)</f>
        <v>0</v>
      </c>
      <c r="D78" s="71">
        <f>IF(F78&lt;&gt;0,VLOOKUP($J78,'Table 1'!$B$13:$C$33,2,FALSE)/12*1000*Study_MW,0)</f>
        <v>0</v>
      </c>
      <c r="E78" s="71">
        <f t="shared" ref="E78:E132" si="37">C78+D78</f>
        <v>0</v>
      </c>
      <c r="F78" s="75">
        <f>INDEX([10]Delta!$F$1:$EE$997,$L$14,$I78)</f>
        <v>0</v>
      </c>
      <c r="G78" s="76" t="e">
        <f t="shared" ref="G78:G132" si="38">IF(ISNUMBER($F78),E78/$F78,"")</f>
        <v>#DIV/0!</v>
      </c>
      <c r="I78" s="77">
        <f t="shared" si="18"/>
        <v>71</v>
      </c>
      <c r="J78" s="73">
        <f t="shared" ref="J78:J141" si="39">YEAR(B78)</f>
        <v>2025</v>
      </c>
      <c r="K78" s="78" t="str">
        <f t="shared" si="19"/>
        <v/>
      </c>
    </row>
    <row r="79" spans="2:11" hidden="1" outlineLevel="1">
      <c r="B79" s="78">
        <f t="shared" si="36"/>
        <v>45839</v>
      </c>
      <c r="C79" s="75">
        <f>IF(F79&lt;&gt;0,-INDEX([10]Delta!$F$1:$EE$997,$L$13,$I79),0)</f>
        <v>0</v>
      </c>
      <c r="D79" s="71">
        <f>IF(F79&lt;&gt;0,VLOOKUP($J79,'Table 1'!$B$13:$C$33,2,FALSE)/12*1000*Study_MW,0)</f>
        <v>0</v>
      </c>
      <c r="E79" s="71">
        <f t="shared" si="37"/>
        <v>0</v>
      </c>
      <c r="F79" s="75">
        <f>INDEX([10]Delta!$F$1:$EE$997,$L$14,$I79)</f>
        <v>0</v>
      </c>
      <c r="G79" s="76" t="e">
        <f t="shared" si="38"/>
        <v>#DIV/0!</v>
      </c>
      <c r="I79" s="77">
        <f t="shared" si="18"/>
        <v>72</v>
      </c>
      <c r="J79" s="73">
        <f t="shared" si="39"/>
        <v>2025</v>
      </c>
      <c r="K79" s="78" t="str">
        <f t="shared" si="19"/>
        <v/>
      </c>
    </row>
    <row r="80" spans="2:11" hidden="1" outlineLevel="1">
      <c r="B80" s="78">
        <f t="shared" si="36"/>
        <v>45870</v>
      </c>
      <c r="C80" s="75">
        <f>IF(F80&lt;&gt;0,-INDEX([10]Delta!$F$1:$EE$997,$L$13,$I80),0)</f>
        <v>0</v>
      </c>
      <c r="D80" s="71">
        <f>IF(F80&lt;&gt;0,VLOOKUP($J80,'Table 1'!$B$13:$C$33,2,FALSE)/12*1000*Study_MW,0)</f>
        <v>0</v>
      </c>
      <c r="E80" s="71">
        <f t="shared" si="37"/>
        <v>0</v>
      </c>
      <c r="F80" s="75">
        <f>INDEX([10]Delta!$F$1:$EE$997,$L$14,$I80)</f>
        <v>0</v>
      </c>
      <c r="G80" s="76" t="e">
        <f t="shared" si="38"/>
        <v>#DIV/0!</v>
      </c>
      <c r="I80" s="77">
        <f t="shared" si="18"/>
        <v>73</v>
      </c>
      <c r="J80" s="73">
        <f t="shared" si="39"/>
        <v>2025</v>
      </c>
      <c r="K80" s="78" t="str">
        <f t="shared" si="19"/>
        <v/>
      </c>
    </row>
    <row r="81" spans="2:11" hidden="1" outlineLevel="1">
      <c r="B81" s="78">
        <f t="shared" si="36"/>
        <v>45901</v>
      </c>
      <c r="C81" s="75">
        <f>IF(F81&lt;&gt;0,-INDEX([10]Delta!$F$1:$EE$997,$L$13,$I81),0)</f>
        <v>0</v>
      </c>
      <c r="D81" s="71">
        <f>IF(F81&lt;&gt;0,VLOOKUP($J81,'Table 1'!$B$13:$C$33,2,FALSE)/12*1000*Study_MW,0)</f>
        <v>0</v>
      </c>
      <c r="E81" s="71">
        <f t="shared" si="37"/>
        <v>0</v>
      </c>
      <c r="F81" s="75">
        <f>INDEX([10]Delta!$F$1:$EE$997,$L$14,$I81)</f>
        <v>0</v>
      </c>
      <c r="G81" s="76" t="e">
        <f t="shared" si="38"/>
        <v>#DIV/0!</v>
      </c>
      <c r="I81" s="77">
        <f t="shared" si="18"/>
        <v>74</v>
      </c>
      <c r="J81" s="73">
        <f t="shared" si="39"/>
        <v>2025</v>
      </c>
      <c r="K81" s="78" t="str">
        <f t="shared" si="19"/>
        <v/>
      </c>
    </row>
    <row r="82" spans="2:11" hidden="1" outlineLevel="1">
      <c r="B82" s="78">
        <f t="shared" si="36"/>
        <v>45931</v>
      </c>
      <c r="C82" s="75">
        <f>IF(F82&lt;&gt;0,-INDEX([10]Delta!$F$1:$EE$997,$L$13,$I82),0)</f>
        <v>0</v>
      </c>
      <c r="D82" s="71">
        <f>IF(F82&lt;&gt;0,VLOOKUP($J82,'Table 1'!$B$13:$C$33,2,FALSE)/12*1000*Study_MW,0)</f>
        <v>0</v>
      </c>
      <c r="E82" s="71">
        <f t="shared" si="37"/>
        <v>0</v>
      </c>
      <c r="F82" s="75">
        <f>INDEX([10]Delta!$F$1:$EE$997,$L$14,$I82)</f>
        <v>0</v>
      </c>
      <c r="G82" s="76" t="e">
        <f t="shared" si="38"/>
        <v>#DIV/0!</v>
      </c>
      <c r="I82" s="77">
        <f t="shared" si="18"/>
        <v>75</v>
      </c>
      <c r="J82" s="73">
        <f t="shared" si="39"/>
        <v>2025</v>
      </c>
      <c r="K82" s="78" t="str">
        <f t="shared" si="19"/>
        <v/>
      </c>
    </row>
    <row r="83" spans="2:11" hidden="1" outlineLevel="1">
      <c r="B83" s="78">
        <f t="shared" si="36"/>
        <v>45962</v>
      </c>
      <c r="C83" s="75">
        <f>IF(F83&lt;&gt;0,-INDEX([10]Delta!$F$1:$EE$997,$L$13,$I83),0)</f>
        <v>0</v>
      </c>
      <c r="D83" s="71">
        <f>IF(F83&lt;&gt;0,VLOOKUP($J83,'Table 1'!$B$13:$C$33,2,FALSE)/12*1000*Study_MW,0)</f>
        <v>0</v>
      </c>
      <c r="E83" s="71">
        <f t="shared" si="37"/>
        <v>0</v>
      </c>
      <c r="F83" s="75">
        <f>INDEX([10]Delta!$F$1:$EE$997,$L$14,$I83)</f>
        <v>0</v>
      </c>
      <c r="G83" s="76" t="e">
        <f t="shared" si="38"/>
        <v>#DIV/0!</v>
      </c>
      <c r="I83" s="77">
        <f t="shared" si="18"/>
        <v>76</v>
      </c>
      <c r="J83" s="73">
        <f t="shared" si="39"/>
        <v>2025</v>
      </c>
      <c r="K83" s="78" t="str">
        <f t="shared" si="19"/>
        <v/>
      </c>
    </row>
    <row r="84" spans="2:11" hidden="1" outlineLevel="1">
      <c r="B84" s="82">
        <f t="shared" si="36"/>
        <v>45992</v>
      </c>
      <c r="C84" s="79">
        <f>IF(F84&lt;&gt;0,-INDEX([10]Delta!$F$1:$EE$997,$L$13,$I84),0)</f>
        <v>0</v>
      </c>
      <c r="D84" s="80">
        <f>IF(F84&lt;&gt;0,VLOOKUP($J84,'Table 1'!$B$13:$C$33,2,FALSE)/12*1000*Study_MW,0)</f>
        <v>0</v>
      </c>
      <c r="E84" s="80">
        <f t="shared" si="37"/>
        <v>0</v>
      </c>
      <c r="F84" s="79">
        <f>INDEX([10]Delta!$F$1:$EE$997,$L$14,$I84)</f>
        <v>0</v>
      </c>
      <c r="G84" s="81" t="e">
        <f t="shared" si="38"/>
        <v>#DIV/0!</v>
      </c>
      <c r="I84" s="64">
        <f t="shared" si="18"/>
        <v>77</v>
      </c>
      <c r="J84" s="73">
        <f t="shared" si="39"/>
        <v>2025</v>
      </c>
      <c r="K84" s="82" t="str">
        <f t="shared" si="19"/>
        <v/>
      </c>
    </row>
    <row r="85" spans="2:11" hidden="1" outlineLevel="1">
      <c r="B85" s="74">
        <f t="shared" si="36"/>
        <v>46023</v>
      </c>
      <c r="C85" s="69">
        <f>IF(F85&lt;&gt;0,-INDEX([10]Delta!$F$1:$EE$997,$L$13,$I85),0)</f>
        <v>0</v>
      </c>
      <c r="D85" s="70">
        <f>IF(F85&lt;&gt;0,VLOOKUP($J85,'Table 1'!$B$13:$C$33,2,FALSE)/12*1000*Study_MW,0)</f>
        <v>0</v>
      </c>
      <c r="E85" s="70">
        <f t="shared" si="37"/>
        <v>0</v>
      </c>
      <c r="F85" s="69">
        <f>INDEX([10]Delta!$F$1:$EE$997,$L$14,$I85)</f>
        <v>0</v>
      </c>
      <c r="G85" s="72" t="e">
        <f t="shared" si="38"/>
        <v>#DIV/0!</v>
      </c>
      <c r="I85" s="60">
        <f>I73+13</f>
        <v>79</v>
      </c>
      <c r="J85" s="73">
        <f t="shared" si="39"/>
        <v>2026</v>
      </c>
      <c r="K85" s="74" t="str">
        <f t="shared" si="19"/>
        <v/>
      </c>
    </row>
    <row r="86" spans="2:11" hidden="1" outlineLevel="1">
      <c r="B86" s="78">
        <f t="shared" si="36"/>
        <v>46054</v>
      </c>
      <c r="C86" s="75">
        <f>IF(F86&lt;&gt;0,-INDEX([10]Delta!$F$1:$EE$997,$L$13,$I86),0)</f>
        <v>0</v>
      </c>
      <c r="D86" s="71">
        <f>IF(F86&lt;&gt;0,VLOOKUP($J86,'Table 1'!$B$13:$C$33,2,FALSE)/12*1000*Study_MW,0)</f>
        <v>0</v>
      </c>
      <c r="E86" s="71">
        <f t="shared" si="37"/>
        <v>0</v>
      </c>
      <c r="F86" s="75">
        <f>INDEX([10]Delta!$F$1:$EE$997,$L$14,$I86)</f>
        <v>0</v>
      </c>
      <c r="G86" s="76" t="e">
        <f t="shared" si="38"/>
        <v>#DIV/0!</v>
      </c>
      <c r="I86" s="77">
        <f t="shared" si="18"/>
        <v>80</v>
      </c>
      <c r="J86" s="73">
        <f t="shared" si="39"/>
        <v>2026</v>
      </c>
      <c r="K86" s="78" t="str">
        <f t="shared" si="19"/>
        <v/>
      </c>
    </row>
    <row r="87" spans="2:11" hidden="1" outlineLevel="1">
      <c r="B87" s="78">
        <f t="shared" si="36"/>
        <v>46082</v>
      </c>
      <c r="C87" s="75">
        <f>IF(F87&lt;&gt;0,-INDEX([10]Delta!$F$1:$EE$997,$L$13,$I87),0)</f>
        <v>0</v>
      </c>
      <c r="D87" s="71">
        <f>IF(F87&lt;&gt;0,VLOOKUP($J87,'Table 1'!$B$13:$C$33,2,FALSE)/12*1000*Study_MW,0)</f>
        <v>0</v>
      </c>
      <c r="E87" s="71">
        <f t="shared" si="37"/>
        <v>0</v>
      </c>
      <c r="F87" s="75">
        <f>INDEX([10]Delta!$F$1:$EE$997,$L$14,$I87)</f>
        <v>0</v>
      </c>
      <c r="G87" s="76" t="e">
        <f t="shared" si="38"/>
        <v>#DIV/0!</v>
      </c>
      <c r="I87" s="77">
        <f t="shared" si="18"/>
        <v>81</v>
      </c>
      <c r="J87" s="73">
        <f t="shared" si="39"/>
        <v>2026</v>
      </c>
      <c r="K87" s="78" t="str">
        <f t="shared" si="19"/>
        <v/>
      </c>
    </row>
    <row r="88" spans="2:11" hidden="1" outlineLevel="1">
      <c r="B88" s="78">
        <f t="shared" si="36"/>
        <v>46113</v>
      </c>
      <c r="C88" s="75">
        <f>IF(F88&lt;&gt;0,-INDEX([10]Delta!$F$1:$EE$997,$L$13,$I88),0)</f>
        <v>0</v>
      </c>
      <c r="D88" s="71">
        <f>IF(F88&lt;&gt;0,VLOOKUP($J88,'Table 1'!$B$13:$C$33,2,FALSE)/12*1000*Study_MW,0)</f>
        <v>0</v>
      </c>
      <c r="E88" s="71">
        <f t="shared" si="37"/>
        <v>0</v>
      </c>
      <c r="F88" s="75">
        <f>INDEX([10]Delta!$F$1:$EE$997,$L$14,$I88)</f>
        <v>0</v>
      </c>
      <c r="G88" s="76" t="e">
        <f t="shared" si="38"/>
        <v>#DIV/0!</v>
      </c>
      <c r="I88" s="77">
        <f t="shared" si="18"/>
        <v>82</v>
      </c>
      <c r="J88" s="73">
        <f t="shared" si="39"/>
        <v>2026</v>
      </c>
      <c r="K88" s="78" t="str">
        <f t="shared" si="19"/>
        <v/>
      </c>
    </row>
    <row r="89" spans="2:11" hidden="1" outlineLevel="1">
      <c r="B89" s="78">
        <f t="shared" si="36"/>
        <v>46143</v>
      </c>
      <c r="C89" s="75">
        <f>IF(F89&lt;&gt;0,-INDEX([10]Delta!$F$1:$EE$997,$L$13,$I89),0)</f>
        <v>0</v>
      </c>
      <c r="D89" s="71">
        <f>IF(F89&lt;&gt;0,VLOOKUP($J89,'Table 1'!$B$13:$C$33,2,FALSE)/12*1000*Study_MW,0)</f>
        <v>0</v>
      </c>
      <c r="E89" s="71">
        <f t="shared" si="37"/>
        <v>0</v>
      </c>
      <c r="F89" s="75">
        <f>INDEX([10]Delta!$F$1:$EE$997,$L$14,$I89)</f>
        <v>0</v>
      </c>
      <c r="G89" s="76" t="e">
        <f t="shared" si="38"/>
        <v>#DIV/0!</v>
      </c>
      <c r="I89" s="77">
        <f t="shared" si="18"/>
        <v>83</v>
      </c>
      <c r="J89" s="73">
        <f t="shared" si="39"/>
        <v>2026</v>
      </c>
      <c r="K89" s="78" t="str">
        <f t="shared" si="19"/>
        <v/>
      </c>
    </row>
    <row r="90" spans="2:11" hidden="1" outlineLevel="1">
      <c r="B90" s="78">
        <f t="shared" si="36"/>
        <v>46174</v>
      </c>
      <c r="C90" s="75">
        <f>IF(F90&lt;&gt;0,-INDEX([10]Delta!$F$1:$EE$997,$L$13,$I90),0)</f>
        <v>0</v>
      </c>
      <c r="D90" s="71">
        <f>IF(F90&lt;&gt;0,VLOOKUP($J90,'Table 1'!$B$13:$C$33,2,FALSE)/12*1000*Study_MW,0)</f>
        <v>0</v>
      </c>
      <c r="E90" s="71">
        <f t="shared" si="37"/>
        <v>0</v>
      </c>
      <c r="F90" s="75">
        <f>INDEX([10]Delta!$F$1:$EE$997,$L$14,$I90)</f>
        <v>0</v>
      </c>
      <c r="G90" s="76" t="e">
        <f t="shared" si="38"/>
        <v>#DIV/0!</v>
      </c>
      <c r="I90" s="77">
        <f t="shared" ref="I90:I96" si="40">I78+13</f>
        <v>84</v>
      </c>
      <c r="J90" s="73">
        <f t="shared" si="39"/>
        <v>2026</v>
      </c>
      <c r="K90" s="78" t="str">
        <f t="shared" ref="K90:K153" si="41">IF(ISNUMBER(F90),IF(F90&lt;&gt;0,B90,""),"")</f>
        <v/>
      </c>
    </row>
    <row r="91" spans="2:11" hidden="1" outlineLevel="1">
      <c r="B91" s="78">
        <f t="shared" si="36"/>
        <v>46204</v>
      </c>
      <c r="C91" s="75">
        <f>IF(F91&lt;&gt;0,-INDEX([10]Delta!$F$1:$EE$997,$L$13,$I91),0)</f>
        <v>0</v>
      </c>
      <c r="D91" s="71">
        <f>IF(F91&lt;&gt;0,VLOOKUP($J91,'Table 1'!$B$13:$C$33,2,FALSE)/12*1000*Study_MW,0)</f>
        <v>0</v>
      </c>
      <c r="E91" s="71">
        <f t="shared" si="37"/>
        <v>0</v>
      </c>
      <c r="F91" s="75">
        <f>INDEX([10]Delta!$F$1:$EE$997,$L$14,$I91)</f>
        <v>0</v>
      </c>
      <c r="G91" s="76" t="e">
        <f t="shared" si="38"/>
        <v>#DIV/0!</v>
      </c>
      <c r="I91" s="77">
        <f t="shared" si="40"/>
        <v>85</v>
      </c>
      <c r="J91" s="73">
        <f t="shared" si="39"/>
        <v>2026</v>
      </c>
      <c r="K91" s="78" t="str">
        <f t="shared" si="41"/>
        <v/>
      </c>
    </row>
    <row r="92" spans="2:11" hidden="1" outlineLevel="1">
      <c r="B92" s="78">
        <f t="shared" si="36"/>
        <v>46235</v>
      </c>
      <c r="C92" s="75">
        <f>IF(F92&lt;&gt;0,-INDEX([10]Delta!$F$1:$EE$997,$L$13,$I92),0)</f>
        <v>0</v>
      </c>
      <c r="D92" s="71">
        <f>IF(F92&lt;&gt;0,VLOOKUP($J92,'Table 1'!$B$13:$C$33,2,FALSE)/12*1000*Study_MW,0)</f>
        <v>0</v>
      </c>
      <c r="E92" s="71">
        <f t="shared" si="37"/>
        <v>0</v>
      </c>
      <c r="F92" s="75">
        <f>INDEX([10]Delta!$F$1:$EE$997,$L$14,$I92)</f>
        <v>0</v>
      </c>
      <c r="G92" s="76" t="e">
        <f t="shared" si="38"/>
        <v>#DIV/0!</v>
      </c>
      <c r="I92" s="77">
        <f t="shared" si="40"/>
        <v>86</v>
      </c>
      <c r="J92" s="73">
        <f t="shared" si="39"/>
        <v>2026</v>
      </c>
      <c r="K92" s="78" t="str">
        <f t="shared" si="41"/>
        <v/>
      </c>
    </row>
    <row r="93" spans="2:11" hidden="1" outlineLevel="1">
      <c r="B93" s="78">
        <f t="shared" si="36"/>
        <v>46266</v>
      </c>
      <c r="C93" s="75">
        <f>IF(F93&lt;&gt;0,-INDEX([10]Delta!$F$1:$EE$997,$L$13,$I93),0)</f>
        <v>0</v>
      </c>
      <c r="D93" s="71">
        <f>IF(F93&lt;&gt;0,VLOOKUP($J93,'Table 1'!$B$13:$C$33,2,FALSE)/12*1000*Study_MW,0)</f>
        <v>0</v>
      </c>
      <c r="E93" s="71">
        <f t="shared" si="37"/>
        <v>0</v>
      </c>
      <c r="F93" s="75">
        <f>INDEX([10]Delta!$F$1:$EE$997,$L$14,$I93)</f>
        <v>0</v>
      </c>
      <c r="G93" s="76" t="e">
        <f t="shared" si="38"/>
        <v>#DIV/0!</v>
      </c>
      <c r="I93" s="77">
        <f t="shared" si="40"/>
        <v>87</v>
      </c>
      <c r="J93" s="73">
        <f t="shared" si="39"/>
        <v>2026</v>
      </c>
      <c r="K93" s="78" t="str">
        <f t="shared" si="41"/>
        <v/>
      </c>
    </row>
    <row r="94" spans="2:11" hidden="1" outlineLevel="1">
      <c r="B94" s="78">
        <f t="shared" si="36"/>
        <v>46296</v>
      </c>
      <c r="C94" s="75">
        <f>IF(F94&lt;&gt;0,-INDEX([10]Delta!$F$1:$EE$997,$L$13,$I94),0)</f>
        <v>0</v>
      </c>
      <c r="D94" s="71">
        <f>IF(F94&lt;&gt;0,VLOOKUP($J94,'Table 1'!$B$13:$C$33,2,FALSE)/12*1000*Study_MW,0)</f>
        <v>0</v>
      </c>
      <c r="E94" s="71">
        <f t="shared" si="37"/>
        <v>0</v>
      </c>
      <c r="F94" s="75">
        <f>INDEX([10]Delta!$F$1:$EE$997,$L$14,$I94)</f>
        <v>0</v>
      </c>
      <c r="G94" s="76" t="e">
        <f t="shared" si="38"/>
        <v>#DIV/0!</v>
      </c>
      <c r="I94" s="77">
        <f t="shared" si="40"/>
        <v>88</v>
      </c>
      <c r="J94" s="73">
        <f t="shared" si="39"/>
        <v>2026</v>
      </c>
      <c r="K94" s="78" t="str">
        <f t="shared" si="41"/>
        <v/>
      </c>
    </row>
    <row r="95" spans="2:11" hidden="1" outlineLevel="1">
      <c r="B95" s="78">
        <f t="shared" si="36"/>
        <v>46327</v>
      </c>
      <c r="C95" s="75">
        <f>IF(F95&lt;&gt;0,-INDEX([10]Delta!$F$1:$EE$997,$L$13,$I95),0)</f>
        <v>0</v>
      </c>
      <c r="D95" s="71">
        <f>IF(F95&lt;&gt;0,VLOOKUP($J95,'Table 1'!$B$13:$C$33,2,FALSE)/12*1000*Study_MW,0)</f>
        <v>0</v>
      </c>
      <c r="E95" s="71">
        <f t="shared" si="37"/>
        <v>0</v>
      </c>
      <c r="F95" s="75">
        <f>INDEX([10]Delta!$F$1:$EE$997,$L$14,$I95)</f>
        <v>0</v>
      </c>
      <c r="G95" s="76" t="e">
        <f t="shared" si="38"/>
        <v>#DIV/0!</v>
      </c>
      <c r="I95" s="77">
        <f t="shared" si="40"/>
        <v>89</v>
      </c>
      <c r="J95" s="73">
        <f t="shared" si="39"/>
        <v>2026</v>
      </c>
      <c r="K95" s="78" t="str">
        <f t="shared" si="41"/>
        <v/>
      </c>
    </row>
    <row r="96" spans="2:11" hidden="1" outlineLevel="1">
      <c r="B96" s="82">
        <f t="shared" si="36"/>
        <v>46357</v>
      </c>
      <c r="C96" s="79">
        <f>IF(F96&lt;&gt;0,-INDEX([10]Delta!$F$1:$EE$997,$L$13,$I96),0)</f>
        <v>0</v>
      </c>
      <c r="D96" s="80">
        <f>IF(F96&lt;&gt;0,VLOOKUP($J96,'Table 1'!$B$13:$C$33,2,FALSE)/12*1000*Study_MW,0)</f>
        <v>0</v>
      </c>
      <c r="E96" s="80">
        <f t="shared" si="37"/>
        <v>0</v>
      </c>
      <c r="F96" s="79">
        <f>INDEX([10]Delta!$F$1:$EE$997,$L$14,$I96)</f>
        <v>0</v>
      </c>
      <c r="G96" s="81" t="e">
        <f t="shared" si="38"/>
        <v>#DIV/0!</v>
      </c>
      <c r="I96" s="64">
        <f t="shared" si="40"/>
        <v>90</v>
      </c>
      <c r="J96" s="73">
        <f t="shared" si="39"/>
        <v>2026</v>
      </c>
      <c r="K96" s="82" t="str">
        <f t="shared" si="41"/>
        <v/>
      </c>
    </row>
    <row r="97" spans="2:11" hidden="1" outlineLevel="1">
      <c r="B97" s="74">
        <f t="shared" si="36"/>
        <v>46388</v>
      </c>
      <c r="C97" s="69">
        <f>IF(F97&lt;&gt;0,-INDEX([10]Delta!$F$1:$EE$997,$L$13,$I97),0)</f>
        <v>0</v>
      </c>
      <c r="D97" s="70">
        <f>IF(F97&lt;&gt;0,VLOOKUP($J97,'Table 1'!$B$13:$C$33,2,FALSE)/12*1000*Study_MW,0)</f>
        <v>0</v>
      </c>
      <c r="E97" s="70">
        <f t="shared" si="37"/>
        <v>0</v>
      </c>
      <c r="F97" s="69">
        <f>INDEX([10]Delta!$F$1:$EE$997,$L$14,$I97)</f>
        <v>0</v>
      </c>
      <c r="G97" s="72" t="e">
        <f t="shared" si="38"/>
        <v>#DIV/0!</v>
      </c>
      <c r="I97" s="60">
        <f>I85+13</f>
        <v>92</v>
      </c>
      <c r="J97" s="73">
        <f t="shared" si="39"/>
        <v>2027</v>
      </c>
      <c r="K97" s="74" t="str">
        <f t="shared" si="41"/>
        <v/>
      </c>
    </row>
    <row r="98" spans="2:11" hidden="1" outlineLevel="1">
      <c r="B98" s="78">
        <f t="shared" si="36"/>
        <v>46419</v>
      </c>
      <c r="C98" s="75">
        <f>IF(F98&lt;&gt;0,-INDEX([10]Delta!$F$1:$EE$997,$L$13,$I98),0)</f>
        <v>0</v>
      </c>
      <c r="D98" s="71">
        <f>IF(F98&lt;&gt;0,VLOOKUP($J98,'Table 1'!$B$13:$C$33,2,FALSE)/12*1000*Study_MW,0)</f>
        <v>0</v>
      </c>
      <c r="E98" s="71">
        <f t="shared" si="37"/>
        <v>0</v>
      </c>
      <c r="F98" s="75">
        <f>INDEX([10]Delta!$F$1:$EE$997,$L$14,$I98)</f>
        <v>0</v>
      </c>
      <c r="G98" s="76" t="e">
        <f t="shared" si="38"/>
        <v>#DIV/0!</v>
      </c>
      <c r="I98" s="77">
        <f t="shared" ref="I98:I120" si="42">I86+13</f>
        <v>93</v>
      </c>
      <c r="J98" s="73">
        <f t="shared" si="39"/>
        <v>2027</v>
      </c>
      <c r="K98" s="78" t="str">
        <f t="shared" si="41"/>
        <v/>
      </c>
    </row>
    <row r="99" spans="2:11" hidden="1" outlineLevel="1">
      <c r="B99" s="78">
        <f t="shared" si="36"/>
        <v>46447</v>
      </c>
      <c r="C99" s="75">
        <f>IF(F99&lt;&gt;0,-INDEX([10]Delta!$F$1:$EE$997,$L$13,$I99),0)</f>
        <v>0</v>
      </c>
      <c r="D99" s="71">
        <f>IF(F99&lt;&gt;0,VLOOKUP($J99,'Table 1'!$B$13:$C$33,2,FALSE)/12*1000*Study_MW,0)</f>
        <v>0</v>
      </c>
      <c r="E99" s="71">
        <f t="shared" si="37"/>
        <v>0</v>
      </c>
      <c r="F99" s="75">
        <f>INDEX([10]Delta!$F$1:$EE$997,$L$14,$I99)</f>
        <v>0</v>
      </c>
      <c r="G99" s="76" t="e">
        <f t="shared" si="38"/>
        <v>#DIV/0!</v>
      </c>
      <c r="I99" s="77">
        <f t="shared" si="42"/>
        <v>94</v>
      </c>
      <c r="J99" s="73">
        <f t="shared" si="39"/>
        <v>2027</v>
      </c>
      <c r="K99" s="78" t="str">
        <f t="shared" si="41"/>
        <v/>
      </c>
    </row>
    <row r="100" spans="2:11" hidden="1" outlineLevel="1">
      <c r="B100" s="78">
        <f t="shared" si="36"/>
        <v>46478</v>
      </c>
      <c r="C100" s="75">
        <f>IF(F100&lt;&gt;0,-INDEX([10]Delta!$F$1:$EE$997,$L$13,$I100),0)</f>
        <v>0</v>
      </c>
      <c r="D100" s="71">
        <f>IF(F100&lt;&gt;0,VLOOKUP($J100,'Table 1'!$B$13:$C$33,2,FALSE)/12*1000*Study_MW,0)</f>
        <v>0</v>
      </c>
      <c r="E100" s="71">
        <f t="shared" si="37"/>
        <v>0</v>
      </c>
      <c r="F100" s="75">
        <f>INDEX([10]Delta!$F$1:$EE$997,$L$14,$I100)</f>
        <v>0</v>
      </c>
      <c r="G100" s="76" t="e">
        <f t="shared" si="38"/>
        <v>#DIV/0!</v>
      </c>
      <c r="I100" s="77">
        <f t="shared" si="42"/>
        <v>95</v>
      </c>
      <c r="J100" s="73">
        <f t="shared" si="39"/>
        <v>2027</v>
      </c>
      <c r="K100" s="78" t="str">
        <f t="shared" si="41"/>
        <v/>
      </c>
    </row>
    <row r="101" spans="2:11" hidden="1" outlineLevel="1">
      <c r="B101" s="78">
        <f t="shared" si="36"/>
        <v>46508</v>
      </c>
      <c r="C101" s="75">
        <f>IF(F101&lt;&gt;0,-INDEX([10]Delta!$F$1:$EE$997,$L$13,$I101),0)</f>
        <v>0</v>
      </c>
      <c r="D101" s="71">
        <f>IF(F101&lt;&gt;0,VLOOKUP($J101,'Table 1'!$B$13:$C$33,2,FALSE)/12*1000*Study_MW,0)</f>
        <v>0</v>
      </c>
      <c r="E101" s="71">
        <f t="shared" si="37"/>
        <v>0</v>
      </c>
      <c r="F101" s="75">
        <f>INDEX([10]Delta!$F$1:$EE$997,$L$14,$I101)</f>
        <v>0</v>
      </c>
      <c r="G101" s="76" t="e">
        <f t="shared" si="38"/>
        <v>#DIV/0!</v>
      </c>
      <c r="I101" s="77">
        <f t="shared" si="42"/>
        <v>96</v>
      </c>
      <c r="J101" s="73">
        <f t="shared" si="39"/>
        <v>2027</v>
      </c>
      <c r="K101" s="78" t="str">
        <f t="shared" si="41"/>
        <v/>
      </c>
    </row>
    <row r="102" spans="2:11" hidden="1" outlineLevel="1">
      <c r="B102" s="78">
        <f t="shared" si="36"/>
        <v>46539</v>
      </c>
      <c r="C102" s="75">
        <f>IF(F102&lt;&gt;0,-INDEX([10]Delta!$F$1:$EE$997,$L$13,$I102),0)</f>
        <v>0</v>
      </c>
      <c r="D102" s="71">
        <f>IF(F102&lt;&gt;0,VLOOKUP($J102,'Table 1'!$B$13:$C$33,2,FALSE)/12*1000*Study_MW,0)</f>
        <v>0</v>
      </c>
      <c r="E102" s="71">
        <f t="shared" si="37"/>
        <v>0</v>
      </c>
      <c r="F102" s="75">
        <f>INDEX([10]Delta!$F$1:$EE$997,$L$14,$I102)</f>
        <v>0</v>
      </c>
      <c r="G102" s="76" t="e">
        <f t="shared" si="38"/>
        <v>#DIV/0!</v>
      </c>
      <c r="I102" s="77">
        <f t="shared" si="42"/>
        <v>97</v>
      </c>
      <c r="J102" s="73">
        <f t="shared" si="39"/>
        <v>2027</v>
      </c>
      <c r="K102" s="78" t="str">
        <f t="shared" si="41"/>
        <v/>
      </c>
    </row>
    <row r="103" spans="2:11" hidden="1" outlineLevel="1">
      <c r="B103" s="78">
        <f t="shared" si="36"/>
        <v>46569</v>
      </c>
      <c r="C103" s="75">
        <f>IF(F103&lt;&gt;0,-INDEX([10]Delta!$F$1:$EE$997,$L$13,$I103),0)</f>
        <v>0</v>
      </c>
      <c r="D103" s="71">
        <f>IF(F103&lt;&gt;0,VLOOKUP($J103,'Table 1'!$B$13:$C$33,2,FALSE)/12*1000*Study_MW,0)</f>
        <v>0</v>
      </c>
      <c r="E103" s="71">
        <f t="shared" si="37"/>
        <v>0</v>
      </c>
      <c r="F103" s="75">
        <f>INDEX([10]Delta!$F$1:$EE$997,$L$14,$I103)</f>
        <v>0</v>
      </c>
      <c r="G103" s="76" t="e">
        <f t="shared" si="38"/>
        <v>#DIV/0!</v>
      </c>
      <c r="I103" s="77">
        <f t="shared" si="42"/>
        <v>98</v>
      </c>
      <c r="J103" s="73">
        <f t="shared" si="39"/>
        <v>2027</v>
      </c>
      <c r="K103" s="78" t="str">
        <f t="shared" si="41"/>
        <v/>
      </c>
    </row>
    <row r="104" spans="2:11" hidden="1" outlineLevel="1">
      <c r="B104" s="78">
        <f t="shared" si="36"/>
        <v>46600</v>
      </c>
      <c r="C104" s="75">
        <f>IF(F104&lt;&gt;0,-INDEX([10]Delta!$F$1:$EE$997,$L$13,$I104),0)</f>
        <v>0</v>
      </c>
      <c r="D104" s="71">
        <f>IF(F104&lt;&gt;0,VLOOKUP($J104,'Table 1'!$B$13:$C$33,2,FALSE)/12*1000*Study_MW,0)</f>
        <v>0</v>
      </c>
      <c r="E104" s="71">
        <f t="shared" si="37"/>
        <v>0</v>
      </c>
      <c r="F104" s="75">
        <f>INDEX([10]Delta!$F$1:$EE$997,$L$14,$I104)</f>
        <v>0</v>
      </c>
      <c r="G104" s="76" t="e">
        <f t="shared" si="38"/>
        <v>#DIV/0!</v>
      </c>
      <c r="I104" s="77">
        <f t="shared" si="42"/>
        <v>99</v>
      </c>
      <c r="J104" s="73">
        <f t="shared" si="39"/>
        <v>2027</v>
      </c>
      <c r="K104" s="78" t="str">
        <f t="shared" si="41"/>
        <v/>
      </c>
    </row>
    <row r="105" spans="2:11" hidden="1" outlineLevel="1">
      <c r="B105" s="78">
        <f t="shared" si="36"/>
        <v>46631</v>
      </c>
      <c r="C105" s="75">
        <f>IF(F105&lt;&gt;0,-INDEX([10]Delta!$F$1:$EE$997,$L$13,$I105),0)</f>
        <v>0</v>
      </c>
      <c r="D105" s="71">
        <f>IF(F105&lt;&gt;0,VLOOKUP($J105,'Table 1'!$B$13:$C$33,2,FALSE)/12*1000*Study_MW,0)</f>
        <v>0</v>
      </c>
      <c r="E105" s="71">
        <f t="shared" si="37"/>
        <v>0</v>
      </c>
      <c r="F105" s="75">
        <f>INDEX([10]Delta!$F$1:$EE$997,$L$14,$I105)</f>
        <v>0</v>
      </c>
      <c r="G105" s="76" t="e">
        <f t="shared" si="38"/>
        <v>#DIV/0!</v>
      </c>
      <c r="I105" s="77">
        <f t="shared" si="42"/>
        <v>100</v>
      </c>
      <c r="J105" s="73">
        <f t="shared" si="39"/>
        <v>2027</v>
      </c>
      <c r="K105" s="78" t="str">
        <f t="shared" si="41"/>
        <v/>
      </c>
    </row>
    <row r="106" spans="2:11" hidden="1" outlineLevel="1">
      <c r="B106" s="78">
        <f t="shared" si="36"/>
        <v>46661</v>
      </c>
      <c r="C106" s="75">
        <f>IF(F106&lt;&gt;0,-INDEX([10]Delta!$F$1:$EE$997,$L$13,$I106),0)</f>
        <v>0</v>
      </c>
      <c r="D106" s="71">
        <f>IF(F106&lt;&gt;0,VLOOKUP($J106,'Table 1'!$B$13:$C$33,2,FALSE)/12*1000*Study_MW,0)</f>
        <v>0</v>
      </c>
      <c r="E106" s="71">
        <f t="shared" si="37"/>
        <v>0</v>
      </c>
      <c r="F106" s="75">
        <f>INDEX([10]Delta!$F$1:$EE$997,$L$14,$I106)</f>
        <v>0</v>
      </c>
      <c r="G106" s="76" t="e">
        <f t="shared" si="38"/>
        <v>#DIV/0!</v>
      </c>
      <c r="I106" s="77">
        <f t="shared" si="42"/>
        <v>101</v>
      </c>
      <c r="J106" s="73">
        <f t="shared" si="39"/>
        <v>2027</v>
      </c>
      <c r="K106" s="78" t="str">
        <f t="shared" si="41"/>
        <v/>
      </c>
    </row>
    <row r="107" spans="2:11" hidden="1" outlineLevel="1">
      <c r="B107" s="78">
        <f t="shared" si="36"/>
        <v>46692</v>
      </c>
      <c r="C107" s="75">
        <f>IF(F107&lt;&gt;0,-INDEX([10]Delta!$F$1:$EE$997,$L$13,$I107),0)</f>
        <v>0</v>
      </c>
      <c r="D107" s="71">
        <f>IF(F107&lt;&gt;0,VLOOKUP($J107,'Table 1'!$B$13:$C$33,2,FALSE)/12*1000*Study_MW,0)</f>
        <v>0</v>
      </c>
      <c r="E107" s="71">
        <f t="shared" si="37"/>
        <v>0</v>
      </c>
      <c r="F107" s="75">
        <f>INDEX([10]Delta!$F$1:$EE$997,$L$14,$I107)</f>
        <v>0</v>
      </c>
      <c r="G107" s="76" t="e">
        <f t="shared" si="38"/>
        <v>#DIV/0!</v>
      </c>
      <c r="I107" s="77">
        <f t="shared" si="42"/>
        <v>102</v>
      </c>
      <c r="J107" s="73">
        <f t="shared" si="39"/>
        <v>2027</v>
      </c>
      <c r="K107" s="78" t="str">
        <f t="shared" si="41"/>
        <v/>
      </c>
    </row>
    <row r="108" spans="2:11" hidden="1" outlineLevel="1">
      <c r="B108" s="82">
        <f t="shared" si="36"/>
        <v>46722</v>
      </c>
      <c r="C108" s="79">
        <f>IF(F108&lt;&gt;0,-INDEX([10]Delta!$F$1:$EE$997,$L$13,$I108),0)</f>
        <v>0</v>
      </c>
      <c r="D108" s="80">
        <f>IF(F108&lt;&gt;0,VLOOKUP($J108,'Table 1'!$B$13:$C$33,2,FALSE)/12*1000*Study_MW,0)</f>
        <v>0</v>
      </c>
      <c r="E108" s="80">
        <f t="shared" si="37"/>
        <v>0</v>
      </c>
      <c r="F108" s="79">
        <f>INDEX([10]Delta!$F$1:$EE$997,$L$14,$I108)</f>
        <v>0</v>
      </c>
      <c r="G108" s="81" t="e">
        <f t="shared" si="38"/>
        <v>#DIV/0!</v>
      </c>
      <c r="I108" s="64">
        <f t="shared" si="42"/>
        <v>103</v>
      </c>
      <c r="J108" s="73">
        <f t="shared" si="39"/>
        <v>2027</v>
      </c>
      <c r="K108" s="82" t="str">
        <f t="shared" si="41"/>
        <v/>
      </c>
    </row>
    <row r="109" spans="2:11" hidden="1" outlineLevel="1">
      <c r="B109" s="74">
        <f t="shared" si="36"/>
        <v>46753</v>
      </c>
      <c r="C109" s="69">
        <f>IF(F109&lt;&gt;0,-INDEX([10]Delta!$F$1:$EE$997,$L$13,$I109),0)</f>
        <v>0</v>
      </c>
      <c r="D109" s="70">
        <f>IF(F109&lt;&gt;0,VLOOKUP($J109,'Table 1'!$B$13:$C$33,2,FALSE)/12*1000*Study_MW,0)</f>
        <v>0</v>
      </c>
      <c r="E109" s="70">
        <f t="shared" si="37"/>
        <v>0</v>
      </c>
      <c r="F109" s="69">
        <f>INDEX([10]Delta!$F$1:$EE$997,$L$14,$I109)</f>
        <v>0</v>
      </c>
      <c r="G109" s="72" t="e">
        <f t="shared" si="38"/>
        <v>#DIV/0!</v>
      </c>
      <c r="I109" s="60">
        <f>I97+13</f>
        <v>105</v>
      </c>
      <c r="J109" s="73">
        <f t="shared" si="39"/>
        <v>2028</v>
      </c>
      <c r="K109" s="74" t="str">
        <f t="shared" si="41"/>
        <v/>
      </c>
    </row>
    <row r="110" spans="2:11" hidden="1" outlineLevel="1">
      <c r="B110" s="78">
        <f t="shared" si="36"/>
        <v>46784</v>
      </c>
      <c r="C110" s="75">
        <f>IF(F110&lt;&gt;0,-INDEX([10]Delta!$F$1:$EE$997,$L$13,$I110),0)</f>
        <v>0</v>
      </c>
      <c r="D110" s="71">
        <f>IF(F110&lt;&gt;0,VLOOKUP($J110,'Table 1'!$B$13:$C$33,2,FALSE)/12*1000*Study_MW,0)</f>
        <v>0</v>
      </c>
      <c r="E110" s="71">
        <f t="shared" si="37"/>
        <v>0</v>
      </c>
      <c r="F110" s="75">
        <f>INDEX([10]Delta!$F$1:$EE$997,$L$14,$I110)</f>
        <v>0</v>
      </c>
      <c r="G110" s="76" t="e">
        <f t="shared" si="38"/>
        <v>#DIV/0!</v>
      </c>
      <c r="I110" s="77">
        <f t="shared" si="42"/>
        <v>106</v>
      </c>
      <c r="J110" s="73">
        <f t="shared" si="39"/>
        <v>2028</v>
      </c>
      <c r="K110" s="78" t="str">
        <f t="shared" si="41"/>
        <v/>
      </c>
    </row>
    <row r="111" spans="2:11" hidden="1" outlineLevel="1">
      <c r="B111" s="78">
        <f t="shared" si="36"/>
        <v>46813</v>
      </c>
      <c r="C111" s="75">
        <f>IF(F111&lt;&gt;0,-INDEX([10]Delta!$F$1:$EE$997,$L$13,$I111),0)</f>
        <v>0</v>
      </c>
      <c r="D111" s="71">
        <f>IF(F111&lt;&gt;0,VLOOKUP($J111,'Table 1'!$B$13:$C$33,2,FALSE)/12*1000*Study_MW,0)</f>
        <v>0</v>
      </c>
      <c r="E111" s="71">
        <f t="shared" si="37"/>
        <v>0</v>
      </c>
      <c r="F111" s="75">
        <f>INDEX([10]Delta!$F$1:$EE$997,$L$14,$I111)</f>
        <v>0</v>
      </c>
      <c r="G111" s="76" t="e">
        <f t="shared" si="38"/>
        <v>#DIV/0!</v>
      </c>
      <c r="I111" s="77">
        <f t="shared" si="42"/>
        <v>107</v>
      </c>
      <c r="J111" s="73">
        <f t="shared" si="39"/>
        <v>2028</v>
      </c>
      <c r="K111" s="78" t="str">
        <f t="shared" si="41"/>
        <v/>
      </c>
    </row>
    <row r="112" spans="2:11" hidden="1" outlineLevel="1">
      <c r="B112" s="78">
        <f t="shared" si="36"/>
        <v>46844</v>
      </c>
      <c r="C112" s="75">
        <f>IF(F112&lt;&gt;0,-INDEX([10]Delta!$F$1:$EE$997,$L$13,$I112),0)</f>
        <v>0</v>
      </c>
      <c r="D112" s="71">
        <f>IF(F112&lt;&gt;0,VLOOKUP($J112,'Table 1'!$B$13:$C$33,2,FALSE)/12*1000*Study_MW,0)</f>
        <v>0</v>
      </c>
      <c r="E112" s="71">
        <f t="shared" si="37"/>
        <v>0</v>
      </c>
      <c r="F112" s="75">
        <f>INDEX([10]Delta!$F$1:$EE$997,$L$14,$I112)</f>
        <v>0</v>
      </c>
      <c r="G112" s="76" t="e">
        <f t="shared" si="38"/>
        <v>#DIV/0!</v>
      </c>
      <c r="I112" s="77">
        <f t="shared" si="42"/>
        <v>108</v>
      </c>
      <c r="J112" s="73">
        <f t="shared" si="39"/>
        <v>2028</v>
      </c>
      <c r="K112" s="78" t="str">
        <f t="shared" si="41"/>
        <v/>
      </c>
    </row>
    <row r="113" spans="2:11" hidden="1" outlineLevel="1">
      <c r="B113" s="78">
        <f t="shared" si="36"/>
        <v>46874</v>
      </c>
      <c r="C113" s="75">
        <f>IF(F113&lt;&gt;0,-INDEX([10]Delta!$F$1:$EE$997,$L$13,$I113),0)</f>
        <v>0</v>
      </c>
      <c r="D113" s="71">
        <f>IF(F113&lt;&gt;0,VLOOKUP($J113,'Table 1'!$B$13:$C$33,2,FALSE)/12*1000*Study_MW,0)</f>
        <v>0</v>
      </c>
      <c r="E113" s="71">
        <f t="shared" si="37"/>
        <v>0</v>
      </c>
      <c r="F113" s="75">
        <f>INDEX([10]Delta!$F$1:$EE$997,$L$14,$I113)</f>
        <v>0</v>
      </c>
      <c r="G113" s="76" t="e">
        <f t="shared" si="38"/>
        <v>#DIV/0!</v>
      </c>
      <c r="I113" s="77">
        <f t="shared" si="42"/>
        <v>109</v>
      </c>
      <c r="J113" s="73">
        <f t="shared" si="39"/>
        <v>2028</v>
      </c>
      <c r="K113" s="78" t="str">
        <f t="shared" si="41"/>
        <v/>
      </c>
    </row>
    <row r="114" spans="2:11" hidden="1" outlineLevel="1">
      <c r="B114" s="78">
        <f t="shared" si="36"/>
        <v>46905</v>
      </c>
      <c r="C114" s="75">
        <f>IF(F114&lt;&gt;0,-INDEX([10]Delta!$F$1:$EE$997,$L$13,$I114),0)</f>
        <v>0</v>
      </c>
      <c r="D114" s="71">
        <f>IF(F114&lt;&gt;0,VLOOKUP($J114,'Table 1'!$B$13:$C$33,2,FALSE)/12*1000*Study_MW,0)</f>
        <v>0</v>
      </c>
      <c r="E114" s="71">
        <f t="shared" si="37"/>
        <v>0</v>
      </c>
      <c r="F114" s="75">
        <f>INDEX([10]Delta!$F$1:$EE$997,$L$14,$I114)</f>
        <v>0</v>
      </c>
      <c r="G114" s="76" t="e">
        <f t="shared" si="38"/>
        <v>#DIV/0!</v>
      </c>
      <c r="I114" s="77">
        <f t="shared" si="42"/>
        <v>110</v>
      </c>
      <c r="J114" s="73">
        <f t="shared" si="39"/>
        <v>2028</v>
      </c>
      <c r="K114" s="78" t="str">
        <f t="shared" si="41"/>
        <v/>
      </c>
    </row>
    <row r="115" spans="2:11" hidden="1" outlineLevel="1">
      <c r="B115" s="78">
        <f t="shared" si="36"/>
        <v>46935</v>
      </c>
      <c r="C115" s="75">
        <f>IF(F115&lt;&gt;0,-INDEX([10]Delta!$F$1:$EE$997,$L$13,$I115),0)</f>
        <v>0</v>
      </c>
      <c r="D115" s="71">
        <f>IF(F115&lt;&gt;0,VLOOKUP($J115,'Table 1'!$B$13:$C$33,2,FALSE)/12*1000*Study_MW,0)</f>
        <v>0</v>
      </c>
      <c r="E115" s="71">
        <f t="shared" si="37"/>
        <v>0</v>
      </c>
      <c r="F115" s="75">
        <f>INDEX([10]Delta!$F$1:$EE$997,$L$14,$I115)</f>
        <v>0</v>
      </c>
      <c r="G115" s="76" t="e">
        <f t="shared" si="38"/>
        <v>#DIV/0!</v>
      </c>
      <c r="I115" s="77">
        <f t="shared" si="42"/>
        <v>111</v>
      </c>
      <c r="J115" s="73">
        <f t="shared" si="39"/>
        <v>2028</v>
      </c>
      <c r="K115" s="78" t="str">
        <f t="shared" si="41"/>
        <v/>
      </c>
    </row>
    <row r="116" spans="2:11" hidden="1" outlineLevel="1">
      <c r="B116" s="78">
        <f t="shared" si="36"/>
        <v>46966</v>
      </c>
      <c r="C116" s="75">
        <f>IF(F116&lt;&gt;0,-INDEX([10]Delta!$F$1:$EE$997,$L$13,$I116),0)</f>
        <v>0</v>
      </c>
      <c r="D116" s="71">
        <f>IF(F116&lt;&gt;0,VLOOKUP($J116,'Table 1'!$B$13:$C$33,2,FALSE)/12*1000*Study_MW,0)</f>
        <v>0</v>
      </c>
      <c r="E116" s="71">
        <f t="shared" si="37"/>
        <v>0</v>
      </c>
      <c r="F116" s="75">
        <f>INDEX([10]Delta!$F$1:$EE$997,$L$14,$I116)</f>
        <v>0</v>
      </c>
      <c r="G116" s="76" t="e">
        <f t="shared" si="38"/>
        <v>#DIV/0!</v>
      </c>
      <c r="I116" s="77">
        <f t="shared" si="42"/>
        <v>112</v>
      </c>
      <c r="J116" s="73">
        <f t="shared" si="39"/>
        <v>2028</v>
      </c>
      <c r="K116" s="78" t="str">
        <f t="shared" si="41"/>
        <v/>
      </c>
    </row>
    <row r="117" spans="2:11" hidden="1" outlineLevel="1">
      <c r="B117" s="78">
        <f t="shared" si="36"/>
        <v>46997</v>
      </c>
      <c r="C117" s="75">
        <f>IF(F117&lt;&gt;0,-INDEX([10]Delta!$F$1:$EE$997,$L$13,$I117),0)</f>
        <v>0</v>
      </c>
      <c r="D117" s="71">
        <f>IF(F117&lt;&gt;0,VLOOKUP($J117,'Table 1'!$B$13:$C$33,2,FALSE)/12*1000*Study_MW,0)</f>
        <v>0</v>
      </c>
      <c r="E117" s="71">
        <f t="shared" si="37"/>
        <v>0</v>
      </c>
      <c r="F117" s="75">
        <f>INDEX([10]Delta!$F$1:$EE$997,$L$14,$I117)</f>
        <v>0</v>
      </c>
      <c r="G117" s="76" t="e">
        <f t="shared" si="38"/>
        <v>#DIV/0!</v>
      </c>
      <c r="I117" s="77">
        <f t="shared" si="42"/>
        <v>113</v>
      </c>
      <c r="J117" s="73">
        <f t="shared" si="39"/>
        <v>2028</v>
      </c>
      <c r="K117" s="78" t="str">
        <f t="shared" si="41"/>
        <v/>
      </c>
    </row>
    <row r="118" spans="2:11" hidden="1" outlineLevel="1">
      <c r="B118" s="78">
        <f t="shared" si="36"/>
        <v>47027</v>
      </c>
      <c r="C118" s="75">
        <f>IF(F118&lt;&gt;0,-INDEX([10]Delta!$F$1:$EE$997,$L$13,$I118),0)</f>
        <v>0</v>
      </c>
      <c r="D118" s="71">
        <f>IF(F118&lt;&gt;0,VLOOKUP($J118,'Table 1'!$B$13:$C$33,2,FALSE)/12*1000*Study_MW,0)</f>
        <v>0</v>
      </c>
      <c r="E118" s="71">
        <f t="shared" si="37"/>
        <v>0</v>
      </c>
      <c r="F118" s="75">
        <f>INDEX([10]Delta!$F$1:$EE$997,$L$14,$I118)</f>
        <v>0</v>
      </c>
      <c r="G118" s="76" t="e">
        <f t="shared" si="38"/>
        <v>#DIV/0!</v>
      </c>
      <c r="I118" s="77">
        <f t="shared" si="42"/>
        <v>114</v>
      </c>
      <c r="J118" s="73">
        <f t="shared" si="39"/>
        <v>2028</v>
      </c>
      <c r="K118" s="78" t="str">
        <f t="shared" si="41"/>
        <v/>
      </c>
    </row>
    <row r="119" spans="2:11" hidden="1" outlineLevel="1">
      <c r="B119" s="78">
        <f t="shared" si="36"/>
        <v>47058</v>
      </c>
      <c r="C119" s="75">
        <f>IF(F119&lt;&gt;0,-INDEX([10]Delta!$F$1:$EE$997,$L$13,$I119),0)</f>
        <v>0</v>
      </c>
      <c r="D119" s="71">
        <f>IF(F119&lt;&gt;0,VLOOKUP($J119,'Table 1'!$B$13:$C$33,2,FALSE)/12*1000*Study_MW,0)</f>
        <v>0</v>
      </c>
      <c r="E119" s="71">
        <f t="shared" si="37"/>
        <v>0</v>
      </c>
      <c r="F119" s="75">
        <f>INDEX([10]Delta!$F$1:$EE$997,$L$14,$I119)</f>
        <v>0</v>
      </c>
      <c r="G119" s="76" t="e">
        <f t="shared" si="38"/>
        <v>#DIV/0!</v>
      </c>
      <c r="I119" s="77">
        <f t="shared" si="42"/>
        <v>115</v>
      </c>
      <c r="J119" s="73">
        <f t="shared" si="39"/>
        <v>2028</v>
      </c>
      <c r="K119" s="78" t="str">
        <f t="shared" si="41"/>
        <v/>
      </c>
    </row>
    <row r="120" spans="2:11" hidden="1" outlineLevel="1">
      <c r="B120" s="82">
        <f t="shared" si="36"/>
        <v>47088</v>
      </c>
      <c r="C120" s="79">
        <f>IF(F120&lt;&gt;0,-INDEX([10]Delta!$F$1:$EE$997,$L$13,$I120),0)</f>
        <v>0</v>
      </c>
      <c r="D120" s="80">
        <f>IF(F120&lt;&gt;0,VLOOKUP($J120,'Table 1'!$B$13:$C$33,2,FALSE)/12*1000*Study_MW,0)</f>
        <v>0</v>
      </c>
      <c r="E120" s="80">
        <f t="shared" si="37"/>
        <v>0</v>
      </c>
      <c r="F120" s="79">
        <f>INDEX([10]Delta!$F$1:$EE$997,$L$14,$I120)</f>
        <v>0</v>
      </c>
      <c r="G120" s="81" t="e">
        <f t="shared" si="38"/>
        <v>#DIV/0!</v>
      </c>
      <c r="I120" s="64">
        <f t="shared" si="42"/>
        <v>116</v>
      </c>
      <c r="J120" s="73">
        <f t="shared" si="39"/>
        <v>2028</v>
      </c>
      <c r="K120" s="82" t="str">
        <f t="shared" si="41"/>
        <v/>
      </c>
    </row>
    <row r="121" spans="2:11" hidden="1" outlineLevel="1">
      <c r="B121" s="74">
        <f t="shared" si="36"/>
        <v>47119</v>
      </c>
      <c r="C121" s="69">
        <f>IF(F121&lt;&gt;0,-INDEX([10]Delta!$F$1:$EE$997,$L$13,$I121),0)</f>
        <v>0</v>
      </c>
      <c r="D121" s="70">
        <f>IF(F121&lt;&gt;0,VLOOKUP($J121,'Table 1'!$B$13:$C$33,2,FALSE)/12*1000*Study_MW,0)</f>
        <v>0</v>
      </c>
      <c r="E121" s="70">
        <f t="shared" si="37"/>
        <v>0</v>
      </c>
      <c r="F121" s="69">
        <f>INDEX([10]Delta!$F$1:$EE$997,$L$14,$I121)</f>
        <v>0</v>
      </c>
      <c r="G121" s="72" t="e">
        <f t="shared" si="38"/>
        <v>#DIV/0!</v>
      </c>
      <c r="I121" s="60">
        <f>I109+13</f>
        <v>118</v>
      </c>
      <c r="J121" s="73">
        <f t="shared" si="39"/>
        <v>2029</v>
      </c>
      <c r="K121" s="74" t="str">
        <f t="shared" si="41"/>
        <v/>
      </c>
    </row>
    <row r="122" spans="2:11" hidden="1" outlineLevel="1">
      <c r="B122" s="78">
        <f t="shared" si="36"/>
        <v>47150</v>
      </c>
      <c r="C122" s="75">
        <f>IF(F122&lt;&gt;0,-INDEX([10]Delta!$F$1:$EE$997,$L$13,$I122),0)</f>
        <v>0</v>
      </c>
      <c r="D122" s="71">
        <f>IF(F122&lt;&gt;0,VLOOKUP($J122,'Table 1'!$B$13:$C$33,2,FALSE)/12*1000*Study_MW,0)</f>
        <v>0</v>
      </c>
      <c r="E122" s="71">
        <f t="shared" si="37"/>
        <v>0</v>
      </c>
      <c r="F122" s="75">
        <f>INDEX([10]Delta!$F$1:$EE$997,$L$14,$I122)</f>
        <v>0</v>
      </c>
      <c r="G122" s="76" t="e">
        <f t="shared" si="38"/>
        <v>#DIV/0!</v>
      </c>
      <c r="I122" s="77">
        <f t="shared" ref="I122:I132" si="43">I110+13</f>
        <v>119</v>
      </c>
      <c r="J122" s="73">
        <f t="shared" si="39"/>
        <v>2029</v>
      </c>
      <c r="K122" s="78" t="str">
        <f t="shared" si="41"/>
        <v/>
      </c>
    </row>
    <row r="123" spans="2:11" hidden="1" outlineLevel="1">
      <c r="B123" s="78">
        <f t="shared" si="36"/>
        <v>47178</v>
      </c>
      <c r="C123" s="75">
        <f>IF(F123&lt;&gt;0,-INDEX([10]Delta!$F$1:$EE$997,$L$13,$I123),0)</f>
        <v>0</v>
      </c>
      <c r="D123" s="71">
        <f>IF(F123&lt;&gt;0,VLOOKUP($J123,'Table 1'!$B$13:$C$33,2,FALSE)/12*1000*Study_MW,0)</f>
        <v>0</v>
      </c>
      <c r="E123" s="71">
        <f t="shared" si="37"/>
        <v>0</v>
      </c>
      <c r="F123" s="75">
        <f>INDEX([10]Delta!$F$1:$EE$997,$L$14,$I123)</f>
        <v>0</v>
      </c>
      <c r="G123" s="76" t="e">
        <f t="shared" si="38"/>
        <v>#DIV/0!</v>
      </c>
      <c r="I123" s="77">
        <f t="shared" si="43"/>
        <v>120</v>
      </c>
      <c r="J123" s="73">
        <f t="shared" si="39"/>
        <v>2029</v>
      </c>
      <c r="K123" s="78" t="str">
        <f t="shared" si="41"/>
        <v/>
      </c>
    </row>
    <row r="124" spans="2:11" hidden="1" outlineLevel="1">
      <c r="B124" s="78">
        <f t="shared" si="36"/>
        <v>47209</v>
      </c>
      <c r="C124" s="75">
        <f>IF(F124&lt;&gt;0,-INDEX([10]Delta!$F$1:$EE$997,$L$13,$I124),0)</f>
        <v>0</v>
      </c>
      <c r="D124" s="71">
        <f>IF(F124&lt;&gt;0,VLOOKUP($J124,'Table 1'!$B$13:$C$33,2,FALSE)/12*1000*Study_MW,0)</f>
        <v>0</v>
      </c>
      <c r="E124" s="71">
        <f t="shared" si="37"/>
        <v>0</v>
      </c>
      <c r="F124" s="75">
        <f>INDEX([10]Delta!$F$1:$EE$997,$L$14,$I124)</f>
        <v>0</v>
      </c>
      <c r="G124" s="76" t="e">
        <f t="shared" si="38"/>
        <v>#DIV/0!</v>
      </c>
      <c r="I124" s="77">
        <f t="shared" si="43"/>
        <v>121</v>
      </c>
      <c r="J124" s="73">
        <f t="shared" si="39"/>
        <v>2029</v>
      </c>
      <c r="K124" s="78" t="str">
        <f t="shared" si="41"/>
        <v/>
      </c>
    </row>
    <row r="125" spans="2:11" hidden="1" outlineLevel="1">
      <c r="B125" s="78">
        <f t="shared" si="36"/>
        <v>47239</v>
      </c>
      <c r="C125" s="75">
        <f>IF(F125&lt;&gt;0,-INDEX([10]Delta!$F$1:$EE$997,$L$13,$I125),0)</f>
        <v>0</v>
      </c>
      <c r="D125" s="71">
        <f>IF(F125&lt;&gt;0,VLOOKUP($J125,'Table 1'!$B$13:$C$33,2,FALSE)/12*1000*Study_MW,0)</f>
        <v>0</v>
      </c>
      <c r="E125" s="71">
        <f t="shared" si="37"/>
        <v>0</v>
      </c>
      <c r="F125" s="75">
        <f>INDEX([10]Delta!$F$1:$EE$997,$L$14,$I125)</f>
        <v>0</v>
      </c>
      <c r="G125" s="76" t="e">
        <f t="shared" si="38"/>
        <v>#DIV/0!</v>
      </c>
      <c r="I125" s="77">
        <f t="shared" si="43"/>
        <v>122</v>
      </c>
      <c r="J125" s="73">
        <f t="shared" si="39"/>
        <v>2029</v>
      </c>
      <c r="K125" s="78" t="str">
        <f t="shared" si="41"/>
        <v/>
      </c>
    </row>
    <row r="126" spans="2:11" hidden="1" outlineLevel="1">
      <c r="B126" s="78">
        <f t="shared" si="36"/>
        <v>47270</v>
      </c>
      <c r="C126" s="75">
        <f>IF(F126&lt;&gt;0,-INDEX([10]Delta!$F$1:$EE$997,$L$13,$I126),0)</f>
        <v>0</v>
      </c>
      <c r="D126" s="71">
        <f>IF(F126&lt;&gt;0,VLOOKUP($J126,'Table 1'!$B$13:$C$33,2,FALSE)/12*1000*Study_MW,0)</f>
        <v>0</v>
      </c>
      <c r="E126" s="71">
        <f t="shared" si="37"/>
        <v>0</v>
      </c>
      <c r="F126" s="75">
        <f>INDEX([10]Delta!$F$1:$EE$997,$L$14,$I126)</f>
        <v>0</v>
      </c>
      <c r="G126" s="76" t="e">
        <f t="shared" si="38"/>
        <v>#DIV/0!</v>
      </c>
      <c r="I126" s="77">
        <f t="shared" si="43"/>
        <v>123</v>
      </c>
      <c r="J126" s="73">
        <f t="shared" si="39"/>
        <v>2029</v>
      </c>
      <c r="K126" s="78" t="str">
        <f t="shared" si="41"/>
        <v/>
      </c>
    </row>
    <row r="127" spans="2:11" hidden="1" outlineLevel="1">
      <c r="B127" s="78">
        <f t="shared" si="36"/>
        <v>47300</v>
      </c>
      <c r="C127" s="75">
        <f>IF(F127&lt;&gt;0,-INDEX([10]Delta!$F$1:$EE$997,$L$13,$I127),0)</f>
        <v>0</v>
      </c>
      <c r="D127" s="71">
        <f>IF(F127&lt;&gt;0,VLOOKUP($J127,'Table 1'!$B$13:$C$33,2,FALSE)/12*1000*Study_MW,0)</f>
        <v>0</v>
      </c>
      <c r="E127" s="71">
        <f t="shared" si="37"/>
        <v>0</v>
      </c>
      <c r="F127" s="75">
        <f>INDEX([10]Delta!$F$1:$EE$997,$L$14,$I127)</f>
        <v>0</v>
      </c>
      <c r="G127" s="76" t="e">
        <f t="shared" si="38"/>
        <v>#DIV/0!</v>
      </c>
      <c r="I127" s="77">
        <f t="shared" si="43"/>
        <v>124</v>
      </c>
      <c r="J127" s="73">
        <f t="shared" si="39"/>
        <v>2029</v>
      </c>
      <c r="K127" s="78" t="str">
        <f t="shared" si="41"/>
        <v/>
      </c>
    </row>
    <row r="128" spans="2:11" hidden="1" outlineLevel="1">
      <c r="B128" s="78">
        <f t="shared" si="36"/>
        <v>47331</v>
      </c>
      <c r="C128" s="75">
        <f>IF(F128&lt;&gt;0,-INDEX([10]Delta!$F$1:$EE$997,$L$13,$I128),0)</f>
        <v>0</v>
      </c>
      <c r="D128" s="71">
        <f>IF(F128&lt;&gt;0,VLOOKUP($J128,'Table 1'!$B$13:$C$33,2,FALSE)/12*1000*Study_MW,0)</f>
        <v>0</v>
      </c>
      <c r="E128" s="71">
        <f t="shared" si="37"/>
        <v>0</v>
      </c>
      <c r="F128" s="75">
        <f>INDEX([10]Delta!$F$1:$EE$997,$L$14,$I128)</f>
        <v>0</v>
      </c>
      <c r="G128" s="76" t="e">
        <f t="shared" si="38"/>
        <v>#DIV/0!</v>
      </c>
      <c r="I128" s="77">
        <f t="shared" si="43"/>
        <v>125</v>
      </c>
      <c r="J128" s="73">
        <f t="shared" si="39"/>
        <v>2029</v>
      </c>
      <c r="K128" s="78" t="str">
        <f t="shared" si="41"/>
        <v/>
      </c>
    </row>
    <row r="129" spans="2:11" hidden="1" outlineLevel="1">
      <c r="B129" s="78">
        <f t="shared" si="36"/>
        <v>47362</v>
      </c>
      <c r="C129" s="75">
        <f>IF(F129&lt;&gt;0,-INDEX([10]Delta!$F$1:$EE$997,$L$13,$I129),0)</f>
        <v>0</v>
      </c>
      <c r="D129" s="71">
        <f>IF(F129&lt;&gt;0,VLOOKUP($J129,'Table 1'!$B$13:$C$33,2,FALSE)/12*1000*Study_MW,0)</f>
        <v>0</v>
      </c>
      <c r="E129" s="71">
        <f t="shared" si="37"/>
        <v>0</v>
      </c>
      <c r="F129" s="75">
        <f>INDEX([10]Delta!$F$1:$EE$997,$L$14,$I129)</f>
        <v>0</v>
      </c>
      <c r="G129" s="76" t="e">
        <f t="shared" si="38"/>
        <v>#DIV/0!</v>
      </c>
      <c r="I129" s="77">
        <f t="shared" si="43"/>
        <v>126</v>
      </c>
      <c r="J129" s="73">
        <f t="shared" si="39"/>
        <v>2029</v>
      </c>
      <c r="K129" s="78" t="str">
        <f t="shared" si="41"/>
        <v/>
      </c>
    </row>
    <row r="130" spans="2:11" hidden="1" outlineLevel="1">
      <c r="B130" s="78">
        <f t="shared" si="36"/>
        <v>47392</v>
      </c>
      <c r="C130" s="75">
        <f>IF(F130&lt;&gt;0,-INDEX([10]Delta!$F$1:$EE$997,$L$13,$I130),0)</f>
        <v>0</v>
      </c>
      <c r="D130" s="71">
        <f>IF(F130&lt;&gt;0,VLOOKUP($J130,'Table 1'!$B$13:$C$33,2,FALSE)/12*1000*Study_MW,0)</f>
        <v>0</v>
      </c>
      <c r="E130" s="71">
        <f t="shared" si="37"/>
        <v>0</v>
      </c>
      <c r="F130" s="75">
        <f>INDEX([10]Delta!$F$1:$EE$997,$L$14,$I130)</f>
        <v>0</v>
      </c>
      <c r="G130" s="76" t="e">
        <f t="shared" si="38"/>
        <v>#DIV/0!</v>
      </c>
      <c r="I130" s="77">
        <f t="shared" si="43"/>
        <v>127</v>
      </c>
      <c r="J130" s="73">
        <f t="shared" si="39"/>
        <v>2029</v>
      </c>
      <c r="K130" s="78" t="str">
        <f t="shared" si="41"/>
        <v/>
      </c>
    </row>
    <row r="131" spans="2:11" hidden="1" outlineLevel="1">
      <c r="B131" s="78">
        <f t="shared" si="36"/>
        <v>47423</v>
      </c>
      <c r="C131" s="75">
        <f>IF(F131&lt;&gt;0,-INDEX([10]Delta!$F$1:$EE$997,$L$13,$I131),0)</f>
        <v>0</v>
      </c>
      <c r="D131" s="71">
        <f>IF(F131&lt;&gt;0,VLOOKUP($J131,'Table 1'!$B$13:$C$33,2,FALSE)/12*1000*Study_MW,0)</f>
        <v>0</v>
      </c>
      <c r="E131" s="71">
        <f t="shared" si="37"/>
        <v>0</v>
      </c>
      <c r="F131" s="75">
        <f>INDEX([10]Delta!$F$1:$EE$997,$L$14,$I131)</f>
        <v>0</v>
      </c>
      <c r="G131" s="76" t="e">
        <f t="shared" si="38"/>
        <v>#DIV/0!</v>
      </c>
      <c r="I131" s="77">
        <f t="shared" si="43"/>
        <v>128</v>
      </c>
      <c r="J131" s="73">
        <f t="shared" si="39"/>
        <v>2029</v>
      </c>
      <c r="K131" s="78" t="str">
        <f t="shared" si="41"/>
        <v/>
      </c>
    </row>
    <row r="132" spans="2:11" hidden="1" outlineLevel="1">
      <c r="B132" s="82">
        <f t="shared" si="36"/>
        <v>47453</v>
      </c>
      <c r="C132" s="79">
        <f>IF(F132&lt;&gt;0,-INDEX([10]Delta!$F$1:$EE$997,$L$13,$I132),0)</f>
        <v>0</v>
      </c>
      <c r="D132" s="80">
        <f>IF(F132&lt;&gt;0,VLOOKUP($J132,'Table 1'!$B$13:$C$33,2,FALSE)/12*1000*Study_MW,0)</f>
        <v>0</v>
      </c>
      <c r="E132" s="80">
        <f t="shared" si="37"/>
        <v>0</v>
      </c>
      <c r="F132" s="79">
        <f>INDEX([10]Delta!$F$1:$EE$997,$L$14,$I132)</f>
        <v>0</v>
      </c>
      <c r="G132" s="81" t="e">
        <f t="shared" si="38"/>
        <v>#DIV/0!</v>
      </c>
      <c r="I132" s="64">
        <f t="shared" si="43"/>
        <v>129</v>
      </c>
      <c r="J132" s="73">
        <f t="shared" si="39"/>
        <v>2029</v>
      </c>
      <c r="K132" s="82" t="str">
        <f t="shared" si="41"/>
        <v/>
      </c>
    </row>
    <row r="133" spans="2:11" hidden="1" outlineLevel="1">
      <c r="B133" s="74"/>
      <c r="C133" s="69"/>
      <c r="D133" s="70"/>
      <c r="E133" s="70"/>
      <c r="F133" s="69"/>
      <c r="G133" s="72"/>
      <c r="I133" s="60">
        <f>I13</f>
        <v>1</v>
      </c>
      <c r="J133" s="73">
        <f t="shared" si="39"/>
        <v>1900</v>
      </c>
      <c r="K133" s="74" t="str">
        <f t="shared" si="41"/>
        <v/>
      </c>
    </row>
    <row r="134" spans="2:11" hidden="1" outlineLevel="1">
      <c r="B134" s="78"/>
      <c r="C134" s="75"/>
      <c r="D134" s="71"/>
      <c r="E134" s="71"/>
      <c r="F134" s="75"/>
      <c r="G134" s="76"/>
      <c r="I134" s="77">
        <f t="shared" ref="I134:I197" si="44">I14</f>
        <v>2</v>
      </c>
      <c r="J134" s="73">
        <f t="shared" si="39"/>
        <v>1900</v>
      </c>
      <c r="K134" s="78" t="str">
        <f t="shared" si="41"/>
        <v/>
      </c>
    </row>
    <row r="135" spans="2:11" hidden="1" outlineLevel="1">
      <c r="B135" s="78"/>
      <c r="C135" s="75"/>
      <c r="D135" s="71"/>
      <c r="E135" s="71"/>
      <c r="F135" s="75"/>
      <c r="G135" s="76"/>
      <c r="I135" s="77">
        <f t="shared" si="44"/>
        <v>3</v>
      </c>
      <c r="J135" s="73">
        <f t="shared" si="39"/>
        <v>1900</v>
      </c>
      <c r="K135" s="78" t="str">
        <f t="shared" si="41"/>
        <v/>
      </c>
    </row>
    <row r="136" spans="2:11" hidden="1" outlineLevel="1">
      <c r="B136" s="78"/>
      <c r="C136" s="75"/>
      <c r="D136" s="71"/>
      <c r="E136" s="71"/>
      <c r="F136" s="75"/>
      <c r="G136" s="76"/>
      <c r="I136" s="77">
        <f t="shared" si="44"/>
        <v>4</v>
      </c>
      <c r="J136" s="73">
        <f t="shared" si="39"/>
        <v>1900</v>
      </c>
      <c r="K136" s="78" t="str">
        <f t="shared" si="41"/>
        <v/>
      </c>
    </row>
    <row r="137" spans="2:11" hidden="1" outlineLevel="1">
      <c r="B137" s="78"/>
      <c r="C137" s="75"/>
      <c r="D137" s="71"/>
      <c r="E137" s="71"/>
      <c r="F137" s="75"/>
      <c r="G137" s="76"/>
      <c r="I137" s="77">
        <f t="shared" si="44"/>
        <v>5</v>
      </c>
      <c r="J137" s="73">
        <f t="shared" si="39"/>
        <v>1900</v>
      </c>
      <c r="K137" s="78" t="str">
        <f t="shared" si="41"/>
        <v/>
      </c>
    </row>
    <row r="138" spans="2:11" hidden="1" outlineLevel="1">
      <c r="B138" s="78"/>
      <c r="C138" s="75"/>
      <c r="D138" s="71"/>
      <c r="E138" s="71"/>
      <c r="F138" s="75"/>
      <c r="G138" s="76"/>
      <c r="I138" s="77">
        <f t="shared" si="44"/>
        <v>6</v>
      </c>
      <c r="J138" s="73">
        <f t="shared" si="39"/>
        <v>1900</v>
      </c>
      <c r="K138" s="78" t="str">
        <f t="shared" si="41"/>
        <v/>
      </c>
    </row>
    <row r="139" spans="2:11" hidden="1" outlineLevel="1">
      <c r="B139" s="78"/>
      <c r="C139" s="75"/>
      <c r="D139" s="71"/>
      <c r="E139" s="71"/>
      <c r="F139" s="75"/>
      <c r="G139" s="76"/>
      <c r="I139" s="77">
        <f t="shared" si="44"/>
        <v>7</v>
      </c>
      <c r="J139" s="73">
        <f t="shared" si="39"/>
        <v>1900</v>
      </c>
      <c r="K139" s="78" t="str">
        <f t="shared" si="41"/>
        <v/>
      </c>
    </row>
    <row r="140" spans="2:11" hidden="1" outlineLevel="1">
      <c r="B140" s="78"/>
      <c r="C140" s="75"/>
      <c r="D140" s="71"/>
      <c r="E140" s="71"/>
      <c r="F140" s="75"/>
      <c r="G140" s="76"/>
      <c r="I140" s="77">
        <f t="shared" si="44"/>
        <v>8</v>
      </c>
      <c r="J140" s="73">
        <f t="shared" si="39"/>
        <v>1900</v>
      </c>
      <c r="K140" s="78" t="str">
        <f t="shared" si="41"/>
        <v/>
      </c>
    </row>
    <row r="141" spans="2:11" hidden="1" outlineLevel="1">
      <c r="B141" s="78"/>
      <c r="C141" s="75"/>
      <c r="D141" s="71"/>
      <c r="E141" s="71"/>
      <c r="F141" s="75"/>
      <c r="G141" s="76"/>
      <c r="I141" s="77">
        <f t="shared" si="44"/>
        <v>9</v>
      </c>
      <c r="J141" s="73">
        <f t="shared" si="39"/>
        <v>1900</v>
      </c>
      <c r="K141" s="78" t="str">
        <f t="shared" si="41"/>
        <v/>
      </c>
    </row>
    <row r="142" spans="2:11" hidden="1" outlineLevel="1">
      <c r="B142" s="78"/>
      <c r="C142" s="75"/>
      <c r="D142" s="71"/>
      <c r="E142" s="71"/>
      <c r="F142" s="75"/>
      <c r="G142" s="76"/>
      <c r="I142" s="77">
        <f t="shared" si="44"/>
        <v>10</v>
      </c>
      <c r="J142" s="73">
        <f t="shared" ref="J142:J192" si="45">YEAR(B142)</f>
        <v>1900</v>
      </c>
      <c r="K142" s="78" t="str">
        <f t="shared" si="41"/>
        <v/>
      </c>
    </row>
    <row r="143" spans="2:11" hidden="1" outlineLevel="1">
      <c r="B143" s="78"/>
      <c r="C143" s="75"/>
      <c r="D143" s="71"/>
      <c r="E143" s="71"/>
      <c r="F143" s="75"/>
      <c r="G143" s="76"/>
      <c r="I143" s="77">
        <f t="shared" si="44"/>
        <v>11</v>
      </c>
      <c r="J143" s="73">
        <f t="shared" si="45"/>
        <v>1900</v>
      </c>
      <c r="K143" s="78" t="str">
        <f t="shared" si="41"/>
        <v/>
      </c>
    </row>
    <row r="144" spans="2:11" hidden="1" outlineLevel="1">
      <c r="B144" s="82"/>
      <c r="C144" s="79"/>
      <c r="D144" s="80"/>
      <c r="E144" s="80"/>
      <c r="F144" s="79"/>
      <c r="G144" s="81"/>
      <c r="I144" s="64">
        <f t="shared" si="44"/>
        <v>12</v>
      </c>
      <c r="J144" s="73">
        <f t="shared" si="45"/>
        <v>1900</v>
      </c>
      <c r="K144" s="82" t="str">
        <f t="shared" si="41"/>
        <v/>
      </c>
    </row>
    <row r="145" spans="2:11" hidden="1" outlineLevel="1">
      <c r="B145" s="74"/>
      <c r="C145" s="69"/>
      <c r="D145" s="70"/>
      <c r="E145" s="70"/>
      <c r="F145" s="69"/>
      <c r="G145" s="72"/>
      <c r="I145" s="60">
        <f>I25</f>
        <v>14</v>
      </c>
      <c r="J145" s="73">
        <f t="shared" si="45"/>
        <v>1900</v>
      </c>
      <c r="K145" s="74" t="str">
        <f t="shared" si="41"/>
        <v/>
      </c>
    </row>
    <row r="146" spans="2:11" hidden="1" outlineLevel="1">
      <c r="B146" s="78"/>
      <c r="C146" s="75"/>
      <c r="D146" s="71"/>
      <c r="E146" s="71"/>
      <c r="F146" s="75"/>
      <c r="G146" s="76"/>
      <c r="I146" s="77">
        <f t="shared" si="44"/>
        <v>15</v>
      </c>
      <c r="J146" s="73">
        <f t="shared" si="45"/>
        <v>1900</v>
      </c>
      <c r="K146" s="78" t="str">
        <f t="shared" si="41"/>
        <v/>
      </c>
    </row>
    <row r="147" spans="2:11" hidden="1" outlineLevel="1">
      <c r="B147" s="78"/>
      <c r="C147" s="75"/>
      <c r="D147" s="71"/>
      <c r="E147" s="71"/>
      <c r="F147" s="75"/>
      <c r="G147" s="76"/>
      <c r="I147" s="77">
        <f t="shared" si="44"/>
        <v>16</v>
      </c>
      <c r="J147" s="73">
        <f t="shared" si="45"/>
        <v>1900</v>
      </c>
      <c r="K147" s="78" t="str">
        <f t="shared" si="41"/>
        <v/>
      </c>
    </row>
    <row r="148" spans="2:11" hidden="1" outlineLevel="1">
      <c r="B148" s="78"/>
      <c r="C148" s="75"/>
      <c r="D148" s="71"/>
      <c r="E148" s="71"/>
      <c r="F148" s="75"/>
      <c r="G148" s="76"/>
      <c r="I148" s="77">
        <f t="shared" si="44"/>
        <v>17</v>
      </c>
      <c r="J148" s="73">
        <f t="shared" si="45"/>
        <v>1900</v>
      </c>
      <c r="K148" s="78" t="str">
        <f t="shared" si="41"/>
        <v/>
      </c>
    </row>
    <row r="149" spans="2:11" hidden="1" outlineLevel="1">
      <c r="B149" s="78"/>
      <c r="C149" s="75"/>
      <c r="D149" s="71"/>
      <c r="E149" s="71"/>
      <c r="F149" s="75"/>
      <c r="G149" s="76"/>
      <c r="I149" s="77">
        <f t="shared" si="44"/>
        <v>18</v>
      </c>
      <c r="J149" s="73">
        <f t="shared" si="45"/>
        <v>1900</v>
      </c>
      <c r="K149" s="78" t="str">
        <f t="shared" si="41"/>
        <v/>
      </c>
    </row>
    <row r="150" spans="2:11" hidden="1" outlineLevel="1">
      <c r="B150" s="78"/>
      <c r="C150" s="75"/>
      <c r="D150" s="71"/>
      <c r="E150" s="71"/>
      <c r="F150" s="75"/>
      <c r="G150" s="76"/>
      <c r="I150" s="77">
        <f t="shared" si="44"/>
        <v>19</v>
      </c>
      <c r="J150" s="73">
        <f t="shared" si="45"/>
        <v>1900</v>
      </c>
      <c r="K150" s="78" t="str">
        <f t="shared" si="41"/>
        <v/>
      </c>
    </row>
    <row r="151" spans="2:11" hidden="1" outlineLevel="1">
      <c r="B151" s="78"/>
      <c r="C151" s="75"/>
      <c r="D151" s="71"/>
      <c r="E151" s="71"/>
      <c r="F151" s="75"/>
      <c r="G151" s="76"/>
      <c r="I151" s="77">
        <f t="shared" si="44"/>
        <v>20</v>
      </c>
      <c r="J151" s="73">
        <f t="shared" si="45"/>
        <v>1900</v>
      </c>
      <c r="K151" s="78" t="str">
        <f t="shared" si="41"/>
        <v/>
      </c>
    </row>
    <row r="152" spans="2:11" hidden="1" outlineLevel="1">
      <c r="B152" s="78"/>
      <c r="C152" s="75"/>
      <c r="D152" s="71"/>
      <c r="E152" s="71"/>
      <c r="F152" s="75"/>
      <c r="G152" s="76"/>
      <c r="I152" s="77">
        <f t="shared" si="44"/>
        <v>21</v>
      </c>
      <c r="J152" s="73">
        <f t="shared" si="45"/>
        <v>1900</v>
      </c>
      <c r="K152" s="78" t="str">
        <f t="shared" si="41"/>
        <v/>
      </c>
    </row>
    <row r="153" spans="2:11" hidden="1" outlineLevel="1">
      <c r="B153" s="78"/>
      <c r="C153" s="75"/>
      <c r="D153" s="71"/>
      <c r="E153" s="71"/>
      <c r="F153" s="75"/>
      <c r="G153" s="76"/>
      <c r="I153" s="77">
        <f t="shared" si="44"/>
        <v>22</v>
      </c>
      <c r="J153" s="73">
        <f t="shared" si="45"/>
        <v>1900</v>
      </c>
      <c r="K153" s="78" t="str">
        <f t="shared" si="41"/>
        <v/>
      </c>
    </row>
    <row r="154" spans="2:11" hidden="1" outlineLevel="1">
      <c r="B154" s="78"/>
      <c r="C154" s="75"/>
      <c r="D154" s="71"/>
      <c r="E154" s="71"/>
      <c r="F154" s="75"/>
      <c r="G154" s="76"/>
      <c r="I154" s="77">
        <f t="shared" si="44"/>
        <v>23</v>
      </c>
      <c r="J154" s="73">
        <f t="shared" si="45"/>
        <v>1900</v>
      </c>
      <c r="K154" s="78" t="str">
        <f t="shared" ref="K154:K192" si="46">IF(ISNUMBER(F154),IF(F154&lt;&gt;0,B154,""),"")</f>
        <v/>
      </c>
    </row>
    <row r="155" spans="2:11" hidden="1" outlineLevel="1">
      <c r="B155" s="78"/>
      <c r="C155" s="75"/>
      <c r="D155" s="71"/>
      <c r="E155" s="71"/>
      <c r="F155" s="75"/>
      <c r="G155" s="76"/>
      <c r="I155" s="77">
        <f t="shared" si="44"/>
        <v>24</v>
      </c>
      <c r="J155" s="73">
        <f t="shared" si="45"/>
        <v>1900</v>
      </c>
      <c r="K155" s="78" t="str">
        <f t="shared" si="46"/>
        <v/>
      </c>
    </row>
    <row r="156" spans="2:11" hidden="1" outlineLevel="1">
      <c r="B156" s="82"/>
      <c r="C156" s="79"/>
      <c r="D156" s="80"/>
      <c r="E156" s="80"/>
      <c r="F156" s="79"/>
      <c r="G156" s="81"/>
      <c r="I156" s="64">
        <f t="shared" si="44"/>
        <v>25</v>
      </c>
      <c r="J156" s="73">
        <f t="shared" si="45"/>
        <v>1900</v>
      </c>
      <c r="K156" s="82" t="str">
        <f t="shared" si="46"/>
        <v/>
      </c>
    </row>
    <row r="157" spans="2:11" hidden="1" outlineLevel="1">
      <c r="B157" s="74"/>
      <c r="C157" s="69"/>
      <c r="D157" s="70"/>
      <c r="E157" s="70"/>
      <c r="F157" s="69"/>
      <c r="G157" s="72"/>
      <c r="I157" s="60">
        <f>I37</f>
        <v>27</v>
      </c>
      <c r="J157" s="73">
        <f t="shared" si="45"/>
        <v>1900</v>
      </c>
      <c r="K157" s="74" t="str">
        <f t="shared" si="46"/>
        <v/>
      </c>
    </row>
    <row r="158" spans="2:11" hidden="1" outlineLevel="1">
      <c r="B158" s="78"/>
      <c r="C158" s="75"/>
      <c r="D158" s="71"/>
      <c r="E158" s="71"/>
      <c r="F158" s="75"/>
      <c r="G158" s="76"/>
      <c r="I158" s="77">
        <f t="shared" si="44"/>
        <v>28</v>
      </c>
      <c r="J158" s="73">
        <f t="shared" si="45"/>
        <v>1900</v>
      </c>
      <c r="K158" s="78" t="str">
        <f t="shared" si="46"/>
        <v/>
      </c>
    </row>
    <row r="159" spans="2:11" hidden="1" outlineLevel="1">
      <c r="B159" s="78"/>
      <c r="C159" s="75"/>
      <c r="D159" s="71"/>
      <c r="E159" s="71"/>
      <c r="F159" s="75"/>
      <c r="G159" s="76"/>
      <c r="I159" s="77">
        <f t="shared" si="44"/>
        <v>29</v>
      </c>
      <c r="J159" s="73">
        <f t="shared" si="45"/>
        <v>1900</v>
      </c>
      <c r="K159" s="78" t="str">
        <f t="shared" si="46"/>
        <v/>
      </c>
    </row>
    <row r="160" spans="2:11" hidden="1" outlineLevel="1">
      <c r="B160" s="78"/>
      <c r="C160" s="75"/>
      <c r="D160" s="71"/>
      <c r="E160" s="71"/>
      <c r="F160" s="75"/>
      <c r="G160" s="76"/>
      <c r="I160" s="77">
        <f t="shared" si="44"/>
        <v>30</v>
      </c>
      <c r="J160" s="73">
        <f t="shared" si="45"/>
        <v>1900</v>
      </c>
      <c r="K160" s="78" t="str">
        <f t="shared" si="46"/>
        <v/>
      </c>
    </row>
    <row r="161" spans="2:11" hidden="1" outlineLevel="1">
      <c r="B161" s="78"/>
      <c r="C161" s="75"/>
      <c r="D161" s="71"/>
      <c r="E161" s="71"/>
      <c r="F161" s="75"/>
      <c r="G161" s="76"/>
      <c r="I161" s="77">
        <f t="shared" si="44"/>
        <v>31</v>
      </c>
      <c r="J161" s="73">
        <f t="shared" si="45"/>
        <v>1900</v>
      </c>
      <c r="K161" s="78" t="str">
        <f t="shared" si="46"/>
        <v/>
      </c>
    </row>
    <row r="162" spans="2:11" hidden="1" outlineLevel="1">
      <c r="B162" s="78"/>
      <c r="C162" s="75"/>
      <c r="D162" s="71"/>
      <c r="E162" s="71"/>
      <c r="F162" s="75"/>
      <c r="G162" s="76"/>
      <c r="I162" s="77">
        <f t="shared" si="44"/>
        <v>32</v>
      </c>
      <c r="J162" s="73">
        <f t="shared" si="45"/>
        <v>1900</v>
      </c>
      <c r="K162" s="78" t="str">
        <f t="shared" si="46"/>
        <v/>
      </c>
    </row>
    <row r="163" spans="2:11" hidden="1" outlineLevel="1">
      <c r="B163" s="78"/>
      <c r="C163" s="75"/>
      <c r="D163" s="71"/>
      <c r="E163" s="71"/>
      <c r="F163" s="75"/>
      <c r="G163" s="76"/>
      <c r="I163" s="77">
        <f t="shared" si="44"/>
        <v>33</v>
      </c>
      <c r="J163" s="73">
        <f t="shared" si="45"/>
        <v>1900</v>
      </c>
      <c r="K163" s="78" t="str">
        <f t="shared" si="46"/>
        <v/>
      </c>
    </row>
    <row r="164" spans="2:11" hidden="1" outlineLevel="1">
      <c r="B164" s="78"/>
      <c r="C164" s="75"/>
      <c r="D164" s="71"/>
      <c r="E164" s="71"/>
      <c r="F164" s="75"/>
      <c r="G164" s="76"/>
      <c r="I164" s="77">
        <f t="shared" si="44"/>
        <v>34</v>
      </c>
      <c r="J164" s="73">
        <f t="shared" si="45"/>
        <v>1900</v>
      </c>
      <c r="K164" s="78" t="str">
        <f t="shared" si="46"/>
        <v/>
      </c>
    </row>
    <row r="165" spans="2:11" hidden="1" outlineLevel="1">
      <c r="B165" s="78"/>
      <c r="C165" s="75"/>
      <c r="D165" s="71"/>
      <c r="E165" s="71"/>
      <c r="F165" s="75"/>
      <c r="G165" s="76"/>
      <c r="I165" s="77">
        <f t="shared" si="44"/>
        <v>35</v>
      </c>
      <c r="J165" s="73">
        <f t="shared" si="45"/>
        <v>1900</v>
      </c>
      <c r="K165" s="78" t="str">
        <f t="shared" si="46"/>
        <v/>
      </c>
    </row>
    <row r="166" spans="2:11" hidden="1" outlineLevel="1">
      <c r="B166" s="78"/>
      <c r="C166" s="75"/>
      <c r="D166" s="71"/>
      <c r="E166" s="71"/>
      <c r="F166" s="75"/>
      <c r="G166" s="76"/>
      <c r="I166" s="77">
        <f t="shared" si="44"/>
        <v>36</v>
      </c>
      <c r="J166" s="73">
        <f t="shared" si="45"/>
        <v>1900</v>
      </c>
      <c r="K166" s="78" t="str">
        <f t="shared" si="46"/>
        <v/>
      </c>
    </row>
    <row r="167" spans="2:11" hidden="1" outlineLevel="1">
      <c r="B167" s="78"/>
      <c r="C167" s="75"/>
      <c r="D167" s="71"/>
      <c r="E167" s="71"/>
      <c r="F167" s="75"/>
      <c r="G167" s="76"/>
      <c r="I167" s="77">
        <f t="shared" si="44"/>
        <v>37</v>
      </c>
      <c r="J167" s="73">
        <f t="shared" si="45"/>
        <v>1900</v>
      </c>
      <c r="K167" s="78" t="str">
        <f t="shared" si="46"/>
        <v/>
      </c>
    </row>
    <row r="168" spans="2:11" hidden="1" outlineLevel="1">
      <c r="B168" s="82"/>
      <c r="C168" s="79"/>
      <c r="D168" s="80"/>
      <c r="E168" s="80"/>
      <c r="F168" s="79"/>
      <c r="G168" s="81"/>
      <c r="I168" s="64">
        <f t="shared" si="44"/>
        <v>38</v>
      </c>
      <c r="J168" s="73">
        <f t="shared" si="45"/>
        <v>1900</v>
      </c>
      <c r="K168" s="82" t="str">
        <f t="shared" si="46"/>
        <v/>
      </c>
    </row>
    <row r="169" spans="2:11" hidden="1" outlineLevel="1">
      <c r="B169" s="74"/>
      <c r="C169" s="69"/>
      <c r="D169" s="70"/>
      <c r="E169" s="70"/>
      <c r="F169" s="69"/>
      <c r="G169" s="72"/>
      <c r="I169" s="60">
        <f>I49</f>
        <v>40</v>
      </c>
      <c r="J169" s="73">
        <f t="shared" si="45"/>
        <v>1900</v>
      </c>
      <c r="K169" s="74" t="str">
        <f t="shared" si="46"/>
        <v/>
      </c>
    </row>
    <row r="170" spans="2:11" hidden="1" outlineLevel="1">
      <c r="B170" s="78"/>
      <c r="C170" s="75"/>
      <c r="D170" s="71"/>
      <c r="E170" s="71"/>
      <c r="F170" s="75"/>
      <c r="G170" s="76"/>
      <c r="I170" s="77">
        <f t="shared" si="44"/>
        <v>41</v>
      </c>
      <c r="J170" s="73">
        <f t="shared" si="45"/>
        <v>1900</v>
      </c>
      <c r="K170" s="78" t="str">
        <f t="shared" si="46"/>
        <v/>
      </c>
    </row>
    <row r="171" spans="2:11" hidden="1" outlineLevel="1">
      <c r="B171" s="78"/>
      <c r="C171" s="75"/>
      <c r="D171" s="71"/>
      <c r="E171" s="71"/>
      <c r="F171" s="75"/>
      <c r="G171" s="76"/>
      <c r="I171" s="77">
        <f t="shared" si="44"/>
        <v>42</v>
      </c>
      <c r="J171" s="73">
        <f t="shared" si="45"/>
        <v>1900</v>
      </c>
      <c r="K171" s="78" t="str">
        <f t="shared" si="46"/>
        <v/>
      </c>
    </row>
    <row r="172" spans="2:11" hidden="1" outlineLevel="1">
      <c r="B172" s="78"/>
      <c r="C172" s="75"/>
      <c r="D172" s="71"/>
      <c r="E172" s="71"/>
      <c r="F172" s="75"/>
      <c r="G172" s="76"/>
      <c r="I172" s="77">
        <f t="shared" si="44"/>
        <v>43</v>
      </c>
      <c r="J172" s="73">
        <f t="shared" si="45"/>
        <v>1900</v>
      </c>
      <c r="K172" s="78" t="str">
        <f t="shared" si="46"/>
        <v/>
      </c>
    </row>
    <row r="173" spans="2:11" hidden="1" outlineLevel="1">
      <c r="B173" s="78"/>
      <c r="C173" s="75"/>
      <c r="D173" s="71"/>
      <c r="E173" s="71"/>
      <c r="F173" s="75"/>
      <c r="G173" s="76"/>
      <c r="I173" s="77">
        <f t="shared" si="44"/>
        <v>44</v>
      </c>
      <c r="J173" s="73">
        <f t="shared" si="45"/>
        <v>1900</v>
      </c>
      <c r="K173" s="78" t="str">
        <f t="shared" si="46"/>
        <v/>
      </c>
    </row>
    <row r="174" spans="2:11" hidden="1" outlineLevel="1">
      <c r="B174" s="78"/>
      <c r="C174" s="75"/>
      <c r="D174" s="71"/>
      <c r="E174" s="71"/>
      <c r="F174" s="75"/>
      <c r="G174" s="76"/>
      <c r="I174" s="77">
        <f t="shared" si="44"/>
        <v>45</v>
      </c>
      <c r="J174" s="73">
        <f t="shared" si="45"/>
        <v>1900</v>
      </c>
      <c r="K174" s="78" t="str">
        <f t="shared" si="46"/>
        <v/>
      </c>
    </row>
    <row r="175" spans="2:11" hidden="1" outlineLevel="1">
      <c r="B175" s="78"/>
      <c r="C175" s="75"/>
      <c r="D175" s="71"/>
      <c r="E175" s="71"/>
      <c r="F175" s="75"/>
      <c r="G175" s="76"/>
      <c r="I175" s="77">
        <f t="shared" si="44"/>
        <v>46</v>
      </c>
      <c r="J175" s="73">
        <f t="shared" si="45"/>
        <v>1900</v>
      </c>
      <c r="K175" s="78" t="str">
        <f t="shared" si="46"/>
        <v/>
      </c>
    </row>
    <row r="176" spans="2:11" hidden="1" outlineLevel="1">
      <c r="B176" s="78"/>
      <c r="C176" s="75"/>
      <c r="D176" s="71"/>
      <c r="E176" s="71"/>
      <c r="F176" s="75"/>
      <c r="G176" s="76"/>
      <c r="I176" s="77">
        <f t="shared" si="44"/>
        <v>47</v>
      </c>
      <c r="J176" s="73">
        <f t="shared" si="45"/>
        <v>1900</v>
      </c>
      <c r="K176" s="78" t="str">
        <f t="shared" si="46"/>
        <v/>
      </c>
    </row>
    <row r="177" spans="2:11" hidden="1" outlineLevel="1">
      <c r="B177" s="78"/>
      <c r="C177" s="75"/>
      <c r="D177" s="71"/>
      <c r="E177" s="71"/>
      <c r="F177" s="75"/>
      <c r="G177" s="76"/>
      <c r="I177" s="77">
        <f t="shared" si="44"/>
        <v>48</v>
      </c>
      <c r="J177" s="73">
        <f t="shared" si="45"/>
        <v>1900</v>
      </c>
      <c r="K177" s="78" t="str">
        <f t="shared" si="46"/>
        <v/>
      </c>
    </row>
    <row r="178" spans="2:11" hidden="1" outlineLevel="1">
      <c r="B178" s="78"/>
      <c r="C178" s="75"/>
      <c r="D178" s="71"/>
      <c r="E178" s="71"/>
      <c r="F178" s="75"/>
      <c r="G178" s="76"/>
      <c r="I178" s="77">
        <f t="shared" si="44"/>
        <v>49</v>
      </c>
      <c r="J178" s="73">
        <f t="shared" si="45"/>
        <v>1900</v>
      </c>
      <c r="K178" s="78" t="str">
        <f t="shared" si="46"/>
        <v/>
      </c>
    </row>
    <row r="179" spans="2:11" hidden="1" outlineLevel="1">
      <c r="B179" s="78"/>
      <c r="C179" s="75"/>
      <c r="D179" s="71"/>
      <c r="E179" s="71"/>
      <c r="F179" s="75"/>
      <c r="G179" s="76"/>
      <c r="I179" s="77">
        <f t="shared" si="44"/>
        <v>50</v>
      </c>
      <c r="J179" s="73">
        <f t="shared" si="45"/>
        <v>1900</v>
      </c>
      <c r="K179" s="78" t="str">
        <f t="shared" si="46"/>
        <v/>
      </c>
    </row>
    <row r="180" spans="2:11" hidden="1" outlineLevel="1">
      <c r="B180" s="82"/>
      <c r="C180" s="79"/>
      <c r="D180" s="80"/>
      <c r="E180" s="80"/>
      <c r="F180" s="79"/>
      <c r="G180" s="81"/>
      <c r="I180" s="64">
        <f t="shared" si="44"/>
        <v>51</v>
      </c>
      <c r="J180" s="73">
        <f t="shared" si="45"/>
        <v>1900</v>
      </c>
      <c r="K180" s="82" t="str">
        <f t="shared" si="46"/>
        <v/>
      </c>
    </row>
    <row r="181" spans="2:11" hidden="1" outlineLevel="1" collapsed="1">
      <c r="B181" s="74"/>
      <c r="C181" s="69"/>
      <c r="D181" s="70"/>
      <c r="E181" s="70"/>
      <c r="F181" s="69"/>
      <c r="G181" s="72"/>
      <c r="I181" s="60">
        <f>I61</f>
        <v>53</v>
      </c>
      <c r="J181" s="73">
        <f t="shared" si="45"/>
        <v>1900</v>
      </c>
      <c r="K181" s="74" t="str">
        <f t="shared" si="46"/>
        <v/>
      </c>
    </row>
    <row r="182" spans="2:11" hidden="1" outlineLevel="1">
      <c r="B182" s="78"/>
      <c r="C182" s="75"/>
      <c r="D182" s="71"/>
      <c r="E182" s="71"/>
      <c r="F182" s="75"/>
      <c r="G182" s="76"/>
      <c r="I182" s="77">
        <f t="shared" si="44"/>
        <v>54</v>
      </c>
      <c r="J182" s="73">
        <f t="shared" si="45"/>
        <v>1900</v>
      </c>
      <c r="K182" s="78" t="str">
        <f t="shared" si="46"/>
        <v/>
      </c>
    </row>
    <row r="183" spans="2:11" hidden="1" outlineLevel="1">
      <c r="B183" s="78"/>
      <c r="C183" s="75"/>
      <c r="D183" s="71"/>
      <c r="E183" s="71"/>
      <c r="F183" s="75"/>
      <c r="G183" s="76"/>
      <c r="I183" s="77">
        <f t="shared" si="44"/>
        <v>55</v>
      </c>
      <c r="J183" s="73">
        <f t="shared" si="45"/>
        <v>1900</v>
      </c>
      <c r="K183" s="78" t="str">
        <f t="shared" si="46"/>
        <v/>
      </c>
    </row>
    <row r="184" spans="2:11" hidden="1" outlineLevel="1">
      <c r="B184" s="78"/>
      <c r="C184" s="75"/>
      <c r="D184" s="71"/>
      <c r="E184" s="71"/>
      <c r="F184" s="75"/>
      <c r="G184" s="76"/>
      <c r="I184" s="77">
        <f t="shared" si="44"/>
        <v>56</v>
      </c>
      <c r="J184" s="73">
        <f t="shared" si="45"/>
        <v>1900</v>
      </c>
      <c r="K184" s="78" t="str">
        <f t="shared" si="46"/>
        <v/>
      </c>
    </row>
    <row r="185" spans="2:11" hidden="1" outlineLevel="1">
      <c r="B185" s="78"/>
      <c r="C185" s="75"/>
      <c r="D185" s="71"/>
      <c r="E185" s="71"/>
      <c r="F185" s="75"/>
      <c r="G185" s="76"/>
      <c r="I185" s="77">
        <f t="shared" si="44"/>
        <v>57</v>
      </c>
      <c r="J185" s="73">
        <f t="shared" si="45"/>
        <v>1900</v>
      </c>
      <c r="K185" s="78" t="str">
        <f t="shared" si="46"/>
        <v/>
      </c>
    </row>
    <row r="186" spans="2:11" hidden="1" outlineLevel="1">
      <c r="B186" s="78"/>
      <c r="C186" s="75"/>
      <c r="D186" s="71"/>
      <c r="E186" s="71"/>
      <c r="F186" s="75"/>
      <c r="G186" s="76"/>
      <c r="I186" s="77">
        <f t="shared" si="44"/>
        <v>58</v>
      </c>
      <c r="J186" s="73">
        <f t="shared" si="45"/>
        <v>1900</v>
      </c>
      <c r="K186" s="78" t="str">
        <f t="shared" si="46"/>
        <v/>
      </c>
    </row>
    <row r="187" spans="2:11" hidden="1" outlineLevel="1">
      <c r="B187" s="78"/>
      <c r="C187" s="75"/>
      <c r="D187" s="71"/>
      <c r="E187" s="71"/>
      <c r="F187" s="75"/>
      <c r="G187" s="76"/>
      <c r="I187" s="77">
        <f t="shared" si="44"/>
        <v>59</v>
      </c>
      <c r="J187" s="73">
        <f t="shared" si="45"/>
        <v>1900</v>
      </c>
      <c r="K187" s="78" t="str">
        <f t="shared" si="46"/>
        <v/>
      </c>
    </row>
    <row r="188" spans="2:11" hidden="1" outlineLevel="1">
      <c r="B188" s="78"/>
      <c r="C188" s="75"/>
      <c r="D188" s="71"/>
      <c r="E188" s="71"/>
      <c r="F188" s="75"/>
      <c r="G188" s="76"/>
      <c r="I188" s="77">
        <f t="shared" si="44"/>
        <v>60</v>
      </c>
      <c r="J188" s="73">
        <f t="shared" si="45"/>
        <v>1900</v>
      </c>
      <c r="K188" s="78" t="str">
        <f t="shared" si="46"/>
        <v/>
      </c>
    </row>
    <row r="189" spans="2:11" hidden="1" outlineLevel="1">
      <c r="B189" s="78"/>
      <c r="C189" s="75"/>
      <c r="D189" s="71"/>
      <c r="E189" s="71"/>
      <c r="F189" s="75"/>
      <c r="G189" s="76"/>
      <c r="I189" s="77">
        <f t="shared" si="44"/>
        <v>61</v>
      </c>
      <c r="J189" s="73">
        <f t="shared" si="45"/>
        <v>1900</v>
      </c>
      <c r="K189" s="78" t="str">
        <f t="shared" si="46"/>
        <v/>
      </c>
    </row>
    <row r="190" spans="2:11" hidden="1" outlineLevel="1">
      <c r="B190" s="78"/>
      <c r="C190" s="75"/>
      <c r="D190" s="71"/>
      <c r="E190" s="71"/>
      <c r="F190" s="75"/>
      <c r="G190" s="76"/>
      <c r="I190" s="77">
        <f t="shared" si="44"/>
        <v>62</v>
      </c>
      <c r="J190" s="73">
        <f t="shared" si="45"/>
        <v>1900</v>
      </c>
      <c r="K190" s="78" t="str">
        <f t="shared" si="46"/>
        <v/>
      </c>
    </row>
    <row r="191" spans="2:11" hidden="1" outlineLevel="1">
      <c r="B191" s="78"/>
      <c r="C191" s="75"/>
      <c r="D191" s="71"/>
      <c r="E191" s="71"/>
      <c r="F191" s="75"/>
      <c r="G191" s="76"/>
      <c r="I191" s="77">
        <f t="shared" si="44"/>
        <v>63</v>
      </c>
      <c r="J191" s="73">
        <f t="shared" si="45"/>
        <v>1900</v>
      </c>
      <c r="K191" s="78" t="str">
        <f t="shared" si="46"/>
        <v/>
      </c>
    </row>
    <row r="192" spans="2:11" hidden="1" outlineLevel="1">
      <c r="B192" s="82"/>
      <c r="C192" s="79"/>
      <c r="D192" s="80"/>
      <c r="E192" s="80"/>
      <c r="F192" s="79"/>
      <c r="G192" s="81"/>
      <c r="I192" s="64">
        <f t="shared" si="44"/>
        <v>64</v>
      </c>
      <c r="J192" s="73">
        <f t="shared" si="45"/>
        <v>1900</v>
      </c>
      <c r="K192" s="82" t="str">
        <f t="shared" si="46"/>
        <v/>
      </c>
    </row>
    <row r="193" spans="2:13" hidden="1">
      <c r="B193" s="74"/>
      <c r="C193" s="69"/>
      <c r="D193" s="70"/>
      <c r="E193" s="70"/>
      <c r="F193" s="69"/>
      <c r="G193" s="72"/>
      <c r="I193" s="60">
        <f>I73</f>
        <v>66</v>
      </c>
      <c r="J193" s="73">
        <f t="shared" ref="J193:J256" si="47">YEAR(B193)</f>
        <v>1900</v>
      </c>
      <c r="K193" s="74" t="str">
        <f t="shared" ref="K193:K256" si="48">IF(ISNUMBER(F193),IF(F193&lt;&gt;0,B193,""),"")</f>
        <v/>
      </c>
      <c r="M193" s="41" t="e">
        <v>#N/A</v>
      </c>
    </row>
    <row r="194" spans="2:13" hidden="1">
      <c r="B194" s="78"/>
      <c r="C194" s="75"/>
      <c r="D194" s="71"/>
      <c r="E194" s="71"/>
      <c r="F194" s="75"/>
      <c r="G194" s="76"/>
      <c r="I194" s="77">
        <f t="shared" si="44"/>
        <v>67</v>
      </c>
      <c r="J194" s="73">
        <f t="shared" si="47"/>
        <v>1900</v>
      </c>
      <c r="K194" s="78" t="str">
        <f t="shared" si="48"/>
        <v/>
      </c>
      <c r="M194" s="41" t="e">
        <v>#N/A</v>
      </c>
    </row>
    <row r="195" spans="2:13" hidden="1">
      <c r="B195" s="78"/>
      <c r="C195" s="75"/>
      <c r="D195" s="71"/>
      <c r="E195" s="71"/>
      <c r="F195" s="75"/>
      <c r="G195" s="76"/>
      <c r="I195" s="77">
        <f t="shared" si="44"/>
        <v>68</v>
      </c>
      <c r="J195" s="73">
        <f t="shared" si="47"/>
        <v>1900</v>
      </c>
      <c r="K195" s="78" t="str">
        <f t="shared" si="48"/>
        <v/>
      </c>
      <c r="M195" s="41" t="e">
        <v>#N/A</v>
      </c>
    </row>
    <row r="196" spans="2:13" hidden="1">
      <c r="B196" s="78"/>
      <c r="C196" s="75"/>
      <c r="D196" s="71"/>
      <c r="E196" s="71"/>
      <c r="F196" s="75"/>
      <c r="G196" s="76"/>
      <c r="I196" s="77">
        <f t="shared" si="44"/>
        <v>69</v>
      </c>
      <c r="J196" s="73">
        <f t="shared" si="47"/>
        <v>1900</v>
      </c>
      <c r="K196" s="78" t="str">
        <f t="shared" si="48"/>
        <v/>
      </c>
      <c r="M196" s="41" t="e">
        <v>#N/A</v>
      </c>
    </row>
    <row r="197" spans="2:13" hidden="1">
      <c r="B197" s="78"/>
      <c r="C197" s="75"/>
      <c r="D197" s="71"/>
      <c r="E197" s="71"/>
      <c r="F197" s="75"/>
      <c r="G197" s="76"/>
      <c r="I197" s="77">
        <f t="shared" si="44"/>
        <v>70</v>
      </c>
      <c r="J197" s="73">
        <f t="shared" si="47"/>
        <v>1900</v>
      </c>
      <c r="K197" s="78" t="str">
        <f t="shared" si="48"/>
        <v/>
      </c>
      <c r="M197" s="41" t="e">
        <v>#N/A</v>
      </c>
    </row>
    <row r="198" spans="2:13" hidden="1">
      <c r="B198" s="78"/>
      <c r="C198" s="75"/>
      <c r="D198" s="71"/>
      <c r="E198" s="71"/>
      <c r="F198" s="75"/>
      <c r="G198" s="76"/>
      <c r="I198" s="77">
        <f t="shared" ref="I198:I204" si="49">I78</f>
        <v>71</v>
      </c>
      <c r="J198" s="73">
        <f t="shared" si="47"/>
        <v>1900</v>
      </c>
      <c r="K198" s="78" t="str">
        <f t="shared" si="48"/>
        <v/>
      </c>
      <c r="M198" s="41" t="e">
        <v>#N/A</v>
      </c>
    </row>
    <row r="199" spans="2:13" hidden="1">
      <c r="B199" s="78"/>
      <c r="C199" s="75"/>
      <c r="D199" s="71"/>
      <c r="E199" s="71"/>
      <c r="F199" s="75"/>
      <c r="G199" s="76"/>
      <c r="I199" s="77">
        <f t="shared" si="49"/>
        <v>72</v>
      </c>
      <c r="J199" s="73">
        <f t="shared" si="47"/>
        <v>1900</v>
      </c>
      <c r="K199" s="78" t="str">
        <f t="shared" si="48"/>
        <v/>
      </c>
      <c r="M199" s="41" t="e">
        <v>#N/A</v>
      </c>
    </row>
    <row r="200" spans="2:13" hidden="1">
      <c r="B200" s="78"/>
      <c r="C200" s="75"/>
      <c r="D200" s="71"/>
      <c r="E200" s="71"/>
      <c r="F200" s="75"/>
      <c r="G200" s="76"/>
      <c r="I200" s="77">
        <f t="shared" si="49"/>
        <v>73</v>
      </c>
      <c r="J200" s="73">
        <f t="shared" si="47"/>
        <v>1900</v>
      </c>
      <c r="K200" s="78" t="str">
        <f t="shared" si="48"/>
        <v/>
      </c>
      <c r="M200" s="41" t="e">
        <v>#N/A</v>
      </c>
    </row>
    <row r="201" spans="2:13" hidden="1">
      <c r="B201" s="78"/>
      <c r="C201" s="75"/>
      <c r="D201" s="71"/>
      <c r="E201" s="71"/>
      <c r="F201" s="75"/>
      <c r="G201" s="76"/>
      <c r="I201" s="77">
        <f t="shared" si="49"/>
        <v>74</v>
      </c>
      <c r="J201" s="73">
        <f t="shared" si="47"/>
        <v>1900</v>
      </c>
      <c r="K201" s="78" t="str">
        <f t="shared" si="48"/>
        <v/>
      </c>
      <c r="M201" s="41" t="e">
        <v>#N/A</v>
      </c>
    </row>
    <row r="202" spans="2:13" hidden="1">
      <c r="B202" s="78"/>
      <c r="C202" s="75"/>
      <c r="D202" s="71"/>
      <c r="E202" s="71"/>
      <c r="F202" s="75"/>
      <c r="G202" s="76"/>
      <c r="I202" s="77">
        <f t="shared" si="49"/>
        <v>75</v>
      </c>
      <c r="J202" s="73">
        <f t="shared" si="47"/>
        <v>1900</v>
      </c>
      <c r="K202" s="78" t="str">
        <f t="shared" si="48"/>
        <v/>
      </c>
      <c r="M202" s="41" t="e">
        <v>#N/A</v>
      </c>
    </row>
    <row r="203" spans="2:13" hidden="1">
      <c r="B203" s="78"/>
      <c r="C203" s="75"/>
      <c r="D203" s="71"/>
      <c r="E203" s="71"/>
      <c r="F203" s="75"/>
      <c r="G203" s="76"/>
      <c r="I203" s="77">
        <f t="shared" si="49"/>
        <v>76</v>
      </c>
      <c r="J203" s="73">
        <f t="shared" si="47"/>
        <v>1900</v>
      </c>
      <c r="K203" s="78" t="str">
        <f t="shared" si="48"/>
        <v/>
      </c>
      <c r="M203" s="41" t="e">
        <v>#N/A</v>
      </c>
    </row>
    <row r="204" spans="2:13" hidden="1">
      <c r="B204" s="82"/>
      <c r="C204" s="79"/>
      <c r="D204" s="80"/>
      <c r="E204" s="80"/>
      <c r="F204" s="79"/>
      <c r="G204" s="81"/>
      <c r="I204" s="64">
        <f t="shared" si="49"/>
        <v>77</v>
      </c>
      <c r="J204" s="73">
        <f t="shared" si="47"/>
        <v>1900</v>
      </c>
      <c r="K204" s="82" t="str">
        <f t="shared" si="48"/>
        <v/>
      </c>
      <c r="M204" s="41" t="e">
        <v>#N/A</v>
      </c>
    </row>
    <row r="205" spans="2:13" hidden="1" outlineLevel="1">
      <c r="B205" s="74"/>
      <c r="C205" s="69"/>
      <c r="D205" s="70"/>
      <c r="E205" s="70"/>
      <c r="F205" s="69"/>
      <c r="G205" s="72"/>
      <c r="I205" s="60">
        <f>I85</f>
        <v>79</v>
      </c>
      <c r="J205" s="73">
        <f t="shared" si="47"/>
        <v>1900</v>
      </c>
      <c r="K205" s="74" t="str">
        <f t="shared" si="48"/>
        <v/>
      </c>
      <c r="M205" s="41" t="e">
        <v>#N/A</v>
      </c>
    </row>
    <row r="206" spans="2:13" hidden="1" outlineLevel="1">
      <c r="B206" s="78"/>
      <c r="C206" s="75"/>
      <c r="D206" s="71"/>
      <c r="E206" s="71"/>
      <c r="F206" s="75"/>
      <c r="G206" s="76"/>
      <c r="I206" s="77">
        <f t="shared" ref="I206:I228" si="50">I86</f>
        <v>80</v>
      </c>
      <c r="J206" s="73">
        <f t="shared" si="47"/>
        <v>1900</v>
      </c>
      <c r="K206" s="78" t="str">
        <f t="shared" si="48"/>
        <v/>
      </c>
      <c r="M206" s="41" t="e">
        <v>#N/A</v>
      </c>
    </row>
    <row r="207" spans="2:13" hidden="1" outlineLevel="1">
      <c r="B207" s="78"/>
      <c r="C207" s="75"/>
      <c r="D207" s="71"/>
      <c r="E207" s="71"/>
      <c r="F207" s="75"/>
      <c r="G207" s="76"/>
      <c r="I207" s="77">
        <f t="shared" si="50"/>
        <v>81</v>
      </c>
      <c r="J207" s="73">
        <f t="shared" si="47"/>
        <v>1900</v>
      </c>
      <c r="K207" s="78" t="str">
        <f t="shared" si="48"/>
        <v/>
      </c>
      <c r="M207" s="41" t="e">
        <v>#N/A</v>
      </c>
    </row>
    <row r="208" spans="2:13" hidden="1" outlineLevel="1">
      <c r="B208" s="78"/>
      <c r="C208" s="75"/>
      <c r="D208" s="71"/>
      <c r="E208" s="71"/>
      <c r="F208" s="75"/>
      <c r="G208" s="76"/>
      <c r="I208" s="77">
        <f t="shared" si="50"/>
        <v>82</v>
      </c>
      <c r="J208" s="73">
        <f t="shared" si="47"/>
        <v>1900</v>
      </c>
      <c r="K208" s="78" t="str">
        <f t="shared" si="48"/>
        <v/>
      </c>
      <c r="M208" s="41" t="e">
        <v>#N/A</v>
      </c>
    </row>
    <row r="209" spans="2:13" hidden="1" outlineLevel="1">
      <c r="B209" s="78"/>
      <c r="C209" s="75"/>
      <c r="D209" s="71"/>
      <c r="E209" s="71"/>
      <c r="F209" s="75"/>
      <c r="G209" s="76"/>
      <c r="I209" s="77">
        <f t="shared" si="50"/>
        <v>83</v>
      </c>
      <c r="J209" s="73">
        <f t="shared" si="47"/>
        <v>1900</v>
      </c>
      <c r="K209" s="78" t="str">
        <f t="shared" si="48"/>
        <v/>
      </c>
      <c r="M209" s="41" t="e">
        <v>#N/A</v>
      </c>
    </row>
    <row r="210" spans="2:13" hidden="1" outlineLevel="1">
      <c r="B210" s="78"/>
      <c r="C210" s="75"/>
      <c r="D210" s="71"/>
      <c r="E210" s="71"/>
      <c r="F210" s="75"/>
      <c r="G210" s="76"/>
      <c r="I210" s="77">
        <f t="shared" si="50"/>
        <v>84</v>
      </c>
      <c r="J210" s="73">
        <f t="shared" si="47"/>
        <v>1900</v>
      </c>
      <c r="K210" s="78" t="str">
        <f t="shared" si="48"/>
        <v/>
      </c>
      <c r="M210" s="41" t="e">
        <v>#N/A</v>
      </c>
    </row>
    <row r="211" spans="2:13" hidden="1" outlineLevel="1">
      <c r="B211" s="78"/>
      <c r="C211" s="75"/>
      <c r="D211" s="71"/>
      <c r="E211" s="71"/>
      <c r="F211" s="75"/>
      <c r="G211" s="76"/>
      <c r="I211" s="77">
        <f t="shared" si="50"/>
        <v>85</v>
      </c>
      <c r="J211" s="73">
        <f t="shared" si="47"/>
        <v>1900</v>
      </c>
      <c r="K211" s="78" t="str">
        <f t="shared" si="48"/>
        <v/>
      </c>
      <c r="M211" s="41" t="e">
        <v>#N/A</v>
      </c>
    </row>
    <row r="212" spans="2:13" hidden="1" outlineLevel="1">
      <c r="B212" s="78"/>
      <c r="C212" s="75"/>
      <c r="D212" s="71"/>
      <c r="E212" s="71"/>
      <c r="F212" s="75"/>
      <c r="G212" s="76"/>
      <c r="I212" s="77">
        <f t="shared" si="50"/>
        <v>86</v>
      </c>
      <c r="J212" s="73">
        <f t="shared" si="47"/>
        <v>1900</v>
      </c>
      <c r="K212" s="78" t="str">
        <f t="shared" si="48"/>
        <v/>
      </c>
      <c r="M212" s="41" t="e">
        <v>#N/A</v>
      </c>
    </row>
    <row r="213" spans="2:13" hidden="1" outlineLevel="1">
      <c r="B213" s="78"/>
      <c r="C213" s="75"/>
      <c r="D213" s="71"/>
      <c r="E213" s="71"/>
      <c r="F213" s="75"/>
      <c r="G213" s="76"/>
      <c r="I213" s="77">
        <f t="shared" si="50"/>
        <v>87</v>
      </c>
      <c r="J213" s="73">
        <f t="shared" si="47"/>
        <v>1900</v>
      </c>
      <c r="K213" s="78" t="str">
        <f t="shared" si="48"/>
        <v/>
      </c>
      <c r="M213" s="41" t="e">
        <v>#N/A</v>
      </c>
    </row>
    <row r="214" spans="2:13" hidden="1" outlineLevel="1">
      <c r="B214" s="78"/>
      <c r="C214" s="75"/>
      <c r="D214" s="71"/>
      <c r="E214" s="71"/>
      <c r="F214" s="75"/>
      <c r="G214" s="76"/>
      <c r="I214" s="77">
        <f t="shared" si="50"/>
        <v>88</v>
      </c>
      <c r="J214" s="73">
        <f t="shared" si="47"/>
        <v>1900</v>
      </c>
      <c r="K214" s="78" t="str">
        <f t="shared" si="48"/>
        <v/>
      </c>
      <c r="M214" s="41" t="e">
        <v>#N/A</v>
      </c>
    </row>
    <row r="215" spans="2:13" hidden="1" outlineLevel="1">
      <c r="B215" s="78"/>
      <c r="C215" s="75"/>
      <c r="D215" s="71"/>
      <c r="E215" s="71"/>
      <c r="F215" s="75"/>
      <c r="G215" s="76"/>
      <c r="I215" s="77">
        <f t="shared" si="50"/>
        <v>89</v>
      </c>
      <c r="J215" s="73">
        <f t="shared" si="47"/>
        <v>1900</v>
      </c>
      <c r="K215" s="78" t="str">
        <f t="shared" si="48"/>
        <v/>
      </c>
      <c r="M215" s="41" t="e">
        <v>#N/A</v>
      </c>
    </row>
    <row r="216" spans="2:13" hidden="1" outlineLevel="1">
      <c r="B216" s="82"/>
      <c r="C216" s="79"/>
      <c r="D216" s="80"/>
      <c r="E216" s="80"/>
      <c r="F216" s="79"/>
      <c r="G216" s="81"/>
      <c r="I216" s="64">
        <f t="shared" si="50"/>
        <v>90</v>
      </c>
      <c r="J216" s="73">
        <f t="shared" si="47"/>
        <v>1900</v>
      </c>
      <c r="K216" s="82" t="str">
        <f t="shared" si="48"/>
        <v/>
      </c>
      <c r="M216" s="41" t="e">
        <v>#N/A</v>
      </c>
    </row>
    <row r="217" spans="2:13" hidden="1" outlineLevel="1">
      <c r="B217" s="74"/>
      <c r="C217" s="69"/>
      <c r="D217" s="70"/>
      <c r="E217" s="70"/>
      <c r="F217" s="69"/>
      <c r="G217" s="72"/>
      <c r="I217" s="60">
        <f>I97</f>
        <v>92</v>
      </c>
      <c r="J217" s="73">
        <f t="shared" si="47"/>
        <v>1900</v>
      </c>
      <c r="K217" s="74" t="str">
        <f t="shared" si="48"/>
        <v/>
      </c>
      <c r="M217" s="41" t="e">
        <v>#N/A</v>
      </c>
    </row>
    <row r="218" spans="2:13" hidden="1" outlineLevel="1">
      <c r="B218" s="78"/>
      <c r="C218" s="75"/>
      <c r="D218" s="71"/>
      <c r="E218" s="71"/>
      <c r="F218" s="75"/>
      <c r="G218" s="76"/>
      <c r="I218" s="77">
        <f t="shared" si="50"/>
        <v>93</v>
      </c>
      <c r="J218" s="73">
        <f t="shared" si="47"/>
        <v>1900</v>
      </c>
      <c r="K218" s="78" t="str">
        <f t="shared" si="48"/>
        <v/>
      </c>
      <c r="M218" s="41" t="e">
        <v>#N/A</v>
      </c>
    </row>
    <row r="219" spans="2:13" hidden="1" outlineLevel="1">
      <c r="B219" s="78"/>
      <c r="C219" s="75"/>
      <c r="D219" s="71"/>
      <c r="E219" s="71"/>
      <c r="F219" s="75"/>
      <c r="G219" s="76"/>
      <c r="I219" s="77">
        <f t="shared" si="50"/>
        <v>94</v>
      </c>
      <c r="J219" s="73">
        <f t="shared" si="47"/>
        <v>1900</v>
      </c>
      <c r="K219" s="78" t="str">
        <f t="shared" si="48"/>
        <v/>
      </c>
      <c r="M219" s="41" t="e">
        <v>#N/A</v>
      </c>
    </row>
    <row r="220" spans="2:13" hidden="1" outlineLevel="1">
      <c r="B220" s="78"/>
      <c r="C220" s="75"/>
      <c r="D220" s="71"/>
      <c r="E220" s="71"/>
      <c r="F220" s="75"/>
      <c r="G220" s="76"/>
      <c r="I220" s="77">
        <f t="shared" si="50"/>
        <v>95</v>
      </c>
      <c r="J220" s="73">
        <f t="shared" si="47"/>
        <v>1900</v>
      </c>
      <c r="K220" s="78" t="str">
        <f t="shared" si="48"/>
        <v/>
      </c>
      <c r="M220" s="41" t="e">
        <v>#N/A</v>
      </c>
    </row>
    <row r="221" spans="2:13" hidden="1" outlineLevel="1">
      <c r="B221" s="78"/>
      <c r="C221" s="75"/>
      <c r="D221" s="71"/>
      <c r="E221" s="71"/>
      <c r="F221" s="75"/>
      <c r="G221" s="76"/>
      <c r="I221" s="77">
        <f t="shared" si="50"/>
        <v>96</v>
      </c>
      <c r="J221" s="73">
        <f t="shared" si="47"/>
        <v>1900</v>
      </c>
      <c r="K221" s="78" t="str">
        <f t="shared" si="48"/>
        <v/>
      </c>
      <c r="M221" s="41" t="e">
        <v>#N/A</v>
      </c>
    </row>
    <row r="222" spans="2:13" hidden="1" outlineLevel="1">
      <c r="B222" s="78"/>
      <c r="C222" s="75"/>
      <c r="D222" s="71"/>
      <c r="E222" s="71"/>
      <c r="F222" s="75"/>
      <c r="G222" s="76"/>
      <c r="I222" s="77">
        <f t="shared" si="50"/>
        <v>97</v>
      </c>
      <c r="J222" s="73">
        <f t="shared" si="47"/>
        <v>1900</v>
      </c>
      <c r="K222" s="78" t="str">
        <f t="shared" si="48"/>
        <v/>
      </c>
      <c r="M222" s="41" t="e">
        <v>#N/A</v>
      </c>
    </row>
    <row r="223" spans="2:13" hidden="1" outlineLevel="1">
      <c r="B223" s="78"/>
      <c r="C223" s="75"/>
      <c r="D223" s="71"/>
      <c r="E223" s="71"/>
      <c r="F223" s="75"/>
      <c r="G223" s="76"/>
      <c r="I223" s="77">
        <f t="shared" si="50"/>
        <v>98</v>
      </c>
      <c r="J223" s="73">
        <f t="shared" si="47"/>
        <v>1900</v>
      </c>
      <c r="K223" s="78" t="str">
        <f t="shared" si="48"/>
        <v/>
      </c>
      <c r="M223" s="41" t="e">
        <v>#N/A</v>
      </c>
    </row>
    <row r="224" spans="2:13" hidden="1" outlineLevel="1">
      <c r="B224" s="78"/>
      <c r="C224" s="75"/>
      <c r="D224" s="71"/>
      <c r="E224" s="71"/>
      <c r="F224" s="75"/>
      <c r="G224" s="76"/>
      <c r="I224" s="77">
        <f t="shared" si="50"/>
        <v>99</v>
      </c>
      <c r="J224" s="73">
        <f t="shared" si="47"/>
        <v>1900</v>
      </c>
      <c r="K224" s="78" t="str">
        <f t="shared" si="48"/>
        <v/>
      </c>
      <c r="M224" s="41" t="e">
        <v>#N/A</v>
      </c>
    </row>
    <row r="225" spans="2:20" hidden="1" outlineLevel="1">
      <c r="B225" s="78"/>
      <c r="C225" s="75"/>
      <c r="D225" s="71"/>
      <c r="E225" s="71"/>
      <c r="F225" s="75"/>
      <c r="G225" s="76"/>
      <c r="I225" s="77">
        <f t="shared" si="50"/>
        <v>100</v>
      </c>
      <c r="J225" s="73">
        <f t="shared" si="47"/>
        <v>1900</v>
      </c>
      <c r="K225" s="78" t="str">
        <f t="shared" si="48"/>
        <v/>
      </c>
      <c r="M225" s="41" t="e">
        <v>#N/A</v>
      </c>
    </row>
    <row r="226" spans="2:20" hidden="1" outlineLevel="1">
      <c r="B226" s="78"/>
      <c r="C226" s="75"/>
      <c r="D226" s="71"/>
      <c r="E226" s="71"/>
      <c r="F226" s="75"/>
      <c r="G226" s="76"/>
      <c r="I226" s="77">
        <f t="shared" si="50"/>
        <v>101</v>
      </c>
      <c r="J226" s="73">
        <f t="shared" si="47"/>
        <v>1900</v>
      </c>
      <c r="K226" s="78" t="str">
        <f t="shared" si="48"/>
        <v/>
      </c>
      <c r="M226" s="41" t="e">
        <v>#N/A</v>
      </c>
    </row>
    <row r="227" spans="2:20" hidden="1" outlineLevel="1">
      <c r="B227" s="78"/>
      <c r="C227" s="75"/>
      <c r="D227" s="71"/>
      <c r="E227" s="71"/>
      <c r="F227" s="75"/>
      <c r="G227" s="76"/>
      <c r="I227" s="77">
        <f t="shared" si="50"/>
        <v>102</v>
      </c>
      <c r="J227" s="73">
        <f t="shared" si="47"/>
        <v>1900</v>
      </c>
      <c r="K227" s="78" t="str">
        <f t="shared" si="48"/>
        <v/>
      </c>
      <c r="M227" s="41" t="e">
        <v>#N/A</v>
      </c>
      <c r="T227" s="192"/>
    </row>
    <row r="228" spans="2:20" hidden="1" outlineLevel="1">
      <c r="B228" s="82"/>
      <c r="C228" s="79"/>
      <c r="D228" s="80"/>
      <c r="E228" s="80"/>
      <c r="F228" s="79"/>
      <c r="G228" s="81"/>
      <c r="I228" s="64">
        <f t="shared" si="50"/>
        <v>103</v>
      </c>
      <c r="J228" s="73">
        <f t="shared" si="47"/>
        <v>1900</v>
      </c>
      <c r="K228" s="82" t="str">
        <f t="shared" si="48"/>
        <v/>
      </c>
      <c r="M228" s="41" t="e">
        <v>#N/A</v>
      </c>
      <c r="T228" s="192"/>
    </row>
    <row r="229" spans="2:20" hidden="1" outlineLevel="1">
      <c r="B229" s="211"/>
      <c r="C229" s="200"/>
      <c r="D229" s="201"/>
      <c r="E229" s="201"/>
      <c r="F229" s="200"/>
      <c r="G229" s="202"/>
      <c r="I229" s="60">
        <f>I109</f>
        <v>105</v>
      </c>
      <c r="J229" s="73">
        <f t="shared" si="47"/>
        <v>1900</v>
      </c>
      <c r="K229" s="74" t="str">
        <f t="shared" si="48"/>
        <v/>
      </c>
      <c r="M229" s="41" t="e">
        <v>#N/A</v>
      </c>
      <c r="T229" s="192"/>
    </row>
    <row r="230" spans="2:20" hidden="1" outlineLevel="1">
      <c r="B230" s="212"/>
      <c r="C230" s="194"/>
      <c r="D230" s="195"/>
      <c r="E230" s="195"/>
      <c r="F230" s="194"/>
      <c r="G230" s="196"/>
      <c r="I230" s="77">
        <f t="shared" ref="I230:I264" si="51">I110</f>
        <v>106</v>
      </c>
      <c r="J230" s="73">
        <f t="shared" si="47"/>
        <v>1900</v>
      </c>
      <c r="K230" s="78" t="str">
        <f t="shared" si="48"/>
        <v/>
      </c>
      <c r="M230" s="41" t="e">
        <v>#N/A</v>
      </c>
      <c r="T230" s="192"/>
    </row>
    <row r="231" spans="2:20" hidden="1" outlineLevel="1">
      <c r="B231" s="212"/>
      <c r="C231" s="194"/>
      <c r="D231" s="195"/>
      <c r="E231" s="195"/>
      <c r="F231" s="194"/>
      <c r="G231" s="196"/>
      <c r="I231" s="77">
        <f t="shared" si="51"/>
        <v>107</v>
      </c>
      <c r="J231" s="73">
        <f t="shared" si="47"/>
        <v>1900</v>
      </c>
      <c r="K231" s="78" t="str">
        <f t="shared" si="48"/>
        <v/>
      </c>
      <c r="M231" s="41" t="e">
        <v>#N/A</v>
      </c>
      <c r="T231" s="192"/>
    </row>
    <row r="232" spans="2:20" hidden="1" outlineLevel="1">
      <c r="B232" s="212"/>
      <c r="C232" s="194"/>
      <c r="D232" s="195"/>
      <c r="E232" s="195"/>
      <c r="F232" s="194"/>
      <c r="G232" s="196"/>
      <c r="I232" s="77">
        <f t="shared" si="51"/>
        <v>108</v>
      </c>
      <c r="J232" s="73">
        <f t="shared" si="47"/>
        <v>1900</v>
      </c>
      <c r="K232" s="78" t="str">
        <f t="shared" si="48"/>
        <v/>
      </c>
      <c r="M232" s="41" t="e">
        <v>#N/A</v>
      </c>
      <c r="T232" s="192"/>
    </row>
    <row r="233" spans="2:20" hidden="1" outlineLevel="1">
      <c r="B233" s="212"/>
      <c r="C233" s="194"/>
      <c r="D233" s="195"/>
      <c r="E233" s="195"/>
      <c r="F233" s="194"/>
      <c r="G233" s="196"/>
      <c r="I233" s="77">
        <f t="shared" si="51"/>
        <v>109</v>
      </c>
      <c r="J233" s="73">
        <f t="shared" si="47"/>
        <v>1900</v>
      </c>
      <c r="K233" s="78" t="str">
        <f t="shared" si="48"/>
        <v/>
      </c>
      <c r="M233" s="41" t="e">
        <v>#N/A</v>
      </c>
      <c r="T233" s="192"/>
    </row>
    <row r="234" spans="2:20" hidden="1" outlineLevel="1">
      <c r="B234" s="212"/>
      <c r="C234" s="194"/>
      <c r="D234" s="195"/>
      <c r="E234" s="195"/>
      <c r="F234" s="194"/>
      <c r="G234" s="196"/>
      <c r="I234" s="77">
        <f t="shared" si="51"/>
        <v>110</v>
      </c>
      <c r="J234" s="73">
        <f t="shared" si="47"/>
        <v>1900</v>
      </c>
      <c r="K234" s="78" t="str">
        <f t="shared" si="48"/>
        <v/>
      </c>
      <c r="M234" s="41" t="e">
        <v>#N/A</v>
      </c>
      <c r="T234" s="192"/>
    </row>
    <row r="235" spans="2:20" hidden="1" outlineLevel="1">
      <c r="B235" s="212"/>
      <c r="C235" s="194"/>
      <c r="D235" s="195"/>
      <c r="E235" s="195"/>
      <c r="F235" s="194"/>
      <c r="G235" s="196"/>
      <c r="I235" s="77">
        <f t="shared" si="51"/>
        <v>111</v>
      </c>
      <c r="J235" s="73">
        <f t="shared" si="47"/>
        <v>1900</v>
      </c>
      <c r="K235" s="78" t="str">
        <f t="shared" si="48"/>
        <v/>
      </c>
      <c r="M235" s="41" t="e">
        <v>#N/A</v>
      </c>
      <c r="T235" s="192"/>
    </row>
    <row r="236" spans="2:20" hidden="1" outlineLevel="1">
      <c r="B236" s="212"/>
      <c r="C236" s="194"/>
      <c r="D236" s="195"/>
      <c r="E236" s="195"/>
      <c r="F236" s="194"/>
      <c r="G236" s="196"/>
      <c r="I236" s="77">
        <f t="shared" si="51"/>
        <v>112</v>
      </c>
      <c r="J236" s="73">
        <f t="shared" si="47"/>
        <v>1900</v>
      </c>
      <c r="K236" s="78" t="str">
        <f t="shared" si="48"/>
        <v/>
      </c>
      <c r="M236" s="41" t="e">
        <v>#N/A</v>
      </c>
      <c r="T236" s="192"/>
    </row>
    <row r="237" spans="2:20" hidden="1" outlineLevel="1">
      <c r="B237" s="212"/>
      <c r="C237" s="194"/>
      <c r="D237" s="195"/>
      <c r="E237" s="195"/>
      <c r="F237" s="194"/>
      <c r="G237" s="196"/>
      <c r="I237" s="77">
        <f t="shared" si="51"/>
        <v>113</v>
      </c>
      <c r="J237" s="73">
        <f t="shared" si="47"/>
        <v>1900</v>
      </c>
      <c r="K237" s="78" t="str">
        <f t="shared" si="48"/>
        <v/>
      </c>
      <c r="M237" s="41" t="e">
        <v>#N/A</v>
      </c>
      <c r="T237" s="192"/>
    </row>
    <row r="238" spans="2:20" hidden="1" outlineLevel="1">
      <c r="B238" s="212"/>
      <c r="C238" s="194"/>
      <c r="D238" s="195"/>
      <c r="E238" s="195"/>
      <c r="F238" s="194"/>
      <c r="G238" s="196"/>
      <c r="I238" s="77">
        <f t="shared" si="51"/>
        <v>114</v>
      </c>
      <c r="J238" s="73">
        <f t="shared" si="47"/>
        <v>1900</v>
      </c>
      <c r="K238" s="78" t="str">
        <f t="shared" si="48"/>
        <v/>
      </c>
      <c r="M238" s="41" t="e">
        <v>#N/A</v>
      </c>
      <c r="T238" s="192"/>
    </row>
    <row r="239" spans="2:20" hidden="1" outlineLevel="1">
      <c r="B239" s="212"/>
      <c r="C239" s="194"/>
      <c r="D239" s="195"/>
      <c r="E239" s="195"/>
      <c r="F239" s="194"/>
      <c r="G239" s="196"/>
      <c r="I239" s="77">
        <f t="shared" si="51"/>
        <v>115</v>
      </c>
      <c r="J239" s="73">
        <f t="shared" si="47"/>
        <v>1900</v>
      </c>
      <c r="K239" s="78" t="str">
        <f t="shared" si="48"/>
        <v/>
      </c>
      <c r="M239" s="41" t="e">
        <v>#N/A</v>
      </c>
      <c r="T239" s="192"/>
    </row>
    <row r="240" spans="2:20" hidden="1" outlineLevel="1">
      <c r="B240" s="213"/>
      <c r="C240" s="197"/>
      <c r="D240" s="198"/>
      <c r="E240" s="198"/>
      <c r="F240" s="197"/>
      <c r="G240" s="199"/>
      <c r="I240" s="64">
        <f t="shared" si="51"/>
        <v>116</v>
      </c>
      <c r="J240" s="73">
        <f t="shared" si="47"/>
        <v>1900</v>
      </c>
      <c r="K240" s="82" t="str">
        <f t="shared" si="48"/>
        <v/>
      </c>
      <c r="M240" s="41" t="e">
        <v>#N/A</v>
      </c>
      <c r="T240" s="192"/>
    </row>
    <row r="241" spans="2:20" hidden="1" outlineLevel="1">
      <c r="B241" s="211"/>
      <c r="C241" s="200"/>
      <c r="D241" s="201"/>
      <c r="E241" s="201"/>
      <c r="F241" s="200"/>
      <c r="G241" s="202"/>
      <c r="I241" s="60">
        <f>I121</f>
        <v>118</v>
      </c>
      <c r="J241" s="73">
        <f t="shared" si="47"/>
        <v>1900</v>
      </c>
      <c r="K241" s="74" t="str">
        <f t="shared" si="48"/>
        <v/>
      </c>
      <c r="M241" s="41" t="e">
        <v>#N/A</v>
      </c>
      <c r="T241" s="192"/>
    </row>
    <row r="242" spans="2:20" hidden="1" outlineLevel="1">
      <c r="B242" s="212"/>
      <c r="C242" s="194"/>
      <c r="D242" s="195"/>
      <c r="E242" s="195"/>
      <c r="F242" s="194"/>
      <c r="G242" s="196"/>
      <c r="I242" s="77">
        <f t="shared" si="51"/>
        <v>119</v>
      </c>
      <c r="J242" s="73">
        <f t="shared" si="47"/>
        <v>1900</v>
      </c>
      <c r="K242" s="78" t="str">
        <f t="shared" si="48"/>
        <v/>
      </c>
      <c r="M242" s="41" t="e">
        <v>#N/A</v>
      </c>
      <c r="T242" s="192"/>
    </row>
    <row r="243" spans="2:20" hidden="1" outlineLevel="1">
      <c r="B243" s="212"/>
      <c r="C243" s="194"/>
      <c r="D243" s="195"/>
      <c r="E243" s="195"/>
      <c r="F243" s="194"/>
      <c r="G243" s="196"/>
      <c r="I243" s="77">
        <f t="shared" si="51"/>
        <v>120</v>
      </c>
      <c r="J243" s="73">
        <f t="shared" si="47"/>
        <v>1900</v>
      </c>
      <c r="K243" s="78" t="str">
        <f t="shared" si="48"/>
        <v/>
      </c>
      <c r="M243" s="41" t="e">
        <v>#N/A</v>
      </c>
      <c r="T243" s="192"/>
    </row>
    <row r="244" spans="2:20" hidden="1" outlineLevel="1">
      <c r="B244" s="212"/>
      <c r="C244" s="194"/>
      <c r="D244" s="195"/>
      <c r="E244" s="195"/>
      <c r="F244" s="194"/>
      <c r="G244" s="196"/>
      <c r="I244" s="77">
        <f t="shared" si="51"/>
        <v>121</v>
      </c>
      <c r="J244" s="73">
        <f t="shared" si="47"/>
        <v>1900</v>
      </c>
      <c r="K244" s="78" t="str">
        <f t="shared" si="48"/>
        <v/>
      </c>
      <c r="M244" s="41" t="e">
        <v>#N/A</v>
      </c>
      <c r="T244" s="192"/>
    </row>
    <row r="245" spans="2:20" hidden="1" outlineLevel="1">
      <c r="B245" s="212"/>
      <c r="C245" s="194"/>
      <c r="D245" s="195"/>
      <c r="E245" s="195"/>
      <c r="F245" s="194"/>
      <c r="G245" s="196"/>
      <c r="I245" s="77">
        <f t="shared" si="51"/>
        <v>122</v>
      </c>
      <c r="J245" s="73">
        <f t="shared" si="47"/>
        <v>1900</v>
      </c>
      <c r="K245" s="78" t="str">
        <f t="shared" si="48"/>
        <v/>
      </c>
      <c r="M245" s="41" t="e">
        <v>#N/A</v>
      </c>
      <c r="T245" s="192"/>
    </row>
    <row r="246" spans="2:20" hidden="1" outlineLevel="1">
      <c r="B246" s="212"/>
      <c r="C246" s="194"/>
      <c r="D246" s="195"/>
      <c r="E246" s="195"/>
      <c r="F246" s="194"/>
      <c r="G246" s="196"/>
      <c r="I246" s="77">
        <f t="shared" si="51"/>
        <v>123</v>
      </c>
      <c r="J246" s="73">
        <f t="shared" si="47"/>
        <v>1900</v>
      </c>
      <c r="K246" s="78" t="str">
        <f t="shared" si="48"/>
        <v/>
      </c>
      <c r="M246" s="41" t="e">
        <v>#N/A</v>
      </c>
      <c r="T246" s="192"/>
    </row>
    <row r="247" spans="2:20" hidden="1" outlineLevel="1">
      <c r="B247" s="212"/>
      <c r="C247" s="194"/>
      <c r="D247" s="195"/>
      <c r="E247" s="195"/>
      <c r="F247" s="194"/>
      <c r="G247" s="196"/>
      <c r="I247" s="77">
        <f t="shared" si="51"/>
        <v>124</v>
      </c>
      <c r="J247" s="73">
        <f t="shared" si="47"/>
        <v>1900</v>
      </c>
      <c r="K247" s="78" t="str">
        <f t="shared" si="48"/>
        <v/>
      </c>
      <c r="M247" s="41" t="e">
        <v>#N/A</v>
      </c>
      <c r="T247" s="192"/>
    </row>
    <row r="248" spans="2:20" hidden="1" outlineLevel="1">
      <c r="B248" s="212"/>
      <c r="C248" s="194"/>
      <c r="D248" s="195"/>
      <c r="E248" s="195"/>
      <c r="F248" s="194"/>
      <c r="G248" s="196"/>
      <c r="I248" s="77">
        <f t="shared" si="51"/>
        <v>125</v>
      </c>
      <c r="J248" s="73">
        <f t="shared" si="47"/>
        <v>1900</v>
      </c>
      <c r="K248" s="78" t="str">
        <f t="shared" si="48"/>
        <v/>
      </c>
      <c r="M248" s="41" t="e">
        <v>#N/A</v>
      </c>
      <c r="T248" s="192"/>
    </row>
    <row r="249" spans="2:20" hidden="1" outlineLevel="1">
      <c r="B249" s="212"/>
      <c r="C249" s="194"/>
      <c r="D249" s="195"/>
      <c r="E249" s="195"/>
      <c r="F249" s="194"/>
      <c r="G249" s="196"/>
      <c r="I249" s="77">
        <f t="shared" si="51"/>
        <v>126</v>
      </c>
      <c r="J249" s="73">
        <f t="shared" si="47"/>
        <v>1900</v>
      </c>
      <c r="K249" s="78" t="str">
        <f t="shared" si="48"/>
        <v/>
      </c>
      <c r="M249" s="41" t="e">
        <v>#N/A</v>
      </c>
      <c r="T249" s="192"/>
    </row>
    <row r="250" spans="2:20" hidden="1" outlineLevel="1">
      <c r="B250" s="212"/>
      <c r="C250" s="194"/>
      <c r="D250" s="195"/>
      <c r="E250" s="195"/>
      <c r="F250" s="194"/>
      <c r="G250" s="196"/>
      <c r="I250" s="77">
        <f t="shared" si="51"/>
        <v>127</v>
      </c>
      <c r="J250" s="73">
        <f t="shared" si="47"/>
        <v>1900</v>
      </c>
      <c r="K250" s="78" t="str">
        <f t="shared" si="48"/>
        <v/>
      </c>
      <c r="M250" s="41" t="e">
        <v>#N/A</v>
      </c>
      <c r="T250" s="192"/>
    </row>
    <row r="251" spans="2:20" hidden="1" outlineLevel="1">
      <c r="B251" s="212"/>
      <c r="C251" s="194"/>
      <c r="D251" s="195"/>
      <c r="E251" s="195"/>
      <c r="F251" s="194"/>
      <c r="G251" s="196"/>
      <c r="I251" s="77">
        <f t="shared" si="51"/>
        <v>128</v>
      </c>
      <c r="J251" s="73">
        <f t="shared" si="47"/>
        <v>1900</v>
      </c>
      <c r="K251" s="78" t="str">
        <f t="shared" si="48"/>
        <v/>
      </c>
      <c r="M251" s="41" t="e">
        <v>#N/A</v>
      </c>
      <c r="O251" s="192"/>
      <c r="P251" s="192"/>
      <c r="T251" s="192"/>
    </row>
    <row r="252" spans="2:20" hidden="1" outlineLevel="1" collapsed="1">
      <c r="B252" s="213"/>
      <c r="C252" s="197"/>
      <c r="D252" s="198"/>
      <c r="E252" s="198"/>
      <c r="F252" s="197"/>
      <c r="G252" s="199"/>
      <c r="I252" s="64">
        <f t="shared" si="51"/>
        <v>129</v>
      </c>
      <c r="J252" s="73">
        <f t="shared" si="47"/>
        <v>1900</v>
      </c>
      <c r="K252" s="82" t="str">
        <f t="shared" si="48"/>
        <v/>
      </c>
      <c r="M252" s="41" t="e">
        <v>#N/A</v>
      </c>
      <c r="O252" s="192"/>
      <c r="P252" s="192"/>
      <c r="T252" s="192"/>
    </row>
    <row r="253" spans="2:20" hidden="1" outlineLevel="1">
      <c r="B253" s="211"/>
      <c r="C253" s="200"/>
      <c r="D253" s="201"/>
      <c r="E253" s="201"/>
      <c r="F253" s="200"/>
      <c r="G253" s="202"/>
      <c r="I253" s="60">
        <f>I133</f>
        <v>1</v>
      </c>
      <c r="J253" s="73">
        <f t="shared" si="47"/>
        <v>1900</v>
      </c>
      <c r="K253" s="74" t="str">
        <f t="shared" si="48"/>
        <v/>
      </c>
      <c r="M253" s="41" t="e">
        <v>#N/A</v>
      </c>
      <c r="O253" s="192"/>
      <c r="P253" s="192"/>
      <c r="T253" s="192"/>
    </row>
    <row r="254" spans="2:20" hidden="1" outlineLevel="1">
      <c r="B254" s="212"/>
      <c r="C254" s="194"/>
      <c r="D254" s="195"/>
      <c r="E254" s="195"/>
      <c r="F254" s="194"/>
      <c r="G254" s="196"/>
      <c r="I254" s="77">
        <f t="shared" si="51"/>
        <v>2</v>
      </c>
      <c r="J254" s="73">
        <f t="shared" si="47"/>
        <v>1900</v>
      </c>
      <c r="K254" s="78" t="str">
        <f t="shared" si="48"/>
        <v/>
      </c>
      <c r="M254" s="41" t="e">
        <v>#N/A</v>
      </c>
      <c r="O254" s="192"/>
      <c r="P254" s="192"/>
      <c r="T254" s="192"/>
    </row>
    <row r="255" spans="2:20" hidden="1" outlineLevel="1">
      <c r="B255" s="212"/>
      <c r="C255" s="194"/>
      <c r="D255" s="195"/>
      <c r="E255" s="195"/>
      <c r="F255" s="194"/>
      <c r="G255" s="196"/>
      <c r="I255" s="77">
        <f t="shared" si="51"/>
        <v>3</v>
      </c>
      <c r="J255" s="73">
        <f t="shared" si="47"/>
        <v>1900</v>
      </c>
      <c r="K255" s="78" t="str">
        <f t="shared" si="48"/>
        <v/>
      </c>
      <c r="M255" s="41" t="e">
        <v>#N/A</v>
      </c>
      <c r="O255" s="192"/>
      <c r="P255" s="192"/>
      <c r="T255" s="192"/>
    </row>
    <row r="256" spans="2:20" hidden="1" outlineLevel="1">
      <c r="B256" s="212"/>
      <c r="C256" s="194"/>
      <c r="D256" s="195"/>
      <c r="E256" s="195"/>
      <c r="F256" s="194"/>
      <c r="G256" s="196"/>
      <c r="I256" s="77">
        <f t="shared" si="51"/>
        <v>4</v>
      </c>
      <c r="J256" s="73">
        <f t="shared" si="47"/>
        <v>1900</v>
      </c>
      <c r="K256" s="78" t="str">
        <f t="shared" si="48"/>
        <v/>
      </c>
      <c r="M256" s="41" t="e">
        <v>#N/A</v>
      </c>
      <c r="O256" s="192"/>
      <c r="P256" s="192"/>
      <c r="T256" s="192"/>
    </row>
    <row r="257" spans="2:20" hidden="1" outlineLevel="1">
      <c r="B257" s="212"/>
      <c r="C257" s="194"/>
      <c r="D257" s="195"/>
      <c r="E257" s="195"/>
      <c r="F257" s="194"/>
      <c r="G257" s="196"/>
      <c r="I257" s="77">
        <f t="shared" si="51"/>
        <v>5</v>
      </c>
      <c r="J257" s="73">
        <f t="shared" ref="J257:J264" si="52">YEAR(B257)</f>
        <v>1900</v>
      </c>
      <c r="K257" s="78" t="str">
        <f t="shared" ref="K257:K264" si="53">IF(ISNUMBER(F257),IF(F257&lt;&gt;0,B257,""),"")</f>
        <v/>
      </c>
      <c r="M257" s="41" t="e">
        <v>#N/A</v>
      </c>
      <c r="O257" s="192"/>
      <c r="P257" s="192"/>
      <c r="T257" s="192"/>
    </row>
    <row r="258" spans="2:20" hidden="1" outlineLevel="1">
      <c r="B258" s="212"/>
      <c r="C258" s="194"/>
      <c r="D258" s="195"/>
      <c r="E258" s="195"/>
      <c r="F258" s="194"/>
      <c r="G258" s="196"/>
      <c r="I258" s="77">
        <f t="shared" si="51"/>
        <v>6</v>
      </c>
      <c r="J258" s="73">
        <f t="shared" si="52"/>
        <v>1900</v>
      </c>
      <c r="K258" s="78" t="str">
        <f t="shared" si="53"/>
        <v/>
      </c>
      <c r="M258" s="41" t="e">
        <v>#N/A</v>
      </c>
      <c r="O258" s="192"/>
      <c r="P258" s="192"/>
      <c r="T258" s="192"/>
    </row>
    <row r="259" spans="2:20" hidden="1" outlineLevel="1">
      <c r="B259" s="212"/>
      <c r="C259" s="194"/>
      <c r="D259" s="195"/>
      <c r="E259" s="195"/>
      <c r="F259" s="194"/>
      <c r="G259" s="196"/>
      <c r="I259" s="77">
        <f t="shared" si="51"/>
        <v>7</v>
      </c>
      <c r="J259" s="73">
        <f t="shared" si="52"/>
        <v>1900</v>
      </c>
      <c r="K259" s="78" t="str">
        <f t="shared" si="53"/>
        <v/>
      </c>
      <c r="M259" s="41" t="e">
        <v>#N/A</v>
      </c>
      <c r="O259" s="192"/>
      <c r="P259" s="192"/>
    </row>
    <row r="260" spans="2:20" hidden="1" outlineLevel="1">
      <c r="B260" s="212"/>
      <c r="C260" s="194"/>
      <c r="D260" s="195"/>
      <c r="E260" s="195"/>
      <c r="F260" s="194"/>
      <c r="G260" s="196"/>
      <c r="I260" s="77">
        <f t="shared" si="51"/>
        <v>8</v>
      </c>
      <c r="J260" s="73">
        <f t="shared" si="52"/>
        <v>1900</v>
      </c>
      <c r="K260" s="78" t="str">
        <f t="shared" si="53"/>
        <v/>
      </c>
      <c r="M260" s="41" t="e">
        <v>#N/A</v>
      </c>
      <c r="O260" s="192"/>
      <c r="P260" s="192"/>
    </row>
    <row r="261" spans="2:20" hidden="1" outlineLevel="1">
      <c r="B261" s="212"/>
      <c r="C261" s="194"/>
      <c r="D261" s="195"/>
      <c r="E261" s="195"/>
      <c r="F261" s="194"/>
      <c r="G261" s="196"/>
      <c r="I261" s="77">
        <f t="shared" si="51"/>
        <v>9</v>
      </c>
      <c r="J261" s="73">
        <f t="shared" si="52"/>
        <v>1900</v>
      </c>
      <c r="K261" s="78" t="str">
        <f t="shared" si="53"/>
        <v/>
      </c>
      <c r="M261" s="41" t="e">
        <v>#N/A</v>
      </c>
      <c r="O261" s="192"/>
      <c r="P261" s="192"/>
    </row>
    <row r="262" spans="2:20" hidden="1" outlineLevel="1">
      <c r="B262" s="212"/>
      <c r="C262" s="194"/>
      <c r="D262" s="195"/>
      <c r="E262" s="195"/>
      <c r="F262" s="194"/>
      <c r="G262" s="196"/>
      <c r="I262" s="77">
        <f t="shared" si="51"/>
        <v>10</v>
      </c>
      <c r="J262" s="73">
        <f t="shared" si="52"/>
        <v>1900</v>
      </c>
      <c r="K262" s="78" t="str">
        <f t="shared" si="53"/>
        <v/>
      </c>
      <c r="M262" s="41" t="e">
        <v>#N/A</v>
      </c>
    </row>
    <row r="263" spans="2:20" hidden="1" outlineLevel="1">
      <c r="B263" s="212"/>
      <c r="C263" s="194"/>
      <c r="D263" s="195"/>
      <c r="E263" s="195"/>
      <c r="F263" s="194"/>
      <c r="G263" s="196"/>
      <c r="I263" s="77">
        <f t="shared" si="51"/>
        <v>11</v>
      </c>
      <c r="J263" s="73">
        <f t="shared" si="52"/>
        <v>1900</v>
      </c>
      <c r="K263" s="78" t="str">
        <f t="shared" si="53"/>
        <v/>
      </c>
      <c r="M263" s="41" t="e">
        <v>#N/A</v>
      </c>
    </row>
    <row r="264" spans="2:20" hidden="1" outlineLevel="1">
      <c r="B264" s="213"/>
      <c r="C264" s="197"/>
      <c r="D264" s="198"/>
      <c r="E264" s="198"/>
      <c r="F264" s="197"/>
      <c r="G264" s="199"/>
      <c r="I264" s="64">
        <f t="shared" si="51"/>
        <v>12</v>
      </c>
      <c r="J264" s="73">
        <f t="shared" si="52"/>
        <v>1900</v>
      </c>
      <c r="K264" s="82" t="str">
        <f t="shared" si="53"/>
        <v/>
      </c>
      <c r="M264" s="41" t="e">
        <v>#N/A</v>
      </c>
    </row>
    <row r="265" spans="2:20" hidden="1" outlineLevel="1">
      <c r="B265" s="211"/>
      <c r="C265" s="200"/>
      <c r="D265" s="201"/>
      <c r="E265" s="201"/>
      <c r="F265" s="200"/>
      <c r="G265" s="202"/>
      <c r="I265" s="60">
        <f>I145</f>
        <v>14</v>
      </c>
      <c r="J265" s="73">
        <f t="shared" ref="J265:J276" si="54">YEAR(B265)</f>
        <v>1900</v>
      </c>
      <c r="K265" s="74" t="str">
        <f t="shared" ref="K265:K276" si="55">IF(ISNUMBER(F265),IF(F265&lt;&gt;0,B265,""),"")</f>
        <v/>
      </c>
      <c r="M265" s="41" t="e">
        <v>#N/A</v>
      </c>
      <c r="O265" s="192"/>
      <c r="P265" s="192"/>
      <c r="T265" s="192"/>
    </row>
    <row r="266" spans="2:20" hidden="1" outlineLevel="1">
      <c r="B266" s="212"/>
      <c r="C266" s="194"/>
      <c r="D266" s="195"/>
      <c r="E266" s="195"/>
      <c r="F266" s="194"/>
      <c r="G266" s="196"/>
      <c r="I266" s="77">
        <f t="shared" ref="I266:I276" si="56">I146</f>
        <v>15</v>
      </c>
      <c r="J266" s="73">
        <f t="shared" si="54"/>
        <v>1900</v>
      </c>
      <c r="K266" s="78" t="str">
        <f t="shared" si="55"/>
        <v/>
      </c>
      <c r="M266" s="41" t="e">
        <v>#N/A</v>
      </c>
      <c r="O266" s="192"/>
      <c r="P266" s="192"/>
      <c r="T266" s="192"/>
    </row>
    <row r="267" spans="2:20" hidden="1" outlineLevel="1">
      <c r="B267" s="212"/>
      <c r="C267" s="194"/>
      <c r="D267" s="195"/>
      <c r="E267" s="195"/>
      <c r="F267" s="194"/>
      <c r="G267" s="196"/>
      <c r="I267" s="77">
        <f t="shared" si="56"/>
        <v>16</v>
      </c>
      <c r="J267" s="73">
        <f t="shared" si="54"/>
        <v>1900</v>
      </c>
      <c r="K267" s="78" t="str">
        <f t="shared" si="55"/>
        <v/>
      </c>
      <c r="M267" s="41" t="e">
        <v>#N/A</v>
      </c>
      <c r="O267" s="192"/>
      <c r="P267" s="192"/>
      <c r="T267" s="192"/>
    </row>
    <row r="268" spans="2:20" hidden="1" outlineLevel="1">
      <c r="B268" s="212"/>
      <c r="C268" s="194"/>
      <c r="D268" s="195"/>
      <c r="E268" s="195"/>
      <c r="F268" s="194"/>
      <c r="G268" s="196"/>
      <c r="I268" s="77">
        <f t="shared" si="56"/>
        <v>17</v>
      </c>
      <c r="J268" s="73">
        <f t="shared" si="54"/>
        <v>1900</v>
      </c>
      <c r="K268" s="78" t="str">
        <f t="shared" si="55"/>
        <v/>
      </c>
      <c r="M268" s="41" t="e">
        <v>#N/A</v>
      </c>
      <c r="O268" s="192"/>
      <c r="P268" s="192"/>
      <c r="T268" s="192"/>
    </row>
    <row r="269" spans="2:20" hidden="1" outlineLevel="1">
      <c r="B269" s="212"/>
      <c r="C269" s="194"/>
      <c r="D269" s="195"/>
      <c r="E269" s="195"/>
      <c r="F269" s="194"/>
      <c r="G269" s="196"/>
      <c r="I269" s="77">
        <f t="shared" si="56"/>
        <v>18</v>
      </c>
      <c r="J269" s="73">
        <f t="shared" si="54"/>
        <v>1900</v>
      </c>
      <c r="K269" s="78" t="str">
        <f t="shared" si="55"/>
        <v/>
      </c>
      <c r="M269" s="41" t="e">
        <v>#N/A</v>
      </c>
      <c r="O269" s="192"/>
      <c r="P269" s="192"/>
      <c r="T269" s="192"/>
    </row>
    <row r="270" spans="2:20" hidden="1" outlineLevel="1">
      <c r="B270" s="212"/>
      <c r="C270" s="194"/>
      <c r="D270" s="195"/>
      <c r="E270" s="195"/>
      <c r="F270" s="194"/>
      <c r="G270" s="196"/>
      <c r="I270" s="77">
        <f t="shared" si="56"/>
        <v>19</v>
      </c>
      <c r="J270" s="73">
        <f t="shared" si="54"/>
        <v>1900</v>
      </c>
      <c r="K270" s="78" t="str">
        <f t="shared" si="55"/>
        <v/>
      </c>
      <c r="M270" s="41" t="e">
        <v>#N/A</v>
      </c>
      <c r="O270" s="192"/>
      <c r="P270" s="192"/>
      <c r="T270" s="192"/>
    </row>
    <row r="271" spans="2:20" hidden="1" outlineLevel="1">
      <c r="B271" s="212"/>
      <c r="C271" s="194"/>
      <c r="D271" s="195"/>
      <c r="E271" s="195"/>
      <c r="F271" s="194"/>
      <c r="G271" s="196"/>
      <c r="I271" s="77">
        <f t="shared" si="56"/>
        <v>20</v>
      </c>
      <c r="J271" s="73">
        <f t="shared" si="54"/>
        <v>1900</v>
      </c>
      <c r="K271" s="78" t="str">
        <f t="shared" si="55"/>
        <v/>
      </c>
      <c r="M271" s="41" t="e">
        <v>#N/A</v>
      </c>
      <c r="O271" s="192"/>
      <c r="P271" s="192"/>
    </row>
    <row r="272" spans="2:20" hidden="1" outlineLevel="1">
      <c r="B272" s="212"/>
      <c r="C272" s="194"/>
      <c r="D272" s="195"/>
      <c r="E272" s="195"/>
      <c r="F272" s="194"/>
      <c r="G272" s="196"/>
      <c r="I272" s="77">
        <f t="shared" si="56"/>
        <v>21</v>
      </c>
      <c r="J272" s="73">
        <f t="shared" si="54"/>
        <v>1900</v>
      </c>
      <c r="K272" s="78" t="str">
        <f t="shared" si="55"/>
        <v/>
      </c>
      <c r="M272" s="41" t="e">
        <v>#N/A</v>
      </c>
      <c r="O272" s="192"/>
      <c r="P272" s="192"/>
    </row>
    <row r="273" spans="2:16" hidden="1" outlineLevel="1">
      <c r="B273" s="212"/>
      <c r="C273" s="194"/>
      <c r="D273" s="195"/>
      <c r="E273" s="195"/>
      <c r="F273" s="194"/>
      <c r="G273" s="196"/>
      <c r="I273" s="77">
        <f t="shared" si="56"/>
        <v>22</v>
      </c>
      <c r="J273" s="73">
        <f t="shared" si="54"/>
        <v>1900</v>
      </c>
      <c r="K273" s="78" t="str">
        <f t="shared" si="55"/>
        <v/>
      </c>
      <c r="M273" s="41" t="e">
        <v>#N/A</v>
      </c>
      <c r="O273" s="192"/>
      <c r="P273" s="192"/>
    </row>
    <row r="274" spans="2:16" hidden="1" outlineLevel="1">
      <c r="B274" s="212"/>
      <c r="C274" s="194"/>
      <c r="D274" s="195"/>
      <c r="E274" s="195"/>
      <c r="F274" s="194"/>
      <c r="G274" s="196"/>
      <c r="I274" s="77">
        <f t="shared" si="56"/>
        <v>23</v>
      </c>
      <c r="J274" s="73">
        <f t="shared" si="54"/>
        <v>1900</v>
      </c>
      <c r="K274" s="78" t="str">
        <f t="shared" si="55"/>
        <v/>
      </c>
      <c r="M274" s="41" t="e">
        <v>#N/A</v>
      </c>
    </row>
    <row r="275" spans="2:16" hidden="1" outlineLevel="1">
      <c r="B275" s="212"/>
      <c r="C275" s="194"/>
      <c r="D275" s="195"/>
      <c r="E275" s="195"/>
      <c r="F275" s="194"/>
      <c r="G275" s="196"/>
      <c r="I275" s="77">
        <f t="shared" si="56"/>
        <v>24</v>
      </c>
      <c r="J275" s="73">
        <f t="shared" si="54"/>
        <v>1900</v>
      </c>
      <c r="K275" s="78" t="str">
        <f t="shared" si="55"/>
        <v/>
      </c>
      <c r="M275" s="41" t="e">
        <v>#N/A</v>
      </c>
    </row>
    <row r="276" spans="2:16" hidden="1" outlineLevel="1">
      <c r="B276" s="213"/>
      <c r="C276" s="197"/>
      <c r="D276" s="198"/>
      <c r="E276" s="198"/>
      <c r="F276" s="197"/>
      <c r="G276" s="199"/>
      <c r="I276" s="64">
        <f t="shared" si="56"/>
        <v>25</v>
      </c>
      <c r="J276" s="73">
        <f t="shared" si="54"/>
        <v>1900</v>
      </c>
      <c r="K276" s="82" t="str">
        <f t="shared" si="55"/>
        <v/>
      </c>
      <c r="M276" s="41" t="e">
        <v>#N/A</v>
      </c>
    </row>
    <row r="277" spans="2:16" collapsed="1"/>
  </sheetData>
  <printOptions horizontalCentered="1"/>
  <pageMargins left="0.25" right="0.25" top="0.75" bottom="0.75" header="0.3" footer="0.3"/>
  <pageSetup scale="87"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3.83203125" style="121" customWidth="1"/>
    <col min="9" max="10" width="12.5" style="121" customWidth="1"/>
    <col min="11" max="11" width="11.6640625" style="121" customWidth="1"/>
    <col min="12" max="12" width="9.33203125" style="121"/>
    <col min="13" max="13" width="6.1640625" style="121" customWidth="1"/>
    <col min="14" max="14" width="7.83203125" style="172" customWidth="1"/>
    <col min="15" max="16384" width="9.33203125" style="121"/>
  </cols>
  <sheetData>
    <row r="1" spans="2:16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6" ht="15.75">
      <c r="B2" s="119" t="s">
        <v>101</v>
      </c>
      <c r="C2" s="120"/>
      <c r="D2" s="120"/>
      <c r="E2" s="120"/>
      <c r="F2" s="120"/>
      <c r="G2" s="120"/>
      <c r="H2" s="120"/>
      <c r="I2" s="120"/>
      <c r="J2" s="120"/>
    </row>
    <row r="3" spans="2:16" ht="15.75">
      <c r="B3" s="119"/>
      <c r="C3" s="120"/>
      <c r="D3" s="120"/>
      <c r="E3" s="120"/>
      <c r="F3" s="120"/>
      <c r="G3" s="120"/>
      <c r="H3" s="120"/>
      <c r="I3" s="120"/>
      <c r="J3" s="120"/>
    </row>
    <row r="4" spans="2:16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6" ht="51.75" customHeight="1">
      <c r="B5" s="124" t="s">
        <v>0</v>
      </c>
      <c r="C5" s="125" t="s">
        <v>107</v>
      </c>
      <c r="D5" s="125" t="s">
        <v>102</v>
      </c>
      <c r="E5" s="17" t="s">
        <v>55</v>
      </c>
      <c r="H5" s="172"/>
      <c r="N5" s="121"/>
    </row>
    <row r="6" spans="2:16" ht="24" customHeight="1">
      <c r="B6" s="126"/>
      <c r="C6" s="128" t="s">
        <v>9</v>
      </c>
      <c r="D6" s="127" t="s">
        <v>103</v>
      </c>
      <c r="E6" s="19" t="s">
        <v>9</v>
      </c>
      <c r="H6" s="172"/>
      <c r="N6" s="121"/>
    </row>
    <row r="7" spans="2:16">
      <c r="C7" s="129" t="s">
        <v>2</v>
      </c>
      <c r="D7" s="129" t="s">
        <v>4</v>
      </c>
      <c r="E7" s="129" t="s">
        <v>25</v>
      </c>
      <c r="H7" s="172"/>
      <c r="N7" s="121"/>
    </row>
    <row r="8" spans="2:16" ht="6" customHeight="1">
      <c r="H8" s="172"/>
      <c r="N8" s="121"/>
    </row>
    <row r="9" spans="2:16" ht="15.75">
      <c r="B9" s="43" t="str">
        <f>B2</f>
        <v>2017 IRP Aeolus-Bridger/Anticline Transmission</v>
      </c>
      <c r="D9" s="123"/>
      <c r="E9" s="123"/>
      <c r="N9" s="121"/>
    </row>
    <row r="10" spans="2:16">
      <c r="B10" s="140">
        <v>2020</v>
      </c>
      <c r="C10" s="132">
        <f>ROUND(C11/(1+$D44),2)</f>
        <v>47.55</v>
      </c>
      <c r="D10" s="140">
        <v>2</v>
      </c>
      <c r="E10" s="134">
        <f t="shared" ref="E10:E32" si="0">SUM(C10:C10)*D10/12</f>
        <v>7.9249999999999998</v>
      </c>
      <c r="F10" s="123"/>
      <c r="G10" s="159"/>
      <c r="M10" s="173"/>
      <c r="N10" s="137"/>
      <c r="O10" s="138"/>
      <c r="P10" s="139"/>
    </row>
    <row r="11" spans="2:16">
      <c r="B11" s="140">
        <f t="shared" ref="B11:B32" si="1">B10+1</f>
        <v>2021</v>
      </c>
      <c r="C11" s="132">
        <f>D36</f>
        <v>48.5910167356733</v>
      </c>
      <c r="D11" s="140">
        <v>12</v>
      </c>
      <c r="E11" s="134">
        <f t="shared" si="0"/>
        <v>48.5910167356733</v>
      </c>
      <c r="F11" s="123"/>
      <c r="G11" s="159"/>
      <c r="M11" s="173"/>
      <c r="N11" s="203"/>
      <c r="O11" s="203"/>
      <c r="P11" s="139"/>
    </row>
    <row r="12" spans="2:16">
      <c r="B12" s="140">
        <f t="shared" si="1"/>
        <v>2022</v>
      </c>
      <c r="C12" s="132">
        <f>ROUND(C11*(1+(IFERROR(INDEX($D$41:$D$49,MATCH($B12,$C$41:$C$49,0),1),0)+IFERROR(INDEX($G$41:$G$49,MATCH($B12,$F$41:$F$49,0),1),0)+IFERROR(INDEX($J$41:$J$49,MATCH($B12,$I$41:$I$49,0),1),0))),2)</f>
        <v>49.76</v>
      </c>
      <c r="D12" s="140">
        <v>12</v>
      </c>
      <c r="E12" s="134">
        <f t="shared" si="0"/>
        <v>49.76</v>
      </c>
      <c r="F12" s="123"/>
      <c r="H12" s="173"/>
      <c r="J12" s="204"/>
      <c r="N12" s="121"/>
    </row>
    <row r="13" spans="2:16">
      <c r="B13" s="140">
        <f t="shared" si="1"/>
        <v>2023</v>
      </c>
      <c r="C13" s="132">
        <f t="shared" ref="C13:C32" si="2">ROUND(C12*(1+(IFERROR(INDEX($D$41:$D$49,MATCH($B13,$C$41:$C$49,0),1),0)+IFERROR(INDEX($G$41:$G$49,MATCH($B13,$F$41:$F$49,0),1),0)+IFERROR(INDEX($J$41:$J$49,MATCH($B13,$I$41:$I$49,0),1),0))),2)</f>
        <v>50.95</v>
      </c>
      <c r="D13" s="140">
        <v>12</v>
      </c>
      <c r="E13" s="134">
        <f t="shared" si="0"/>
        <v>50.95000000000001</v>
      </c>
      <c r="F13" s="123"/>
      <c r="H13" s="173"/>
      <c r="I13" s="137"/>
      <c r="J13" s="204"/>
      <c r="N13" s="121"/>
    </row>
    <row r="14" spans="2:16">
      <c r="B14" s="140">
        <f t="shared" si="1"/>
        <v>2024</v>
      </c>
      <c r="C14" s="132">
        <f t="shared" si="2"/>
        <v>52.17</v>
      </c>
      <c r="D14" s="140">
        <v>12</v>
      </c>
      <c r="E14" s="134">
        <f t="shared" si="0"/>
        <v>52.169999999999995</v>
      </c>
      <c r="F14" s="123"/>
      <c r="H14" s="173"/>
      <c r="K14" s="205"/>
      <c r="N14" s="121"/>
    </row>
    <row r="15" spans="2:16">
      <c r="B15" s="140">
        <f t="shared" si="1"/>
        <v>2025</v>
      </c>
      <c r="C15" s="132">
        <f t="shared" si="2"/>
        <v>53.37</v>
      </c>
      <c r="D15" s="140">
        <v>12</v>
      </c>
      <c r="E15" s="134">
        <f t="shared" si="0"/>
        <v>53.37</v>
      </c>
      <c r="F15" s="123"/>
      <c r="H15" s="173"/>
      <c r="N15" s="121"/>
    </row>
    <row r="16" spans="2:16">
      <c r="B16" s="140">
        <f t="shared" si="1"/>
        <v>2026</v>
      </c>
      <c r="C16" s="132">
        <f t="shared" si="2"/>
        <v>54.6</v>
      </c>
      <c r="D16" s="140">
        <v>12</v>
      </c>
      <c r="E16" s="134">
        <f t="shared" si="0"/>
        <v>54.6</v>
      </c>
      <c r="F16" s="123"/>
      <c r="H16" s="173"/>
      <c r="J16" s="170"/>
      <c r="N16" s="121"/>
    </row>
    <row r="17" spans="2:14">
      <c r="B17" s="140">
        <f t="shared" si="1"/>
        <v>2027</v>
      </c>
      <c r="C17" s="132">
        <f t="shared" si="2"/>
        <v>55.86</v>
      </c>
      <c r="D17" s="140">
        <v>12</v>
      </c>
      <c r="E17" s="134">
        <f t="shared" si="0"/>
        <v>55.859999999999992</v>
      </c>
      <c r="F17" s="123"/>
      <c r="H17" s="173"/>
      <c r="N17" s="121"/>
    </row>
    <row r="18" spans="2:14">
      <c r="B18" s="140">
        <f t="shared" si="1"/>
        <v>2028</v>
      </c>
      <c r="C18" s="132">
        <f t="shared" si="2"/>
        <v>57.2</v>
      </c>
      <c r="D18" s="140">
        <v>12</v>
      </c>
      <c r="E18" s="134">
        <f t="shared" si="0"/>
        <v>57.20000000000001</v>
      </c>
      <c r="F18" s="123"/>
      <c r="H18" s="173"/>
      <c r="N18" s="121"/>
    </row>
    <row r="19" spans="2:14">
      <c r="B19" s="140">
        <f t="shared" si="1"/>
        <v>2029</v>
      </c>
      <c r="C19" s="132">
        <f t="shared" si="2"/>
        <v>58.57</v>
      </c>
      <c r="D19" s="140">
        <v>12</v>
      </c>
      <c r="E19" s="134">
        <f t="shared" si="0"/>
        <v>58.57</v>
      </c>
      <c r="F19" s="123"/>
      <c r="H19" s="173"/>
      <c r="N19" s="121"/>
    </row>
    <row r="20" spans="2:14">
      <c r="B20" s="140">
        <f t="shared" si="1"/>
        <v>2030</v>
      </c>
      <c r="C20" s="132">
        <f t="shared" si="2"/>
        <v>59.92</v>
      </c>
      <c r="D20" s="140">
        <v>12</v>
      </c>
      <c r="E20" s="134">
        <f t="shared" si="0"/>
        <v>59.919999999999995</v>
      </c>
      <c r="F20" s="123"/>
      <c r="H20" s="173"/>
      <c r="N20" s="121"/>
    </row>
    <row r="21" spans="2:14">
      <c r="B21" s="140">
        <f t="shared" si="1"/>
        <v>2031</v>
      </c>
      <c r="C21" s="132">
        <f t="shared" si="2"/>
        <v>61.3</v>
      </c>
      <c r="D21" s="140">
        <v>12</v>
      </c>
      <c r="E21" s="134">
        <f t="shared" si="0"/>
        <v>61.29999999999999</v>
      </c>
      <c r="F21" s="123"/>
      <c r="H21" s="173"/>
      <c r="N21" s="121"/>
    </row>
    <row r="22" spans="2:14">
      <c r="B22" s="140">
        <f t="shared" si="1"/>
        <v>2032</v>
      </c>
      <c r="C22" s="132">
        <f t="shared" si="2"/>
        <v>62.71</v>
      </c>
      <c r="D22" s="140">
        <v>12</v>
      </c>
      <c r="E22" s="134">
        <f t="shared" si="0"/>
        <v>62.71</v>
      </c>
      <c r="F22" s="123"/>
      <c r="H22" s="173"/>
      <c r="N22" s="121"/>
    </row>
    <row r="23" spans="2:14">
      <c r="B23" s="140">
        <f t="shared" si="1"/>
        <v>2033</v>
      </c>
      <c r="C23" s="132">
        <f t="shared" si="2"/>
        <v>64.150000000000006</v>
      </c>
      <c r="D23" s="140">
        <v>12</v>
      </c>
      <c r="E23" s="134">
        <f t="shared" si="0"/>
        <v>64.150000000000006</v>
      </c>
      <c r="F23" s="123"/>
      <c r="H23" s="173"/>
      <c r="N23" s="121"/>
    </row>
    <row r="24" spans="2:14">
      <c r="B24" s="140">
        <f t="shared" si="1"/>
        <v>2034</v>
      </c>
      <c r="C24" s="132">
        <f t="shared" si="2"/>
        <v>65.63</v>
      </c>
      <c r="D24" s="140">
        <v>12</v>
      </c>
      <c r="E24" s="134">
        <f t="shared" si="0"/>
        <v>65.63</v>
      </c>
      <c r="F24" s="123"/>
      <c r="H24" s="173"/>
      <c r="N24" s="121"/>
    </row>
    <row r="25" spans="2:14">
      <c r="B25" s="140">
        <f t="shared" si="1"/>
        <v>2035</v>
      </c>
      <c r="C25" s="132">
        <f t="shared" si="2"/>
        <v>67.069999999999993</v>
      </c>
      <c r="D25" s="140">
        <v>12</v>
      </c>
      <c r="E25" s="134">
        <f t="shared" si="0"/>
        <v>67.069999999999993</v>
      </c>
      <c r="F25" s="123"/>
      <c r="H25" s="173"/>
      <c r="N25" s="121"/>
    </row>
    <row r="26" spans="2:14">
      <c r="B26" s="140">
        <f t="shared" si="1"/>
        <v>2036</v>
      </c>
      <c r="C26" s="132">
        <f t="shared" si="2"/>
        <v>68.55</v>
      </c>
      <c r="D26" s="140">
        <v>12</v>
      </c>
      <c r="E26" s="134">
        <f t="shared" si="0"/>
        <v>68.55</v>
      </c>
      <c r="F26" s="123"/>
      <c r="H26" s="173"/>
      <c r="N26" s="121"/>
    </row>
    <row r="27" spans="2:14">
      <c r="B27" s="140">
        <f t="shared" si="1"/>
        <v>2037</v>
      </c>
      <c r="C27" s="132">
        <f t="shared" si="2"/>
        <v>70.06</v>
      </c>
      <c r="D27" s="140">
        <v>12</v>
      </c>
      <c r="E27" s="134">
        <f t="shared" si="0"/>
        <v>70.06</v>
      </c>
      <c r="F27" s="123"/>
      <c r="H27" s="173"/>
      <c r="N27" s="121"/>
    </row>
    <row r="28" spans="2:14">
      <c r="B28" s="140">
        <f t="shared" si="1"/>
        <v>2038</v>
      </c>
      <c r="C28" s="132">
        <f t="shared" si="2"/>
        <v>71.67</v>
      </c>
      <c r="D28" s="140">
        <v>12</v>
      </c>
      <c r="E28" s="134">
        <f t="shared" si="0"/>
        <v>71.67</v>
      </c>
      <c r="F28" s="123"/>
      <c r="H28" s="173"/>
      <c r="N28" s="121"/>
    </row>
    <row r="29" spans="2:14">
      <c r="B29" s="140">
        <f t="shared" si="1"/>
        <v>2039</v>
      </c>
      <c r="C29" s="132">
        <f t="shared" si="2"/>
        <v>73.319999999999993</v>
      </c>
      <c r="D29" s="140">
        <v>12</v>
      </c>
      <c r="E29" s="134">
        <f t="shared" si="0"/>
        <v>73.319999999999993</v>
      </c>
      <c r="F29" s="123"/>
      <c r="H29" s="173"/>
      <c r="N29" s="121"/>
    </row>
    <row r="30" spans="2:14">
      <c r="B30" s="140">
        <f t="shared" si="1"/>
        <v>2040</v>
      </c>
      <c r="C30" s="132">
        <f t="shared" si="2"/>
        <v>75.010000000000005</v>
      </c>
      <c r="D30" s="140">
        <v>12</v>
      </c>
      <c r="E30" s="134">
        <f t="shared" si="0"/>
        <v>75.010000000000005</v>
      </c>
      <c r="F30" s="123"/>
      <c r="H30" s="173"/>
      <c r="N30" s="121"/>
    </row>
    <row r="31" spans="2:14">
      <c r="B31" s="140">
        <f t="shared" si="1"/>
        <v>2041</v>
      </c>
      <c r="C31" s="132">
        <f t="shared" si="2"/>
        <v>76.739999999999995</v>
      </c>
      <c r="D31" s="140">
        <v>12</v>
      </c>
      <c r="E31" s="134">
        <f t="shared" si="0"/>
        <v>76.739999999999995</v>
      </c>
      <c r="F31" s="123"/>
      <c r="H31" s="173"/>
      <c r="N31" s="121"/>
    </row>
    <row r="32" spans="2:14">
      <c r="B32" s="140">
        <f t="shared" si="1"/>
        <v>2042</v>
      </c>
      <c r="C32" s="132">
        <f t="shared" si="2"/>
        <v>78.510000000000005</v>
      </c>
      <c r="D32" s="140">
        <v>12</v>
      </c>
      <c r="E32" s="134">
        <f t="shared" si="0"/>
        <v>78.510000000000005</v>
      </c>
      <c r="F32" s="123"/>
      <c r="G32" s="159"/>
      <c r="H32" s="173"/>
      <c r="N32" s="121"/>
    </row>
    <row r="33" spans="2:14">
      <c r="B33" s="140"/>
      <c r="C33" s="136"/>
      <c r="D33" s="132"/>
      <c r="E33" s="132"/>
      <c r="F33" s="133"/>
      <c r="G33" s="132"/>
      <c r="H33" s="132"/>
      <c r="I33" s="134"/>
      <c r="J33" s="134"/>
      <c r="K33" s="143"/>
    </row>
    <row r="34" spans="2:14">
      <c r="B34" s="130"/>
      <c r="C34" s="136"/>
      <c r="D34" s="132"/>
      <c r="E34" s="132"/>
      <c r="F34" s="133"/>
      <c r="G34" s="132"/>
      <c r="H34" s="132"/>
      <c r="I34" s="134"/>
      <c r="J34" s="134"/>
      <c r="K34" s="143"/>
    </row>
    <row r="35" spans="2:14" ht="15">
      <c r="C35" s="206" t="s">
        <v>104</v>
      </c>
      <c r="D35" s="207">
        <v>750</v>
      </c>
      <c r="E35" s="132"/>
      <c r="F35" s="133"/>
      <c r="G35" s="132"/>
      <c r="H35" s="132"/>
      <c r="I35" s="134"/>
      <c r="J35" s="134"/>
      <c r="K35" s="143"/>
    </row>
    <row r="36" spans="2:14" ht="39.75" customHeight="1">
      <c r="B36" s="303" t="s">
        <v>108</v>
      </c>
      <c r="C36" s="304"/>
      <c r="D36" s="217">
        <v>48.5910167356733</v>
      </c>
      <c r="E36" s="132"/>
      <c r="F36" s="133"/>
      <c r="G36" s="132"/>
      <c r="H36" s="132"/>
      <c r="I36" s="134"/>
      <c r="J36" s="134"/>
      <c r="K36" s="143"/>
    </row>
    <row r="39" spans="2:14" ht="13.5" thickBot="1">
      <c r="D39" s="160"/>
    </row>
    <row r="40" spans="2:14" ht="13.5" thickBot="1">
      <c r="C40" s="40" t="str">
        <f>"Company Official Inflation Forecast Dated "&amp;TEXT('Table 4'!$G$5,"mmmm dd, yyyy")</f>
        <v>Company Official Inflation Forecast Dated March 29, 2019</v>
      </c>
      <c r="D40" s="148"/>
      <c r="E40" s="148"/>
      <c r="F40" s="148"/>
      <c r="G40" s="148"/>
      <c r="H40" s="148"/>
      <c r="I40" s="148"/>
      <c r="J40" s="148"/>
      <c r="K40" s="150"/>
    </row>
    <row r="41" spans="2:14">
      <c r="C41" s="87">
        <v>2017</v>
      </c>
      <c r="D41" s="41">
        <v>0.02</v>
      </c>
      <c r="E41" s="85"/>
      <c r="F41" s="87">
        <f>C49+1</f>
        <v>2026</v>
      </c>
      <c r="G41" s="41">
        <v>2.3E-2</v>
      </c>
      <c r="H41" s="85"/>
      <c r="I41" s="87">
        <f>F49+1</f>
        <v>2035</v>
      </c>
      <c r="J41" s="41">
        <v>2.1999999999999999E-2</v>
      </c>
    </row>
    <row r="42" spans="2:14">
      <c r="C42" s="87">
        <f t="shared" ref="C42:C49" si="3">C41+1</f>
        <v>2018</v>
      </c>
      <c r="D42" s="41">
        <v>2.3E-2</v>
      </c>
      <c r="E42" s="85"/>
      <c r="F42" s="87">
        <f t="shared" ref="F42:F49" si="4">F41+1</f>
        <v>2027</v>
      </c>
      <c r="G42" s="41">
        <v>2.3E-2</v>
      </c>
      <c r="H42" s="85"/>
      <c r="I42" s="87">
        <f t="shared" ref="I42:I49" si="5">I41+1</f>
        <v>2036</v>
      </c>
      <c r="J42" s="41">
        <v>2.1999999999999999E-2</v>
      </c>
    </row>
    <row r="43" spans="2:14">
      <c r="C43" s="87">
        <f t="shared" si="3"/>
        <v>2019</v>
      </c>
      <c r="D43" s="41">
        <v>0.02</v>
      </c>
      <c r="E43" s="85"/>
      <c r="F43" s="87">
        <f t="shared" si="4"/>
        <v>2028</v>
      </c>
      <c r="G43" s="41">
        <v>2.4E-2</v>
      </c>
      <c r="H43" s="85"/>
      <c r="I43" s="87">
        <f t="shared" si="5"/>
        <v>2037</v>
      </c>
      <c r="J43" s="41">
        <v>2.1999999999999999E-2</v>
      </c>
    </row>
    <row r="44" spans="2:14">
      <c r="C44" s="87">
        <f t="shared" si="3"/>
        <v>2020</v>
      </c>
      <c r="D44" s="41">
        <v>2.1999999999999999E-2</v>
      </c>
      <c r="E44" s="85"/>
      <c r="F44" s="87">
        <f t="shared" si="4"/>
        <v>2029</v>
      </c>
      <c r="G44" s="41">
        <v>2.4E-2</v>
      </c>
      <c r="H44" s="85"/>
      <c r="I44" s="87">
        <f t="shared" si="5"/>
        <v>2038</v>
      </c>
      <c r="J44" s="41">
        <v>2.3E-2</v>
      </c>
    </row>
    <row r="45" spans="2:14">
      <c r="C45" s="87">
        <f t="shared" si="3"/>
        <v>2021</v>
      </c>
      <c r="D45" s="41">
        <v>2.4E-2</v>
      </c>
      <c r="E45" s="85"/>
      <c r="F45" s="87">
        <f t="shared" si="4"/>
        <v>2030</v>
      </c>
      <c r="G45" s="41">
        <v>2.3E-2</v>
      </c>
      <c r="H45" s="85"/>
      <c r="I45" s="87">
        <f t="shared" si="5"/>
        <v>2039</v>
      </c>
      <c r="J45" s="41">
        <v>2.3E-2</v>
      </c>
    </row>
    <row r="46" spans="2:14">
      <c r="C46" s="87">
        <f t="shared" si="3"/>
        <v>2022</v>
      </c>
      <c r="D46" s="41">
        <v>2.4E-2</v>
      </c>
      <c r="E46" s="85"/>
      <c r="F46" s="87">
        <f t="shared" si="4"/>
        <v>2031</v>
      </c>
      <c r="G46" s="41">
        <v>2.3E-2</v>
      </c>
      <c r="H46" s="85"/>
      <c r="I46" s="87">
        <f t="shared" si="5"/>
        <v>2040</v>
      </c>
      <c r="J46" s="41">
        <v>2.3E-2</v>
      </c>
    </row>
    <row r="47" spans="2:14" s="123" customFormat="1">
      <c r="C47" s="87">
        <f t="shared" si="3"/>
        <v>2023</v>
      </c>
      <c r="D47" s="41">
        <v>2.4E-2</v>
      </c>
      <c r="E47" s="86"/>
      <c r="F47" s="87">
        <f t="shared" si="4"/>
        <v>2032</v>
      </c>
      <c r="G47" s="41">
        <v>2.3E-2</v>
      </c>
      <c r="H47" s="86"/>
      <c r="I47" s="87">
        <f t="shared" si="5"/>
        <v>2041</v>
      </c>
      <c r="J47" s="41">
        <v>2.3E-2</v>
      </c>
      <c r="N47" s="175"/>
    </row>
    <row r="48" spans="2:14" s="123" customFormat="1">
      <c r="C48" s="87">
        <f t="shared" si="3"/>
        <v>2024</v>
      </c>
      <c r="D48" s="41">
        <v>2.4E-2</v>
      </c>
      <c r="E48" s="86"/>
      <c r="F48" s="87">
        <f t="shared" si="4"/>
        <v>2033</v>
      </c>
      <c r="G48" s="41">
        <v>2.3E-2</v>
      </c>
      <c r="H48" s="86"/>
      <c r="I48" s="87">
        <f t="shared" si="5"/>
        <v>2042</v>
      </c>
      <c r="J48" s="41">
        <v>2.3E-2</v>
      </c>
      <c r="N48" s="175"/>
    </row>
    <row r="49" spans="3:14" s="123" customFormat="1">
      <c r="C49" s="87">
        <f t="shared" si="3"/>
        <v>2025</v>
      </c>
      <c r="D49" s="41">
        <v>2.3E-2</v>
      </c>
      <c r="E49" s="86"/>
      <c r="F49" s="87">
        <f t="shared" si="4"/>
        <v>2034</v>
      </c>
      <c r="G49" s="41">
        <v>2.3E-2</v>
      </c>
      <c r="H49" s="86"/>
      <c r="I49" s="87">
        <f t="shared" si="5"/>
        <v>2043</v>
      </c>
      <c r="J49" s="41">
        <v>2.3E-2</v>
      </c>
      <c r="N49" s="175"/>
    </row>
    <row r="50" spans="3:14" s="123" customFormat="1">
      <c r="N50" s="175"/>
    </row>
    <row r="51" spans="3:14" s="123" customFormat="1">
      <c r="N51" s="175"/>
    </row>
    <row r="68" spans="3:4">
      <c r="C68" s="156"/>
      <c r="D68" s="160"/>
    </row>
    <row r="69" spans="3:4">
      <c r="C69" s="156"/>
      <c r="D69" s="160"/>
    </row>
    <row r="70" spans="3:4">
      <c r="C70" s="156"/>
      <c r="D70" s="160"/>
    </row>
    <row r="71" spans="3:4">
      <c r="C71" s="156"/>
      <c r="D71" s="160"/>
    </row>
    <row r="72" spans="3:4">
      <c r="C72" s="156"/>
      <c r="D72" s="160"/>
    </row>
    <row r="73" spans="3:4">
      <c r="C73" s="156"/>
      <c r="D73" s="160"/>
    </row>
    <row r="74" spans="3:4">
      <c r="C74" s="156"/>
      <c r="D74" s="160"/>
    </row>
    <row r="75" spans="3:4">
      <c r="C75" s="156"/>
      <c r="D75" s="160"/>
    </row>
    <row r="76" spans="3:4">
      <c r="C76" s="156"/>
      <c r="D76" s="160"/>
    </row>
    <row r="77" spans="3:4">
      <c r="C77" s="156"/>
      <c r="D77" s="160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G24" sqref="G24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88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14.435115628222126</v>
      </c>
      <c r="G13" s="132">
        <f>ROUND(G12*(1+(IFERROR(INDEX($D$66:$D$74,MATCH($B13,$C$66:$C$74,0),1),0)+IFERROR(INDEX($G$66:$G$74,MATCH($B13,$F$66:$F$74,0),1),0)+IFERROR(INDEX($J$66:$J$74,MATCH($B13,$I$66:$I$74,0),1),0))),2)</f>
        <v>0</v>
      </c>
      <c r="H13" s="132">
        <f>ROUND(H12*(1+(IFERROR(INDEX($D$66:$D$74,MATCH($B13,$C$66:$C$74,0),1),0)+IFERROR(INDEX($G$66:$G$74,MATCH($B13,$F$66:$F$74,0),1),0)+IFERROR(INDEX($J$66:$J$74,MATCH($B13,$I$66:$I$74,0),1),0))),2)</f>
        <v>0</v>
      </c>
      <c r="I13" s="134">
        <f t="shared" si="2"/>
        <v>14.435115628222126</v>
      </c>
      <c r="J13" s="134">
        <f t="shared" si="3"/>
        <v>39.200000000000003</v>
      </c>
      <c r="K13" s="132">
        <f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ref="D14:H36" si="5">ROUND(E13*(1+(IFERROR(INDEX($D$66:$D$74,MATCH($B14,$C$66:$C$74,0),1),0)+IFERROR(INDEX($G$66:$G$74,MATCH($B14,$F$66:$F$74,0),1),0)+IFERROR(INDEX($J$66:$J$74,MATCH($B14,$I$66:$I$74,0),1),0))),2)</f>
        <v>40.06</v>
      </c>
      <c r="F14" s="134">
        <f t="shared" si="1"/>
        <v>14.751804389453529</v>
      </c>
      <c r="G14" s="132">
        <f t="shared" si="5"/>
        <v>0</v>
      </c>
      <c r="H14" s="132">
        <f t="shared" si="5"/>
        <v>0</v>
      </c>
      <c r="I14" s="134">
        <f t="shared" si="2"/>
        <v>14.751804389453529</v>
      </c>
      <c r="J14" s="134">
        <f t="shared" si="3"/>
        <v>40.06</v>
      </c>
      <c r="K14" s="132">
        <f t="shared" ref="K14:K36" si="6">ROUND(K13*(1+(IFERROR(INDEX($D$66:$D$74,MATCH($B14,$C$66:$C$74,0),1),0)+IFERROR(INDEX($G$66:$G$74,MATCH($B14,$F$66:$F$74,0),1),0)+IFERROR(INDEX($J$66:$J$74,MATCH($B14,$I$66:$I$74,0),1),0))),2)</f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15.105317425246724</v>
      </c>
      <c r="G15" s="132">
        <f t="shared" si="5"/>
        <v>0</v>
      </c>
      <c r="H15" s="132">
        <f t="shared" si="5"/>
        <v>0</v>
      </c>
      <c r="I15" s="134">
        <f t="shared" si="2"/>
        <v>15.105317425246724</v>
      </c>
      <c r="J15" s="134">
        <f t="shared" si="3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15.466195315952277</v>
      </c>
      <c r="G16" s="132">
        <f t="shared" si="5"/>
        <v>0</v>
      </c>
      <c r="H16" s="132">
        <f t="shared" si="5"/>
        <v>0</v>
      </c>
      <c r="I16" s="134">
        <f t="shared" si="2"/>
        <v>15.466195315952277</v>
      </c>
      <c r="J16" s="134">
        <f t="shared" si="3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15.838120489026366</v>
      </c>
      <c r="G17" s="132">
        <f t="shared" si="5"/>
        <v>0</v>
      </c>
      <c r="H17" s="132">
        <f t="shared" si="5"/>
        <v>0</v>
      </c>
      <c r="I17" s="134">
        <f t="shared" si="2"/>
        <v>15.838120489026366</v>
      </c>
      <c r="J17" s="134">
        <f t="shared" si="3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16.217410517012816</v>
      </c>
      <c r="G18" s="132">
        <f t="shared" si="5"/>
        <v>0</v>
      </c>
      <c r="H18" s="132">
        <f t="shared" si="5"/>
        <v>0</v>
      </c>
      <c r="I18" s="134">
        <f t="shared" si="2"/>
        <v>16.217410517012816</v>
      </c>
      <c r="J18" s="134">
        <f t="shared" si="3"/>
        <v>44.04</v>
      </c>
      <c r="K18" s="132">
        <f t="shared" si="6"/>
        <v>0.69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16.589335690086905</v>
      </c>
      <c r="G19" s="132">
        <f t="shared" si="5"/>
        <v>0</v>
      </c>
      <c r="H19" s="132">
        <f t="shared" si="5"/>
        <v>0</v>
      </c>
      <c r="I19" s="134">
        <f t="shared" si="2"/>
        <v>16.589335690086905</v>
      </c>
      <c r="J19" s="134">
        <f t="shared" si="3"/>
        <v>45.05</v>
      </c>
      <c r="K19" s="132">
        <f t="shared" si="6"/>
        <v>0.71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16.972308145529535</v>
      </c>
      <c r="G20" s="132">
        <f t="shared" si="5"/>
        <v>0</v>
      </c>
      <c r="H20" s="132">
        <f t="shared" si="5"/>
        <v>0</v>
      </c>
      <c r="I20" s="134">
        <f t="shared" si="2"/>
        <v>16.972308145529535</v>
      </c>
      <c r="J20" s="134">
        <f t="shared" si="3"/>
        <v>46.09</v>
      </c>
      <c r="K20" s="132">
        <f t="shared" si="6"/>
        <v>0.73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17.362645455884518</v>
      </c>
      <c r="G21" s="132">
        <f t="shared" si="5"/>
        <v>0</v>
      </c>
      <c r="H21" s="132">
        <f t="shared" si="5"/>
        <v>0</v>
      </c>
      <c r="I21" s="134">
        <f t="shared" si="2"/>
        <v>17.362645455884518</v>
      </c>
      <c r="J21" s="134">
        <f t="shared" si="3"/>
        <v>47.15</v>
      </c>
      <c r="K21" s="132">
        <f t="shared" si="6"/>
        <v>0.75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17.778759758432759</v>
      </c>
      <c r="G22" s="132">
        <f t="shared" si="5"/>
        <v>0</v>
      </c>
      <c r="H22" s="132">
        <f t="shared" si="5"/>
        <v>0</v>
      </c>
      <c r="I22" s="134">
        <f t="shared" si="2"/>
        <v>17.778759758432759</v>
      </c>
      <c r="J22" s="134">
        <f t="shared" si="3"/>
        <v>48.28</v>
      </c>
      <c r="K22" s="132">
        <f t="shared" si="6"/>
        <v>0.77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18.205921343349537</v>
      </c>
      <c r="G23" s="132">
        <f t="shared" si="5"/>
        <v>0</v>
      </c>
      <c r="H23" s="132">
        <f t="shared" si="5"/>
        <v>0</v>
      </c>
      <c r="I23" s="134">
        <f t="shared" si="2"/>
        <v>18.205921343349537</v>
      </c>
      <c r="J23" s="134">
        <f t="shared" si="3"/>
        <v>49.44</v>
      </c>
      <c r="K23" s="132">
        <f t="shared" si="6"/>
        <v>0.79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1351.8149072293081</v>
      </c>
      <c r="D24" s="132">
        <f>C24*$C$62</f>
        <v>96.059849537504135</v>
      </c>
      <c r="E24" s="132">
        <f t="shared" si="5"/>
        <v>50.58</v>
      </c>
      <c r="F24" s="134">
        <f t="shared" ref="F24:F29" si="8">(D24+E24)/(8.76*$C$63)</f>
        <v>53.999060810687922</v>
      </c>
      <c r="G24" s="132">
        <f t="shared" si="5"/>
        <v>0</v>
      </c>
      <c r="H24" s="132">
        <f t="shared" si="5"/>
        <v>0</v>
      </c>
      <c r="I24" s="134">
        <f t="shared" ref="I24:I29" si="9">F24+H24+G24</f>
        <v>53.999060810687922</v>
      </c>
      <c r="J24" s="134">
        <f t="shared" ref="J24:J29" si="10">ROUND(I24*$C$63*8.76,2)</f>
        <v>146.63999999999999</v>
      </c>
      <c r="K24" s="132">
        <f t="shared" si="6"/>
        <v>0.81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98.27</v>
      </c>
      <c r="E25" s="132">
        <f t="shared" si="5"/>
        <v>51.74</v>
      </c>
      <c r="F25" s="134">
        <f t="shared" si="8"/>
        <v>55.240094270142876</v>
      </c>
      <c r="G25" s="132">
        <f t="shared" si="5"/>
        <v>0</v>
      </c>
      <c r="H25" s="132">
        <f t="shared" si="5"/>
        <v>0</v>
      </c>
      <c r="I25" s="134">
        <f t="shared" si="9"/>
        <v>55.240094270142876</v>
      </c>
      <c r="J25" s="134">
        <f t="shared" si="10"/>
        <v>150.01</v>
      </c>
      <c r="K25" s="132">
        <f t="shared" si="6"/>
        <v>0.83</v>
      </c>
      <c r="L25" s="123"/>
      <c r="M25" s="250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ref="D26:D36" si="11">ROUND(D25*(1+(IFERROR(INDEX($D$66:$D$74,MATCH($B26,$C$66:$C$74,0),1),0)+IFERROR(INDEX($G$66:$G$74,MATCH($B26,$F$66:$F$74,0),1),0)+IFERROR(INDEX($J$66:$J$74,MATCH($B26,$I$66:$I$74,0),1),0))),2)</f>
        <v>100.53</v>
      </c>
      <c r="E26" s="132">
        <f t="shared" si="5"/>
        <v>52.93</v>
      </c>
      <c r="F26" s="134">
        <f t="shared" si="8"/>
        <v>56.510531742524677</v>
      </c>
      <c r="G26" s="132">
        <f t="shared" si="5"/>
        <v>0</v>
      </c>
      <c r="H26" s="132">
        <f t="shared" si="5"/>
        <v>0</v>
      </c>
      <c r="I26" s="134">
        <f t="shared" si="9"/>
        <v>56.510531742524677</v>
      </c>
      <c r="J26" s="134">
        <f t="shared" si="10"/>
        <v>153.46</v>
      </c>
      <c r="K26" s="132">
        <f t="shared" si="6"/>
        <v>0.85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11"/>
        <v>102.84</v>
      </c>
      <c r="E27" s="132">
        <f t="shared" si="5"/>
        <v>54.15</v>
      </c>
      <c r="F27" s="134">
        <f t="shared" si="8"/>
        <v>57.810428634555905</v>
      </c>
      <c r="G27" s="132">
        <f t="shared" si="5"/>
        <v>0</v>
      </c>
      <c r="H27" s="132">
        <f t="shared" si="5"/>
        <v>0</v>
      </c>
      <c r="I27" s="134">
        <f t="shared" si="9"/>
        <v>57.810428634555905</v>
      </c>
      <c r="J27" s="134">
        <f t="shared" si="10"/>
        <v>156.99</v>
      </c>
      <c r="K27" s="132">
        <f t="shared" si="6"/>
        <v>0.87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11"/>
        <v>105.21</v>
      </c>
      <c r="E28" s="132">
        <f t="shared" si="5"/>
        <v>55.4</v>
      </c>
      <c r="F28" s="134">
        <f t="shared" si="8"/>
        <v>59.143467373692737</v>
      </c>
      <c r="G28" s="132">
        <f t="shared" si="5"/>
        <v>0</v>
      </c>
      <c r="H28" s="132">
        <f t="shared" si="5"/>
        <v>0</v>
      </c>
      <c r="I28" s="134">
        <f t="shared" si="9"/>
        <v>59.143467373692737</v>
      </c>
      <c r="J28" s="134">
        <f t="shared" si="10"/>
        <v>160.61000000000001</v>
      </c>
      <c r="K28" s="132">
        <f t="shared" si="6"/>
        <v>0.89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11"/>
        <v>107.52</v>
      </c>
      <c r="E29" s="132">
        <f t="shared" si="5"/>
        <v>56.62</v>
      </c>
      <c r="F29" s="134">
        <f t="shared" si="8"/>
        <v>60.443364265723964</v>
      </c>
      <c r="G29" s="132">
        <f t="shared" si="5"/>
        <v>0</v>
      </c>
      <c r="H29" s="132">
        <f t="shared" si="5"/>
        <v>0</v>
      </c>
      <c r="I29" s="134">
        <f t="shared" si="9"/>
        <v>60.443364265723964</v>
      </c>
      <c r="J29" s="134">
        <f t="shared" si="10"/>
        <v>164.14</v>
      </c>
      <c r="K29" s="132">
        <f t="shared" si="6"/>
        <v>0.91</v>
      </c>
      <c r="L29" s="123"/>
      <c r="P29" s="169">
        <f t="shared" ref="P29:P36" si="12">ROUND(P28*(1+$J66),2)</f>
        <v>0</v>
      </c>
    </row>
    <row r="30" spans="2:17">
      <c r="B30" s="140">
        <f t="shared" si="0"/>
        <v>2036</v>
      </c>
      <c r="C30" s="141"/>
      <c r="D30" s="132">
        <f t="shared" si="11"/>
        <v>109.89</v>
      </c>
      <c r="E30" s="132">
        <f t="shared" si="5"/>
        <v>57.87</v>
      </c>
      <c r="F30" s="134">
        <f t="shared" si="1"/>
        <v>61.776403004860803</v>
      </c>
      <c r="G30" s="132">
        <f t="shared" si="5"/>
        <v>0</v>
      </c>
      <c r="H30" s="132">
        <f t="shared" si="5"/>
        <v>0</v>
      </c>
      <c r="I30" s="134">
        <f t="shared" si="2"/>
        <v>61.776403004860803</v>
      </c>
      <c r="J30" s="134">
        <f t="shared" si="3"/>
        <v>167.76</v>
      </c>
      <c r="K30" s="132">
        <f t="shared" si="6"/>
        <v>0.93</v>
      </c>
      <c r="L30" s="123"/>
      <c r="P30" s="169">
        <f t="shared" si="12"/>
        <v>0</v>
      </c>
    </row>
    <row r="31" spans="2:17">
      <c r="B31" s="140">
        <f t="shared" si="0"/>
        <v>2037</v>
      </c>
      <c r="C31" s="141"/>
      <c r="D31" s="132">
        <f t="shared" si="11"/>
        <v>112.31</v>
      </c>
      <c r="E31" s="132">
        <f t="shared" si="5"/>
        <v>59.14</v>
      </c>
      <c r="F31" s="134">
        <f t="shared" si="1"/>
        <v>63.1352187361909</v>
      </c>
      <c r="G31" s="132">
        <f t="shared" si="5"/>
        <v>0</v>
      </c>
      <c r="H31" s="132">
        <f t="shared" si="5"/>
        <v>0</v>
      </c>
      <c r="I31" s="134">
        <f t="shared" si="2"/>
        <v>63.1352187361909</v>
      </c>
      <c r="J31" s="134">
        <f t="shared" si="3"/>
        <v>171.45</v>
      </c>
      <c r="K31" s="132">
        <f t="shared" si="6"/>
        <v>0.95</v>
      </c>
      <c r="L31" s="123"/>
      <c r="P31" s="169">
        <f t="shared" si="12"/>
        <v>0</v>
      </c>
    </row>
    <row r="32" spans="2:17">
      <c r="B32" s="140">
        <f t="shared" si="0"/>
        <v>2038</v>
      </c>
      <c r="C32" s="141"/>
      <c r="D32" s="132">
        <f t="shared" si="11"/>
        <v>114.89</v>
      </c>
      <c r="E32" s="132">
        <f t="shared" si="5"/>
        <v>60.5</v>
      </c>
      <c r="F32" s="134">
        <f t="shared" si="1"/>
        <v>64.58609515392547</v>
      </c>
      <c r="G32" s="132">
        <f t="shared" si="5"/>
        <v>0</v>
      </c>
      <c r="H32" s="132">
        <f t="shared" si="5"/>
        <v>0</v>
      </c>
      <c r="I32" s="134">
        <f t="shared" si="2"/>
        <v>64.58609515392547</v>
      </c>
      <c r="J32" s="134">
        <f t="shared" si="3"/>
        <v>175.39</v>
      </c>
      <c r="K32" s="132">
        <f t="shared" si="6"/>
        <v>0.97</v>
      </c>
      <c r="L32" s="123"/>
      <c r="P32" s="169">
        <f t="shared" si="12"/>
        <v>0</v>
      </c>
    </row>
    <row r="33" spans="2:16">
      <c r="B33" s="140">
        <f t="shared" si="0"/>
        <v>2039</v>
      </c>
      <c r="C33" s="141"/>
      <c r="D33" s="132">
        <f t="shared" si="11"/>
        <v>117.53</v>
      </c>
      <c r="E33" s="132">
        <f t="shared" si="5"/>
        <v>61.89</v>
      </c>
      <c r="F33" s="134">
        <f t="shared" si="1"/>
        <v>66.070113418765658</v>
      </c>
      <c r="G33" s="132">
        <f t="shared" si="5"/>
        <v>0</v>
      </c>
      <c r="H33" s="132">
        <f t="shared" si="5"/>
        <v>0</v>
      </c>
      <c r="I33" s="134">
        <f t="shared" si="2"/>
        <v>66.070113418765658</v>
      </c>
      <c r="J33" s="134">
        <f t="shared" si="3"/>
        <v>179.42</v>
      </c>
      <c r="K33" s="132">
        <f t="shared" si="6"/>
        <v>0.99</v>
      </c>
      <c r="L33" s="123"/>
      <c r="P33" s="169">
        <f t="shared" si="12"/>
        <v>0</v>
      </c>
    </row>
    <row r="34" spans="2:16">
      <c r="B34" s="140">
        <f t="shared" si="0"/>
        <v>2040</v>
      </c>
      <c r="C34" s="141"/>
      <c r="D34" s="132">
        <f t="shared" si="11"/>
        <v>120.23</v>
      </c>
      <c r="E34" s="132">
        <f t="shared" si="5"/>
        <v>63.31</v>
      </c>
      <c r="F34" s="134">
        <f t="shared" si="1"/>
        <v>67.587273530711457</v>
      </c>
      <c r="G34" s="132">
        <f t="shared" si="5"/>
        <v>0</v>
      </c>
      <c r="H34" s="132">
        <f t="shared" si="5"/>
        <v>0</v>
      </c>
      <c r="I34" s="134">
        <f t="shared" si="2"/>
        <v>67.587273530711457</v>
      </c>
      <c r="J34" s="134">
        <f t="shared" si="3"/>
        <v>183.54</v>
      </c>
      <c r="K34" s="132">
        <f t="shared" si="6"/>
        <v>1.01</v>
      </c>
      <c r="L34" s="123"/>
      <c r="P34" s="169">
        <f t="shared" si="12"/>
        <v>0</v>
      </c>
    </row>
    <row r="35" spans="2:16">
      <c r="B35" s="140">
        <f t="shared" si="0"/>
        <v>2041</v>
      </c>
      <c r="C35" s="141"/>
      <c r="D35" s="132">
        <f t="shared" si="11"/>
        <v>123</v>
      </c>
      <c r="E35" s="132">
        <f t="shared" si="5"/>
        <v>64.77</v>
      </c>
      <c r="F35" s="134">
        <f t="shared" si="1"/>
        <v>69.144940344675206</v>
      </c>
      <c r="G35" s="132">
        <f t="shared" si="5"/>
        <v>0</v>
      </c>
      <c r="H35" s="132">
        <f t="shared" si="5"/>
        <v>0</v>
      </c>
      <c r="I35" s="134">
        <f t="shared" si="2"/>
        <v>69.144940344675206</v>
      </c>
      <c r="J35" s="134">
        <f t="shared" si="3"/>
        <v>187.77</v>
      </c>
      <c r="K35" s="132">
        <f t="shared" si="6"/>
        <v>1.03</v>
      </c>
      <c r="L35" s="123"/>
      <c r="P35" s="169">
        <f t="shared" si="12"/>
        <v>0</v>
      </c>
    </row>
    <row r="36" spans="2:16">
      <c r="B36" s="140">
        <f t="shared" si="0"/>
        <v>2042</v>
      </c>
      <c r="C36" s="141"/>
      <c r="D36" s="132">
        <f t="shared" si="11"/>
        <v>125.83</v>
      </c>
      <c r="E36" s="132">
        <f t="shared" si="5"/>
        <v>66.260000000000005</v>
      </c>
      <c r="F36" s="134">
        <f t="shared" si="1"/>
        <v>70.735749005744594</v>
      </c>
      <c r="G36" s="132">
        <f t="shared" si="5"/>
        <v>0</v>
      </c>
      <c r="H36" s="132">
        <f t="shared" si="5"/>
        <v>0</v>
      </c>
      <c r="I36" s="134">
        <f t="shared" si="2"/>
        <v>70.735749005744594</v>
      </c>
      <c r="J36" s="134">
        <f t="shared" si="3"/>
        <v>192.09</v>
      </c>
      <c r="K36" s="132">
        <f t="shared" si="6"/>
        <v>1.05</v>
      </c>
      <c r="L36" s="123"/>
      <c r="P36" s="169">
        <f t="shared" si="12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1351.8149072293081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3">C66+1</f>
        <v>2018</v>
      </c>
      <c r="D67" s="41">
        <v>2.3E-2</v>
      </c>
      <c r="E67" s="85"/>
      <c r="F67" s="87">
        <f t="shared" ref="F67:F74" si="14">F66+1</f>
        <v>2027</v>
      </c>
      <c r="G67" s="41">
        <v>2.3E-2</v>
      </c>
      <c r="H67" s="85"/>
      <c r="I67" s="87">
        <f t="shared" ref="I67:I74" si="15">I66+1</f>
        <v>2036</v>
      </c>
      <c r="J67" s="41">
        <v>2.1999999999999999E-2</v>
      </c>
    </row>
    <row r="68" spans="3:11">
      <c r="C68" s="87">
        <f t="shared" si="13"/>
        <v>2019</v>
      </c>
      <c r="D68" s="41">
        <v>0.02</v>
      </c>
      <c r="E68" s="85"/>
      <c r="F68" s="87">
        <f t="shared" si="14"/>
        <v>2028</v>
      </c>
      <c r="G68" s="41">
        <v>2.4E-2</v>
      </c>
      <c r="H68" s="85"/>
      <c r="I68" s="87">
        <f t="shared" si="15"/>
        <v>2037</v>
      </c>
      <c r="J68" s="41">
        <v>2.1999999999999999E-2</v>
      </c>
    </row>
    <row r="69" spans="3:11">
      <c r="C69" s="87">
        <f t="shared" si="13"/>
        <v>2020</v>
      </c>
      <c r="D69" s="41">
        <v>2.1999999999999999E-2</v>
      </c>
      <c r="E69" s="85"/>
      <c r="F69" s="87">
        <f t="shared" si="14"/>
        <v>2029</v>
      </c>
      <c r="G69" s="41">
        <v>2.4E-2</v>
      </c>
      <c r="H69" s="85"/>
      <c r="I69" s="87">
        <f t="shared" si="15"/>
        <v>2038</v>
      </c>
      <c r="J69" s="41">
        <v>2.3E-2</v>
      </c>
    </row>
    <row r="70" spans="3:11">
      <c r="C70" s="87">
        <f t="shared" si="13"/>
        <v>2021</v>
      </c>
      <c r="D70" s="41">
        <v>2.4E-2</v>
      </c>
      <c r="E70" s="85"/>
      <c r="F70" s="87">
        <f t="shared" si="14"/>
        <v>2030</v>
      </c>
      <c r="G70" s="41">
        <v>2.3E-2</v>
      </c>
      <c r="H70" s="85"/>
      <c r="I70" s="87">
        <f t="shared" si="15"/>
        <v>2039</v>
      </c>
      <c r="J70" s="41">
        <v>2.3E-2</v>
      </c>
    </row>
    <row r="71" spans="3:11">
      <c r="C71" s="87">
        <f t="shared" si="13"/>
        <v>2022</v>
      </c>
      <c r="D71" s="41">
        <v>2.4E-2</v>
      </c>
      <c r="E71" s="85"/>
      <c r="F71" s="87">
        <f t="shared" si="14"/>
        <v>2031</v>
      </c>
      <c r="G71" s="41">
        <v>2.3E-2</v>
      </c>
      <c r="H71" s="85"/>
      <c r="I71" s="87">
        <f t="shared" si="15"/>
        <v>2040</v>
      </c>
      <c r="J71" s="41">
        <v>2.3E-2</v>
      </c>
    </row>
    <row r="72" spans="3:11" s="123" customFormat="1">
      <c r="C72" s="87">
        <f t="shared" si="13"/>
        <v>2023</v>
      </c>
      <c r="D72" s="41">
        <v>2.4E-2</v>
      </c>
      <c r="E72" s="86"/>
      <c r="F72" s="87">
        <f t="shared" si="14"/>
        <v>2032</v>
      </c>
      <c r="G72" s="41">
        <v>2.3E-2</v>
      </c>
      <c r="H72" s="86"/>
      <c r="I72" s="87">
        <f t="shared" si="15"/>
        <v>2041</v>
      </c>
      <c r="J72" s="41">
        <v>2.3E-2</v>
      </c>
    </row>
    <row r="73" spans="3:11" s="123" customFormat="1">
      <c r="C73" s="87">
        <f t="shared" si="13"/>
        <v>2024</v>
      </c>
      <c r="D73" s="41">
        <v>2.4E-2</v>
      </c>
      <c r="E73" s="86"/>
      <c r="F73" s="87">
        <f t="shared" si="14"/>
        <v>2033</v>
      </c>
      <c r="G73" s="41">
        <v>2.3E-2</v>
      </c>
      <c r="H73" s="86"/>
      <c r="I73" s="87">
        <f t="shared" si="15"/>
        <v>2042</v>
      </c>
      <c r="J73" s="41">
        <v>2.3E-2</v>
      </c>
    </row>
    <row r="74" spans="3:11" s="123" customFormat="1">
      <c r="C74" s="87">
        <f t="shared" si="13"/>
        <v>2025</v>
      </c>
      <c r="D74" s="41">
        <v>2.3E-2</v>
      </c>
      <c r="E74" s="86"/>
      <c r="F74" s="87">
        <f t="shared" si="14"/>
        <v>2034</v>
      </c>
      <c r="G74" s="41">
        <v>2.3E-2</v>
      </c>
      <c r="H74" s="86"/>
      <c r="I74" s="87">
        <f t="shared" si="15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>
      <selection activeCell="C27" sqref="C27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TEXT($G$63,"0%")&amp;" Capacity Factor"</f>
        <v>41%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88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Wyoming DJ Wind Resource - 41%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37.565582271006477</v>
      </c>
      <c r="F11" s="133">
        <f t="shared" ref="F11:F36" si="1">(D11+E11)/(8.76*$G$63)</f>
        <v>10.383313507083287</v>
      </c>
      <c r="G11" s="133">
        <f>$C$58</f>
        <v>0.65</v>
      </c>
      <c r="H11" s="132">
        <f>ROUND(H10*(1+$D66),2)</f>
        <v>0</v>
      </c>
      <c r="I11" s="134">
        <f t="shared" ref="I11:I36" si="2">F11+H11+G11</f>
        <v>11.033313507083287</v>
      </c>
      <c r="J11" s="134">
        <f t="shared" ref="J11:J36" si="3">ROUND(I11*$G$63*8.76,2)</f>
        <v>39.92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10.622242860459718</v>
      </c>
      <c r="G12" s="132">
        <f>ROUND(G11*(1+(IFERROR(INDEX($D$66:$D$74,MATCH($B12,$C$66:$C$74,0),1),0)+IFERROR(INDEX($G$66:$G$74,MATCH($B12,$F$66:$F$74,0),1),0)+IFERROR(INDEX($J$66:$J$74,MATCH($B12,$I$66:$I$74,0),1),0))),2)</f>
        <v>0.66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11.282242860459718</v>
      </c>
      <c r="J12" s="134">
        <f t="shared" si="3"/>
        <v>40.82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10.835074684621935</v>
      </c>
      <c r="G13" s="132">
        <f t="shared" si="5"/>
        <v>0.67</v>
      </c>
      <c r="H13" s="132">
        <f t="shared" si="5"/>
        <v>0</v>
      </c>
      <c r="I13" s="134">
        <f t="shared" si="2"/>
        <v>11.505074684621935</v>
      </c>
      <c r="J13" s="134">
        <f t="shared" si="3"/>
        <v>41.62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11.072782955764151</v>
      </c>
      <c r="G14" s="132">
        <f t="shared" si="5"/>
        <v>0.68</v>
      </c>
      <c r="H14" s="132">
        <f t="shared" si="5"/>
        <v>0</v>
      </c>
      <c r="I14" s="134">
        <f t="shared" si="2"/>
        <v>11.75278295576415</v>
      </c>
      <c r="J14" s="134">
        <f t="shared" si="3"/>
        <v>42.52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11.338131723550811</v>
      </c>
      <c r="G15" s="132">
        <f t="shared" si="5"/>
        <v>0.7</v>
      </c>
      <c r="H15" s="132">
        <f t="shared" si="5"/>
        <v>0</v>
      </c>
      <c r="I15" s="134">
        <f t="shared" si="2"/>
        <v>12.03813172355081</v>
      </c>
      <c r="J15" s="134">
        <f t="shared" si="3"/>
        <v>43.55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11.609008590666358</v>
      </c>
      <c r="G16" s="132">
        <f t="shared" si="5"/>
        <v>0.72</v>
      </c>
      <c r="H16" s="132">
        <f t="shared" si="5"/>
        <v>0</v>
      </c>
      <c r="I16" s="134">
        <f t="shared" si="2"/>
        <v>12.329008590666358</v>
      </c>
      <c r="J16" s="134">
        <f t="shared" si="3"/>
        <v>44.6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11.888177606775239</v>
      </c>
      <c r="G17" s="132">
        <f t="shared" si="5"/>
        <v>0.74</v>
      </c>
      <c r="H17" s="132">
        <f t="shared" si="5"/>
        <v>0</v>
      </c>
      <c r="I17" s="134">
        <f t="shared" si="2"/>
        <v>12.628177606775239</v>
      </c>
      <c r="J17" s="134">
        <f t="shared" si="3"/>
        <v>45.69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12.17287472221301</v>
      </c>
      <c r="G18" s="132">
        <f t="shared" si="5"/>
        <v>0.76</v>
      </c>
      <c r="H18" s="132">
        <f t="shared" si="5"/>
        <v>0</v>
      </c>
      <c r="I18" s="134">
        <f t="shared" si="2"/>
        <v>12.932874722213009</v>
      </c>
      <c r="J18" s="134">
        <f t="shared" si="3"/>
        <v>46.79</v>
      </c>
      <c r="K18" s="132">
        <f t="shared" si="6"/>
        <v>0.69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12.45204373832189</v>
      </c>
      <c r="G19" s="132">
        <f t="shared" si="5"/>
        <v>0.78</v>
      </c>
      <c r="H19" s="132">
        <f t="shared" si="5"/>
        <v>0</v>
      </c>
      <c r="I19" s="134">
        <f t="shared" si="2"/>
        <v>13.23204373832189</v>
      </c>
      <c r="J19" s="134">
        <f t="shared" si="3"/>
        <v>47.87</v>
      </c>
      <c r="K19" s="132">
        <f t="shared" si="6"/>
        <v>0.71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12.739504903424107</v>
      </c>
      <c r="G20" s="132">
        <f t="shared" si="5"/>
        <v>0.8</v>
      </c>
      <c r="H20" s="132">
        <f t="shared" si="5"/>
        <v>0</v>
      </c>
      <c r="I20" s="134">
        <f t="shared" si="2"/>
        <v>13.539504903424108</v>
      </c>
      <c r="J20" s="134">
        <f t="shared" si="3"/>
        <v>48.98</v>
      </c>
      <c r="K20" s="132">
        <f t="shared" si="6"/>
        <v>0.73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13.032494167855209</v>
      </c>
      <c r="G21" s="132">
        <f t="shared" si="5"/>
        <v>0.82</v>
      </c>
      <c r="H21" s="132">
        <f t="shared" si="5"/>
        <v>0</v>
      </c>
      <c r="I21" s="134">
        <f t="shared" si="2"/>
        <v>13.852494167855209</v>
      </c>
      <c r="J21" s="134">
        <f t="shared" si="3"/>
        <v>50.12</v>
      </c>
      <c r="K21" s="132">
        <f t="shared" si="6"/>
        <v>0.75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13.344831779937424</v>
      </c>
      <c r="G22" s="132">
        <f t="shared" si="5"/>
        <v>0.84</v>
      </c>
      <c r="H22" s="132">
        <f t="shared" si="5"/>
        <v>0</v>
      </c>
      <c r="I22" s="134">
        <f t="shared" si="2"/>
        <v>14.184831779937424</v>
      </c>
      <c r="J22" s="134">
        <f t="shared" si="3"/>
        <v>51.32</v>
      </c>
      <c r="K22" s="132">
        <f t="shared" si="6"/>
        <v>0.77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13.66546154101297</v>
      </c>
      <c r="G23" s="132">
        <f t="shared" si="5"/>
        <v>0.86</v>
      </c>
      <c r="H23" s="132">
        <f t="shared" si="5"/>
        <v>0</v>
      </c>
      <c r="I23" s="134">
        <f t="shared" si="2"/>
        <v>14.525461541012969</v>
      </c>
      <c r="J23" s="134">
        <f t="shared" si="3"/>
        <v>52.55</v>
      </c>
      <c r="K23" s="132">
        <f t="shared" si="6"/>
        <v>0.79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1353.2739183554006</v>
      </c>
      <c r="D24" s="132">
        <f>C24*$C$62</f>
        <v>96.163526741015119</v>
      </c>
      <c r="E24" s="132">
        <f t="shared" si="5"/>
        <v>50.58</v>
      </c>
      <c r="F24" s="134">
        <f t="shared" si="1"/>
        <v>40.560639584788639</v>
      </c>
      <c r="G24" s="132">
        <f t="shared" si="5"/>
        <v>0.88</v>
      </c>
      <c r="H24" s="132">
        <f t="shared" si="5"/>
        <v>0</v>
      </c>
      <c r="I24" s="134">
        <f t="shared" si="2"/>
        <v>41.440639584788642</v>
      </c>
      <c r="J24" s="134">
        <f t="shared" si="3"/>
        <v>149.93</v>
      </c>
      <c r="K24" s="132">
        <f t="shared" si="6"/>
        <v>0.81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98.38</v>
      </c>
      <c r="E25" s="132">
        <f t="shared" si="5"/>
        <v>51.74</v>
      </c>
      <c r="F25" s="134">
        <f t="shared" si="1"/>
        <v>41.493913562638902</v>
      </c>
      <c r="G25" s="132">
        <f t="shared" si="5"/>
        <v>0.9</v>
      </c>
      <c r="H25" s="132">
        <f t="shared" si="5"/>
        <v>0</v>
      </c>
      <c r="I25" s="134">
        <f t="shared" si="2"/>
        <v>42.3939135626389</v>
      </c>
      <c r="J25" s="134">
        <f t="shared" si="3"/>
        <v>153.38</v>
      </c>
      <c r="K25" s="132">
        <f t="shared" si="6"/>
        <v>0.83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si="5"/>
        <v>100.64</v>
      </c>
      <c r="E26" s="132">
        <f t="shared" si="5"/>
        <v>52.93</v>
      </c>
      <c r="F26" s="134">
        <f t="shared" si="1"/>
        <v>42.447510696872207</v>
      </c>
      <c r="G26" s="132">
        <f t="shared" si="5"/>
        <v>0.92</v>
      </c>
      <c r="H26" s="132">
        <f t="shared" si="5"/>
        <v>0</v>
      </c>
      <c r="I26" s="134">
        <f t="shared" si="2"/>
        <v>43.367510696872209</v>
      </c>
      <c r="J26" s="134">
        <f t="shared" si="3"/>
        <v>156.9</v>
      </c>
      <c r="K26" s="132">
        <f t="shared" si="6"/>
        <v>0.85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5"/>
        <v>102.95</v>
      </c>
      <c r="E27" s="132">
        <f t="shared" si="5"/>
        <v>54.15</v>
      </c>
      <c r="F27" s="134">
        <f t="shared" si="1"/>
        <v>43.423220228421066</v>
      </c>
      <c r="G27" s="132">
        <f t="shared" si="5"/>
        <v>0.94</v>
      </c>
      <c r="H27" s="132">
        <f t="shared" si="5"/>
        <v>0</v>
      </c>
      <c r="I27" s="134">
        <f t="shared" si="2"/>
        <v>44.363220228421063</v>
      </c>
      <c r="J27" s="134">
        <f t="shared" si="3"/>
        <v>160.5</v>
      </c>
      <c r="K27" s="132">
        <f t="shared" si="6"/>
        <v>0.87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5"/>
        <v>105.32</v>
      </c>
      <c r="E28" s="132">
        <f t="shared" si="5"/>
        <v>55.4</v>
      </c>
      <c r="F28" s="134">
        <f t="shared" si="1"/>
        <v>44.423806206949934</v>
      </c>
      <c r="G28" s="132">
        <f t="shared" si="5"/>
        <v>0.96</v>
      </c>
      <c r="H28" s="132">
        <f t="shared" si="5"/>
        <v>0</v>
      </c>
      <c r="I28" s="134">
        <f t="shared" si="2"/>
        <v>45.383806206949934</v>
      </c>
      <c r="J28" s="134">
        <f t="shared" si="3"/>
        <v>164.19</v>
      </c>
      <c r="K28" s="132">
        <f t="shared" si="6"/>
        <v>0.89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5"/>
        <v>107.64</v>
      </c>
      <c r="E29" s="132">
        <f t="shared" si="5"/>
        <v>56.62</v>
      </c>
      <c r="F29" s="134">
        <f t="shared" si="1"/>
        <v>45.402279788163234</v>
      </c>
      <c r="G29" s="132">
        <f t="shared" si="5"/>
        <v>0.98</v>
      </c>
      <c r="H29" s="132">
        <f t="shared" si="5"/>
        <v>0</v>
      </c>
      <c r="I29" s="134">
        <f t="shared" si="2"/>
        <v>46.382279788163231</v>
      </c>
      <c r="J29" s="134">
        <f t="shared" si="3"/>
        <v>167.81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/>
      <c r="D30" s="132">
        <f t="shared" si="5"/>
        <v>110.01</v>
      </c>
      <c r="E30" s="132">
        <f t="shared" si="5"/>
        <v>57.87</v>
      </c>
      <c r="F30" s="134">
        <f t="shared" si="1"/>
        <v>46.402865766692102</v>
      </c>
      <c r="G30" s="132">
        <f t="shared" si="5"/>
        <v>1</v>
      </c>
      <c r="H30" s="132">
        <f t="shared" si="5"/>
        <v>0</v>
      </c>
      <c r="I30" s="134">
        <f t="shared" si="2"/>
        <v>47.402865766692102</v>
      </c>
      <c r="J30" s="134">
        <f t="shared" si="3"/>
        <v>171.5</v>
      </c>
      <c r="K30" s="132">
        <f t="shared" si="6"/>
        <v>0.93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112.43</v>
      </c>
      <c r="E31" s="132">
        <f t="shared" si="5"/>
        <v>59.14</v>
      </c>
      <c r="F31" s="134">
        <f t="shared" si="1"/>
        <v>47.422800092872073</v>
      </c>
      <c r="G31" s="132">
        <f t="shared" si="5"/>
        <v>1.02</v>
      </c>
      <c r="H31" s="132">
        <f t="shared" si="5"/>
        <v>0</v>
      </c>
      <c r="I31" s="134">
        <f t="shared" si="2"/>
        <v>48.442800092872076</v>
      </c>
      <c r="J31" s="134">
        <f t="shared" si="3"/>
        <v>175.26</v>
      </c>
      <c r="K31" s="132">
        <f t="shared" si="6"/>
        <v>0.95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115.02</v>
      </c>
      <c r="E32" s="132">
        <f t="shared" si="5"/>
        <v>60.5</v>
      </c>
      <c r="F32" s="134">
        <f t="shared" si="1"/>
        <v>48.514599710327595</v>
      </c>
      <c r="G32" s="132">
        <f t="shared" si="5"/>
        <v>1.04</v>
      </c>
      <c r="H32" s="132">
        <f t="shared" si="5"/>
        <v>0</v>
      </c>
      <c r="I32" s="134">
        <f t="shared" si="2"/>
        <v>49.554599710327594</v>
      </c>
      <c r="J32" s="134">
        <f t="shared" si="3"/>
        <v>179.28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117.67</v>
      </c>
      <c r="E33" s="132">
        <f t="shared" si="5"/>
        <v>61.89</v>
      </c>
      <c r="F33" s="134">
        <f t="shared" si="1"/>
        <v>49.631275774763125</v>
      </c>
      <c r="G33" s="132">
        <f t="shared" si="5"/>
        <v>1.06</v>
      </c>
      <c r="H33" s="132">
        <f t="shared" si="5"/>
        <v>0</v>
      </c>
      <c r="I33" s="134">
        <f t="shared" si="2"/>
        <v>50.691275774763128</v>
      </c>
      <c r="J33" s="134">
        <f t="shared" si="3"/>
        <v>183.39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120.38</v>
      </c>
      <c r="E34" s="132">
        <f t="shared" si="5"/>
        <v>63.31</v>
      </c>
      <c r="F34" s="134">
        <f t="shared" si="1"/>
        <v>50.772828286178651</v>
      </c>
      <c r="G34" s="132">
        <f t="shared" si="5"/>
        <v>1.08</v>
      </c>
      <c r="H34" s="132">
        <f t="shared" si="5"/>
        <v>0</v>
      </c>
      <c r="I34" s="134">
        <f t="shared" si="2"/>
        <v>51.852828286178649</v>
      </c>
      <c r="J34" s="134">
        <f t="shared" si="3"/>
        <v>187.6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123.15</v>
      </c>
      <c r="E35" s="132">
        <f t="shared" si="5"/>
        <v>64.77</v>
      </c>
      <c r="F35" s="134">
        <f t="shared" si="1"/>
        <v>51.942021294238629</v>
      </c>
      <c r="G35" s="132">
        <f t="shared" si="5"/>
        <v>1.1000000000000001</v>
      </c>
      <c r="H35" s="132">
        <f t="shared" si="5"/>
        <v>0</v>
      </c>
      <c r="I35" s="134">
        <f t="shared" si="2"/>
        <v>53.04202129423863</v>
      </c>
      <c r="J35" s="134">
        <f t="shared" si="3"/>
        <v>191.9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125.98</v>
      </c>
      <c r="E36" s="132">
        <f t="shared" si="5"/>
        <v>66.260000000000005</v>
      </c>
      <c r="F36" s="134">
        <f t="shared" si="1"/>
        <v>53.136090749278594</v>
      </c>
      <c r="G36" s="132">
        <f t="shared" si="5"/>
        <v>1.1299999999999999</v>
      </c>
      <c r="H36" s="132">
        <f t="shared" si="5"/>
        <v>0</v>
      </c>
      <c r="I36" s="134">
        <f t="shared" si="2"/>
        <v>54.266090749278597</v>
      </c>
      <c r="J36" s="134">
        <f t="shared" si="3"/>
        <v>196.33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"&amp;TEXT(G63,"0.0%")&amp;")"</f>
        <v>= ((b) + (c)) /  (8.76 x 41.3%)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1353.2739183554006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37.565582271006477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0.65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222">
        <v>0.43118737343656394</v>
      </c>
      <c r="D63" s="121" t="s">
        <v>39</v>
      </c>
      <c r="G63" s="225">
        <v>0.41299999999999998</v>
      </c>
      <c r="H63" s="121" t="s">
        <v>140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E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2">
        <f t="shared" si="6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6"/>
        <v>0</v>
      </c>
      <c r="H14" s="132">
        <f t="shared" si="6"/>
        <v>0</v>
      </c>
      <c r="I14" s="134">
        <f t="shared" si="3"/>
        <v>12.034366738764721</v>
      </c>
      <c r="J14" s="134">
        <f t="shared" si="2"/>
        <v>40.06</v>
      </c>
      <c r="K14" s="132">
        <f t="shared" si="7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6"/>
        <v>0</v>
      </c>
      <c r="H15" s="132">
        <f t="shared" si="6"/>
        <v>0</v>
      </c>
      <c r="I15" s="134">
        <f t="shared" si="3"/>
        <v>12.32275895217496</v>
      </c>
      <c r="J15" s="134">
        <f t="shared" si="2"/>
        <v>41.02</v>
      </c>
      <c r="K15" s="132">
        <f t="shared" si="7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6"/>
        <v>0</v>
      </c>
      <c r="H16" s="132">
        <f t="shared" si="6"/>
        <v>0</v>
      </c>
      <c r="I16" s="134">
        <f t="shared" si="3"/>
        <v>12.61715933669791</v>
      </c>
      <c r="J16" s="134">
        <f t="shared" si="2"/>
        <v>42</v>
      </c>
      <c r="K16" s="132">
        <f t="shared" si="7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6"/>
        <v>0</v>
      </c>
      <c r="H17" s="132">
        <f t="shared" si="6"/>
        <v>0</v>
      </c>
      <c r="I17" s="134">
        <f t="shared" si="3"/>
        <v>12.920571977889932</v>
      </c>
      <c r="J17" s="134">
        <f t="shared" si="2"/>
        <v>43.01</v>
      </c>
      <c r="K17" s="132">
        <f t="shared" si="7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6"/>
        <v>0</v>
      </c>
      <c r="H18" s="132">
        <f t="shared" si="6"/>
        <v>0</v>
      </c>
      <c r="I18" s="134">
        <f t="shared" si="3"/>
        <v>13.229992790194665</v>
      </c>
      <c r="J18" s="134">
        <f t="shared" si="2"/>
        <v>44.04</v>
      </c>
      <c r="K18" s="132">
        <f t="shared" si="7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6"/>
        <v>0</v>
      </c>
      <c r="H19" s="132">
        <f t="shared" si="6"/>
        <v>0</v>
      </c>
      <c r="I19" s="134">
        <f t="shared" si="3"/>
        <v>13.533405431386687</v>
      </c>
      <c r="J19" s="134">
        <f t="shared" si="2"/>
        <v>45.05</v>
      </c>
      <c r="K19" s="132">
        <f t="shared" si="7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6"/>
        <v>0</v>
      </c>
      <c r="H20" s="132">
        <f t="shared" si="6"/>
        <v>0</v>
      </c>
      <c r="I20" s="134">
        <f t="shared" si="3"/>
        <v>13.845830329247779</v>
      </c>
      <c r="J20" s="134">
        <f t="shared" si="2"/>
        <v>46.09</v>
      </c>
      <c r="K20" s="132">
        <f t="shared" si="7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6"/>
        <v>0</v>
      </c>
      <c r="H21" s="132">
        <f t="shared" si="6"/>
        <v>0</v>
      </c>
      <c r="I21" s="134">
        <f t="shared" si="3"/>
        <v>14.164263398221582</v>
      </c>
      <c r="J21" s="134">
        <f t="shared" si="2"/>
        <v>47.15</v>
      </c>
      <c r="K21" s="132">
        <f t="shared" si="7"/>
        <v>0.75</v>
      </c>
      <c r="L21" s="123"/>
      <c r="N21" s="135"/>
      <c r="O21" s="137"/>
      <c r="P21" s="169">
        <f t="shared" ref="P21:P28" si="8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6"/>
        <v>0</v>
      </c>
      <c r="H22" s="132">
        <f t="shared" si="6"/>
        <v>0</v>
      </c>
      <c r="I22" s="134">
        <f t="shared" si="3"/>
        <v>14.503725066089883</v>
      </c>
      <c r="J22" s="134">
        <f t="shared" si="2"/>
        <v>48.28</v>
      </c>
      <c r="K22" s="132">
        <f t="shared" si="7"/>
        <v>0.77</v>
      </c>
      <c r="L22" s="123"/>
      <c r="N22" s="135"/>
      <c r="O22" s="137"/>
      <c r="P22" s="169">
        <f t="shared" si="8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6"/>
        <v>0</v>
      </c>
      <c r="H23" s="132">
        <f t="shared" si="6"/>
        <v>0</v>
      </c>
      <c r="I23" s="134">
        <f t="shared" si="3"/>
        <v>14.852198990627253</v>
      </c>
      <c r="J23" s="134">
        <f t="shared" si="2"/>
        <v>49.44</v>
      </c>
      <c r="K23" s="132">
        <f t="shared" si="7"/>
        <v>0.79</v>
      </c>
      <c r="L23" s="123"/>
      <c r="N23" s="135"/>
      <c r="O23" s="137"/>
      <c r="P23" s="169">
        <f t="shared" si="8"/>
        <v>0</v>
      </c>
    </row>
    <row r="24" spans="2:16">
      <c r="B24" s="140">
        <f t="shared" si="0"/>
        <v>2030</v>
      </c>
      <c r="C24" s="131">
        <f>$C$55</f>
        <v>1410.7096380374778</v>
      </c>
      <c r="D24" s="132">
        <f>C24*$C$62</f>
        <v>100.24490397781955</v>
      </c>
      <c r="E24" s="132">
        <f t="shared" si="5"/>
        <v>50.58</v>
      </c>
      <c r="F24" s="134">
        <f t="shared" si="1"/>
        <v>45.309091557864555</v>
      </c>
      <c r="G24" s="132">
        <f t="shared" si="6"/>
        <v>0</v>
      </c>
      <c r="H24" s="132">
        <f t="shared" si="6"/>
        <v>0</v>
      </c>
      <c r="I24" s="134">
        <f t="shared" si="3"/>
        <v>45.309091557864555</v>
      </c>
      <c r="J24" s="134">
        <f t="shared" si="2"/>
        <v>150.82</v>
      </c>
      <c r="K24" s="132">
        <f t="shared" si="7"/>
        <v>0.81</v>
      </c>
      <c r="L24" s="123"/>
      <c r="N24" s="135"/>
      <c r="O24" s="137"/>
      <c r="P24" s="169">
        <f t="shared" si="8"/>
        <v>0</v>
      </c>
    </row>
    <row r="25" spans="2:16">
      <c r="B25" s="140">
        <f t="shared" si="0"/>
        <v>2031</v>
      </c>
      <c r="C25" s="141"/>
      <c r="D25" s="132">
        <f t="shared" si="5"/>
        <v>102.55</v>
      </c>
      <c r="E25" s="132">
        <f t="shared" si="5"/>
        <v>51.74</v>
      </c>
      <c r="F25" s="134">
        <f t="shared" si="1"/>
        <v>46.350036049026677</v>
      </c>
      <c r="G25" s="132">
        <f t="shared" si="6"/>
        <v>0</v>
      </c>
      <c r="H25" s="132">
        <f t="shared" si="6"/>
        <v>0</v>
      </c>
      <c r="I25" s="134">
        <f t="shared" si="3"/>
        <v>46.350036049026677</v>
      </c>
      <c r="J25" s="134">
        <f t="shared" si="2"/>
        <v>154.29</v>
      </c>
      <c r="K25" s="132">
        <f t="shared" si="7"/>
        <v>0.83</v>
      </c>
      <c r="L25" s="123"/>
      <c r="N25" s="135"/>
      <c r="O25" s="137"/>
      <c r="P25" s="169">
        <f t="shared" si="8"/>
        <v>0</v>
      </c>
    </row>
    <row r="26" spans="2:16">
      <c r="B26" s="140">
        <f t="shared" si="0"/>
        <v>2032</v>
      </c>
      <c r="C26" s="141"/>
      <c r="D26" s="132">
        <f t="shared" si="5"/>
        <v>104.91</v>
      </c>
      <c r="E26" s="132">
        <f t="shared" si="5"/>
        <v>52.93</v>
      </c>
      <c r="F26" s="134">
        <f t="shared" si="1"/>
        <v>47.416486421533293</v>
      </c>
      <c r="G26" s="132">
        <f t="shared" si="6"/>
        <v>0</v>
      </c>
      <c r="H26" s="132">
        <f t="shared" si="6"/>
        <v>0</v>
      </c>
      <c r="I26" s="134">
        <f t="shared" si="3"/>
        <v>47.416486421533293</v>
      </c>
      <c r="J26" s="134">
        <f t="shared" si="2"/>
        <v>157.84</v>
      </c>
      <c r="K26" s="132">
        <f t="shared" si="7"/>
        <v>0.85</v>
      </c>
      <c r="L26" s="123"/>
      <c r="N26" s="135"/>
      <c r="O26" s="137"/>
      <c r="P26" s="169">
        <f t="shared" si="8"/>
        <v>0</v>
      </c>
    </row>
    <row r="27" spans="2:16">
      <c r="B27" s="140">
        <f t="shared" si="0"/>
        <v>2033</v>
      </c>
      <c r="C27" s="131"/>
      <c r="D27" s="132">
        <f t="shared" si="5"/>
        <v>107.32</v>
      </c>
      <c r="E27" s="132">
        <f t="shared" si="5"/>
        <v>54.15</v>
      </c>
      <c r="F27" s="134">
        <f t="shared" si="1"/>
        <v>48.506969478490753</v>
      </c>
      <c r="G27" s="132">
        <f t="shared" si="6"/>
        <v>0</v>
      </c>
      <c r="H27" s="132">
        <f t="shared" si="6"/>
        <v>0</v>
      </c>
      <c r="I27" s="134">
        <f t="shared" si="3"/>
        <v>48.506969478490753</v>
      </c>
      <c r="J27" s="134">
        <f t="shared" si="2"/>
        <v>161.47</v>
      </c>
      <c r="K27" s="132">
        <f t="shared" si="7"/>
        <v>0.87</v>
      </c>
      <c r="L27" s="123"/>
      <c r="P27" s="169">
        <f t="shared" si="8"/>
        <v>0</v>
      </c>
    </row>
    <row r="28" spans="2:16">
      <c r="B28" s="140">
        <f t="shared" si="0"/>
        <v>2034</v>
      </c>
      <c r="C28" s="141"/>
      <c r="D28" s="132">
        <f t="shared" si="5"/>
        <v>109.79</v>
      </c>
      <c r="E28" s="132">
        <f t="shared" si="5"/>
        <v>55.4</v>
      </c>
      <c r="F28" s="134">
        <f t="shared" si="1"/>
        <v>49.62448930545542</v>
      </c>
      <c r="G28" s="132">
        <f t="shared" si="6"/>
        <v>0</v>
      </c>
      <c r="H28" s="132">
        <f t="shared" si="6"/>
        <v>0</v>
      </c>
      <c r="I28" s="134">
        <f t="shared" si="3"/>
        <v>49.62448930545542</v>
      </c>
      <c r="J28" s="134">
        <f t="shared" si="2"/>
        <v>165.19</v>
      </c>
      <c r="K28" s="132">
        <f t="shared" si="7"/>
        <v>0.89</v>
      </c>
      <c r="L28" s="123"/>
      <c r="P28" s="169">
        <f t="shared" si="8"/>
        <v>0</v>
      </c>
    </row>
    <row r="29" spans="2:16">
      <c r="B29" s="140">
        <f t="shared" si="0"/>
        <v>2035</v>
      </c>
      <c r="C29" s="141"/>
      <c r="D29" s="132">
        <f t="shared" si="5"/>
        <v>112.21</v>
      </c>
      <c r="E29" s="132">
        <f t="shared" si="5"/>
        <v>56.62</v>
      </c>
      <c r="F29" s="134">
        <f t="shared" si="1"/>
        <v>50.717976447969235</v>
      </c>
      <c r="G29" s="132">
        <f t="shared" si="6"/>
        <v>0</v>
      </c>
      <c r="H29" s="132">
        <f t="shared" si="6"/>
        <v>0</v>
      </c>
      <c r="I29" s="134">
        <f t="shared" si="3"/>
        <v>50.717976447969235</v>
      </c>
      <c r="J29" s="134">
        <f t="shared" si="2"/>
        <v>168.83</v>
      </c>
      <c r="K29" s="132">
        <f t="shared" si="7"/>
        <v>0.91</v>
      </c>
      <c r="L29" s="123"/>
      <c r="P29" s="169">
        <f t="shared" ref="P29:P36" si="9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114.68</v>
      </c>
      <c r="E30" s="132">
        <f t="shared" si="5"/>
        <v>57.87</v>
      </c>
      <c r="F30" s="134">
        <f t="shared" si="1"/>
        <v>51.835496274933917</v>
      </c>
      <c r="G30" s="132">
        <f t="shared" si="6"/>
        <v>0</v>
      </c>
      <c r="H30" s="132">
        <f t="shared" si="6"/>
        <v>0</v>
      </c>
      <c r="I30" s="134">
        <f t="shared" si="3"/>
        <v>51.835496274933917</v>
      </c>
      <c r="J30" s="134">
        <f t="shared" si="2"/>
        <v>172.55</v>
      </c>
      <c r="K30" s="132">
        <f t="shared" si="7"/>
        <v>0.93</v>
      </c>
      <c r="L30" s="123"/>
      <c r="P30" s="169">
        <f t="shared" si="9"/>
        <v>0</v>
      </c>
    </row>
    <row r="31" spans="2:16">
      <c r="B31" s="140">
        <f t="shared" si="0"/>
        <v>2037</v>
      </c>
      <c r="C31" s="141"/>
      <c r="D31" s="132">
        <f t="shared" si="5"/>
        <v>117.2</v>
      </c>
      <c r="E31" s="132">
        <f t="shared" si="5"/>
        <v>59.14</v>
      </c>
      <c r="F31" s="134">
        <f t="shared" si="1"/>
        <v>52.974044700793087</v>
      </c>
      <c r="G31" s="132">
        <f t="shared" si="6"/>
        <v>0</v>
      </c>
      <c r="H31" s="132">
        <f t="shared" si="6"/>
        <v>0</v>
      </c>
      <c r="I31" s="134">
        <f t="shared" si="3"/>
        <v>52.974044700793087</v>
      </c>
      <c r="J31" s="134">
        <f t="shared" si="2"/>
        <v>176.34</v>
      </c>
      <c r="K31" s="132">
        <f t="shared" si="7"/>
        <v>0.95</v>
      </c>
      <c r="L31" s="123"/>
      <c r="P31" s="169">
        <f t="shared" si="9"/>
        <v>0</v>
      </c>
    </row>
    <row r="32" spans="2:16">
      <c r="B32" s="140">
        <f t="shared" si="0"/>
        <v>2038</v>
      </c>
      <c r="C32" s="141"/>
      <c r="D32" s="132">
        <f t="shared" si="5"/>
        <v>119.9</v>
      </c>
      <c r="E32" s="132">
        <f t="shared" si="5"/>
        <v>60.5</v>
      </c>
      <c r="F32" s="134">
        <f t="shared" si="1"/>
        <v>54.193703436673879</v>
      </c>
      <c r="G32" s="132">
        <f t="shared" si="6"/>
        <v>0</v>
      </c>
      <c r="H32" s="132">
        <f t="shared" si="6"/>
        <v>0</v>
      </c>
      <c r="I32" s="134">
        <f t="shared" si="3"/>
        <v>54.193703436673879</v>
      </c>
      <c r="J32" s="134">
        <f t="shared" si="2"/>
        <v>180.4</v>
      </c>
      <c r="K32" s="132">
        <f t="shared" si="7"/>
        <v>0.97</v>
      </c>
      <c r="L32" s="123"/>
      <c r="P32" s="169">
        <f t="shared" si="9"/>
        <v>0</v>
      </c>
    </row>
    <row r="33" spans="2:16">
      <c r="B33" s="140">
        <f t="shared" si="0"/>
        <v>2039</v>
      </c>
      <c r="C33" s="141"/>
      <c r="D33" s="132">
        <f t="shared" si="5"/>
        <v>122.66</v>
      </c>
      <c r="E33" s="132">
        <f t="shared" si="5"/>
        <v>61.89</v>
      </c>
      <c r="F33" s="134">
        <f t="shared" si="1"/>
        <v>55.440398942561892</v>
      </c>
      <c r="G33" s="132">
        <f t="shared" si="6"/>
        <v>0</v>
      </c>
      <c r="H33" s="132">
        <f t="shared" si="6"/>
        <v>0</v>
      </c>
      <c r="I33" s="134">
        <f t="shared" si="3"/>
        <v>55.440398942561892</v>
      </c>
      <c r="J33" s="134">
        <f t="shared" si="2"/>
        <v>184.55</v>
      </c>
      <c r="K33" s="132">
        <f t="shared" si="7"/>
        <v>0.99</v>
      </c>
      <c r="L33" s="123"/>
      <c r="P33" s="169">
        <f t="shared" si="9"/>
        <v>0</v>
      </c>
    </row>
    <row r="34" spans="2:16">
      <c r="B34" s="140">
        <f t="shared" si="0"/>
        <v>2040</v>
      </c>
      <c r="C34" s="141"/>
      <c r="D34" s="132">
        <f t="shared" si="5"/>
        <v>125.48</v>
      </c>
      <c r="E34" s="132">
        <f t="shared" si="5"/>
        <v>63.31</v>
      </c>
      <c r="F34" s="134">
        <f t="shared" si="1"/>
        <v>56.714131218457112</v>
      </c>
      <c r="G34" s="132">
        <f t="shared" si="6"/>
        <v>0</v>
      </c>
      <c r="H34" s="132">
        <f t="shared" si="6"/>
        <v>0</v>
      </c>
      <c r="I34" s="134">
        <f t="shared" si="3"/>
        <v>56.714131218457112</v>
      </c>
      <c r="J34" s="134">
        <f t="shared" si="2"/>
        <v>188.79</v>
      </c>
      <c r="K34" s="132">
        <f t="shared" si="7"/>
        <v>1.01</v>
      </c>
      <c r="L34" s="123"/>
      <c r="P34" s="169">
        <f t="shared" si="9"/>
        <v>0</v>
      </c>
    </row>
    <row r="35" spans="2:16">
      <c r="B35" s="140">
        <f t="shared" si="0"/>
        <v>2041</v>
      </c>
      <c r="C35" s="141"/>
      <c r="D35" s="132">
        <f t="shared" si="5"/>
        <v>128.37</v>
      </c>
      <c r="E35" s="132">
        <f t="shared" si="5"/>
        <v>64.77</v>
      </c>
      <c r="F35" s="134">
        <f t="shared" si="1"/>
        <v>58.020908435472244</v>
      </c>
      <c r="G35" s="132">
        <f t="shared" si="6"/>
        <v>0</v>
      </c>
      <c r="H35" s="132">
        <f t="shared" si="6"/>
        <v>0</v>
      </c>
      <c r="I35" s="134">
        <f t="shared" si="3"/>
        <v>58.020908435472244</v>
      </c>
      <c r="J35" s="134">
        <f t="shared" si="2"/>
        <v>193.14</v>
      </c>
      <c r="K35" s="132">
        <f t="shared" si="7"/>
        <v>1.03</v>
      </c>
      <c r="L35" s="123"/>
      <c r="P35" s="169">
        <f t="shared" si="9"/>
        <v>0</v>
      </c>
    </row>
    <row r="36" spans="2:16">
      <c r="B36" s="140">
        <f t="shared" si="0"/>
        <v>2042</v>
      </c>
      <c r="C36" s="141"/>
      <c r="D36" s="132">
        <f t="shared" si="5"/>
        <v>131.32</v>
      </c>
      <c r="E36" s="132">
        <f t="shared" si="5"/>
        <v>66.260000000000005</v>
      </c>
      <c r="F36" s="134">
        <f t="shared" si="1"/>
        <v>59.354722422494589</v>
      </c>
      <c r="G36" s="132">
        <f t="shared" si="6"/>
        <v>0</v>
      </c>
      <c r="H36" s="132">
        <f t="shared" si="6"/>
        <v>0</v>
      </c>
      <c r="I36" s="134">
        <f t="shared" si="3"/>
        <v>59.354722422494589</v>
      </c>
      <c r="J36" s="134">
        <f t="shared" si="2"/>
        <v>197.58</v>
      </c>
      <c r="K36" s="132">
        <f t="shared" si="7"/>
        <v>1.05</v>
      </c>
      <c r="L36" s="123"/>
      <c r="P36" s="169">
        <f t="shared" si="9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1410.7096380374778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2.3E-2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0.02</v>
      </c>
      <c r="E68" s="85"/>
      <c r="F68" s="87">
        <f t="shared" si="11"/>
        <v>2028</v>
      </c>
      <c r="G68" s="41">
        <v>2.4E-2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2.4E-2</v>
      </c>
      <c r="H69" s="85"/>
      <c r="I69" s="87">
        <f t="shared" si="12"/>
        <v>2038</v>
      </c>
      <c r="J69" s="41">
        <v>2.3E-2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2.3E-2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2.3E-2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2.3E-2</v>
      </c>
    </row>
    <row r="73" spans="3:11" s="123" customFormat="1">
      <c r="C73" s="87">
        <f t="shared" si="10"/>
        <v>2024</v>
      </c>
      <c r="D73" s="41">
        <v>2.4E-2</v>
      </c>
      <c r="E73" s="86"/>
      <c r="F73" s="87">
        <f t="shared" si="11"/>
        <v>2033</v>
      </c>
      <c r="G73" s="41">
        <v>2.3E-2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2.3E-2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>
        <f>$C$55</f>
        <v>1420.0408201737057</v>
      </c>
      <c r="D27" s="132">
        <f>C27*$C$62</f>
        <v>100.90797696748666</v>
      </c>
      <c r="E27" s="132">
        <f t="shared" si="5"/>
        <v>54.15</v>
      </c>
      <c r="F27" s="134">
        <f t="shared" si="1"/>
        <v>46.580742900590806</v>
      </c>
      <c r="G27" s="132">
        <f t="shared" si="5"/>
        <v>0</v>
      </c>
      <c r="H27" s="132">
        <f t="shared" si="5"/>
        <v>0</v>
      </c>
      <c r="I27" s="134">
        <f t="shared" si="3"/>
        <v>46.580742900590806</v>
      </c>
      <c r="J27" s="134">
        <f t="shared" si="2"/>
        <v>155.06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>
        <f t="shared" si="5"/>
        <v>103.23</v>
      </c>
      <c r="E28" s="132">
        <f t="shared" si="5"/>
        <v>55.4</v>
      </c>
      <c r="F28" s="134">
        <f t="shared" si="1"/>
        <v>47.65380918048546</v>
      </c>
      <c r="G28" s="132">
        <f t="shared" si="5"/>
        <v>0</v>
      </c>
      <c r="H28" s="132">
        <f t="shared" si="5"/>
        <v>0</v>
      </c>
      <c r="I28" s="134">
        <f t="shared" si="3"/>
        <v>47.65380918048546</v>
      </c>
      <c r="J28" s="134">
        <f t="shared" si="2"/>
        <v>158.63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41"/>
      <c r="D29" s="132">
        <f t="shared" si="5"/>
        <v>105.5</v>
      </c>
      <c r="E29" s="132">
        <f t="shared" si="5"/>
        <v>56.62</v>
      </c>
      <c r="F29" s="134">
        <f t="shared" si="1"/>
        <v>48.702235039653935</v>
      </c>
      <c r="G29" s="132">
        <f t="shared" si="5"/>
        <v>0</v>
      </c>
      <c r="H29" s="132">
        <f t="shared" si="5"/>
        <v>0</v>
      </c>
      <c r="I29" s="134">
        <f t="shared" si="3"/>
        <v>48.702235039653935</v>
      </c>
      <c r="J29" s="134">
        <f t="shared" si="2"/>
        <v>162.12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107.82</v>
      </c>
      <c r="E30" s="132">
        <f t="shared" si="5"/>
        <v>57.87</v>
      </c>
      <c r="F30" s="134">
        <f t="shared" si="1"/>
        <v>49.774693583273255</v>
      </c>
      <c r="G30" s="132">
        <f t="shared" si="5"/>
        <v>0</v>
      </c>
      <c r="H30" s="132">
        <f t="shared" si="5"/>
        <v>0</v>
      </c>
      <c r="I30" s="134">
        <f t="shared" si="3"/>
        <v>49.774693583273255</v>
      </c>
      <c r="J30" s="134">
        <f t="shared" si="2"/>
        <v>165.69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110.19</v>
      </c>
      <c r="E31" s="132">
        <f t="shared" si="5"/>
        <v>59.14</v>
      </c>
      <c r="F31" s="134">
        <f t="shared" si="1"/>
        <v>50.86818072578707</v>
      </c>
      <c r="G31" s="132">
        <f t="shared" si="5"/>
        <v>0</v>
      </c>
      <c r="H31" s="132">
        <f t="shared" si="5"/>
        <v>0</v>
      </c>
      <c r="I31" s="134">
        <f t="shared" si="3"/>
        <v>50.86818072578707</v>
      </c>
      <c r="J31" s="134">
        <f t="shared" si="2"/>
        <v>169.33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112.72</v>
      </c>
      <c r="E32" s="132">
        <f t="shared" si="5"/>
        <v>60.5</v>
      </c>
      <c r="F32" s="134">
        <f t="shared" si="1"/>
        <v>52.03677000720981</v>
      </c>
      <c r="G32" s="132">
        <f t="shared" si="5"/>
        <v>0</v>
      </c>
      <c r="H32" s="132">
        <f t="shared" si="5"/>
        <v>0</v>
      </c>
      <c r="I32" s="134">
        <f t="shared" si="3"/>
        <v>52.03677000720981</v>
      </c>
      <c r="J32" s="134">
        <f t="shared" si="2"/>
        <v>173.22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115.31</v>
      </c>
      <c r="E33" s="132">
        <f t="shared" si="5"/>
        <v>61.89</v>
      </c>
      <c r="F33" s="134">
        <f t="shared" si="1"/>
        <v>53.23239605863975</v>
      </c>
      <c r="G33" s="132">
        <f t="shared" si="5"/>
        <v>0</v>
      </c>
      <c r="H33" s="132">
        <f t="shared" si="5"/>
        <v>0</v>
      </c>
      <c r="I33" s="134">
        <f t="shared" si="3"/>
        <v>53.23239605863975</v>
      </c>
      <c r="J33" s="134">
        <f t="shared" si="2"/>
        <v>177.2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117.96</v>
      </c>
      <c r="E34" s="132">
        <f t="shared" si="5"/>
        <v>63.31</v>
      </c>
      <c r="F34" s="134">
        <f t="shared" si="1"/>
        <v>54.455058880076905</v>
      </c>
      <c r="G34" s="132">
        <f t="shared" si="5"/>
        <v>0</v>
      </c>
      <c r="H34" s="132">
        <f t="shared" si="5"/>
        <v>0</v>
      </c>
      <c r="I34" s="134">
        <f t="shared" si="3"/>
        <v>54.455058880076905</v>
      </c>
      <c r="J34" s="134">
        <f t="shared" si="2"/>
        <v>181.27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120.67</v>
      </c>
      <c r="E35" s="132">
        <f t="shared" si="5"/>
        <v>64.77</v>
      </c>
      <c r="F35" s="134">
        <f t="shared" si="1"/>
        <v>55.707762557077629</v>
      </c>
      <c r="G35" s="132">
        <f t="shared" si="5"/>
        <v>0</v>
      </c>
      <c r="H35" s="132">
        <f t="shared" si="5"/>
        <v>0</v>
      </c>
      <c r="I35" s="134">
        <f t="shared" si="3"/>
        <v>55.707762557077629</v>
      </c>
      <c r="J35" s="134">
        <f t="shared" si="2"/>
        <v>185.44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123.45</v>
      </c>
      <c r="E36" s="132">
        <f t="shared" si="5"/>
        <v>66.260000000000005</v>
      </c>
      <c r="F36" s="134">
        <f t="shared" si="1"/>
        <v>56.990507089641916</v>
      </c>
      <c r="G36" s="132">
        <f t="shared" si="5"/>
        <v>0</v>
      </c>
      <c r="H36" s="132">
        <f t="shared" si="5"/>
        <v>0</v>
      </c>
      <c r="I36" s="134">
        <f t="shared" si="3"/>
        <v>56.990507089641916</v>
      </c>
      <c r="J36" s="134">
        <f t="shared" si="2"/>
        <v>189.71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1420.0408201737057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58</vt:i4>
      </vt:variant>
    </vt:vector>
  </HeadingPairs>
  <TitlesOfParts>
    <vt:vector size="83" baseType="lpstr"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2'!Study_Cap_Adj</vt:lpstr>
      <vt:lpstr>'Table 3 TransCost D2 '!Study_Cap_Adj</vt:lpstr>
      <vt:lpstr>Study_Cap_Adj</vt:lpstr>
      <vt:lpstr>'Table 2'!Study_CF</vt:lpstr>
      <vt:lpstr>Study_CF</vt:lpstr>
      <vt:lpstr>'Table 2'!Study_MW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2018-02-07T18:22:02Z</cp:lastPrinted>
  <dcterms:created xsi:type="dcterms:W3CDTF">2001-03-19T15:45:46Z</dcterms:created>
  <dcterms:modified xsi:type="dcterms:W3CDTF">2019-10-15T19:41:21Z</dcterms:modified>
</cp:coreProperties>
</file>