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39\"/>
    </mc:Choice>
  </mc:AlternateContent>
  <bookViews>
    <workbookView xWindow="0" yWindow="0" windowWidth="19125" windowHeight="11520"/>
  </bookViews>
  <sheets>
    <sheet name="Billing Examples" sheetId="2" r:id="rId1"/>
  </sheets>
  <definedNames>
    <definedName name="_xlnm.Print_Area" localSheetId="0">'Billing Examples'!$A$4:$Q$33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6" i="2" l="1"/>
  <c r="O17" i="2" s="1"/>
  <c r="F30" i="2" l="1"/>
  <c r="B30" i="2"/>
  <c r="E29" i="2"/>
  <c r="D29" i="2"/>
  <c r="C29" i="2"/>
  <c r="B29" i="2"/>
  <c r="G29" i="2"/>
  <c r="G17" i="2" l="1"/>
  <c r="D31" i="2"/>
  <c r="D30" i="2"/>
  <c r="O29" i="2"/>
  <c r="H29" i="2" s="1"/>
  <c r="I29" i="2" s="1"/>
  <c r="O30" i="2"/>
  <c r="G30" i="2"/>
  <c r="C8" i="2"/>
  <c r="J29" i="2" s="1"/>
  <c r="B17" i="2" l="1"/>
  <c r="B18" i="2" s="1"/>
  <c r="B19" i="2" l="1"/>
  <c r="B20" i="2" s="1"/>
  <c r="B21" i="2" s="1"/>
  <c r="B22" i="2" s="1"/>
  <c r="B23" i="2" s="1"/>
  <c r="D23" i="2" s="1"/>
  <c r="B24" i="2" l="1"/>
  <c r="B25" i="2"/>
  <c r="D24" i="2"/>
  <c r="Q11" i="2"/>
  <c r="P10" i="2"/>
  <c r="O11" i="2"/>
  <c r="N10" i="2"/>
  <c r="M11" i="2"/>
  <c r="L10" i="2"/>
  <c r="K10" i="2"/>
  <c r="I11" i="2"/>
  <c r="H11" i="2"/>
  <c r="G11" i="2"/>
  <c r="F10" i="2"/>
  <c r="F11" i="2"/>
  <c r="B26" i="2" l="1"/>
  <c r="D25" i="2"/>
  <c r="F25" i="2" s="1"/>
  <c r="C25" i="2"/>
  <c r="F20" i="2"/>
  <c r="F17" i="2"/>
  <c r="C16" i="2"/>
  <c r="E32" i="2"/>
  <c r="F32" i="2" s="1"/>
  <c r="F28" i="2"/>
  <c r="F27" i="2"/>
  <c r="F26" i="2"/>
  <c r="F24" i="2"/>
  <c r="F23" i="2"/>
  <c r="F22" i="2"/>
  <c r="F21" i="2"/>
  <c r="F18" i="2"/>
  <c r="F16" i="2"/>
  <c r="H30" i="2" l="1"/>
  <c r="I30" i="2" s="1"/>
  <c r="J30" i="2"/>
  <c r="L16" i="2"/>
  <c r="M16" i="2" s="1"/>
  <c r="N16" i="2" s="1"/>
  <c r="C17" i="2"/>
  <c r="C18" i="2" s="1"/>
  <c r="C19" i="2" s="1"/>
  <c r="C20" i="2" s="1"/>
  <c r="C21" i="2" s="1"/>
  <c r="C22" i="2" s="1"/>
  <c r="C23" i="2" s="1"/>
  <c r="B27" i="2"/>
  <c r="B28" i="2" s="1"/>
  <c r="B31" i="2" s="1"/>
  <c r="C26" i="2"/>
  <c r="O26" i="2" s="1"/>
  <c r="H26" i="2" s="1"/>
  <c r="F19" i="2"/>
  <c r="J19" i="2" s="1"/>
  <c r="O32" i="2"/>
  <c r="H32" i="2" s="1"/>
  <c r="O16" i="2"/>
  <c r="H16" i="2" s="1"/>
  <c r="G16" i="2"/>
  <c r="P16" i="2"/>
  <c r="Q16" i="2" s="1"/>
  <c r="J16" i="2"/>
  <c r="J21" i="2"/>
  <c r="J18" i="2"/>
  <c r="J22" i="2"/>
  <c r="J23" i="2"/>
  <c r="J26" i="2"/>
  <c r="H17" i="2"/>
  <c r="O18" i="2"/>
  <c r="H18" i="2" s="1"/>
  <c r="G22" i="2"/>
  <c r="G23" i="2"/>
  <c r="J25" i="2"/>
  <c r="J27" i="2"/>
  <c r="G21" i="2"/>
  <c r="O22" i="2"/>
  <c r="H22" i="2" s="1"/>
  <c r="O23" i="2"/>
  <c r="H23" i="2" s="1"/>
  <c r="G25" i="2"/>
  <c r="G27" i="2"/>
  <c r="J17" i="2"/>
  <c r="G18" i="2"/>
  <c r="J20" i="2"/>
  <c r="J24" i="2"/>
  <c r="O25" i="2"/>
  <c r="H25" i="2" s="1"/>
  <c r="J28" i="2"/>
  <c r="J32" i="2"/>
  <c r="G19" i="2"/>
  <c r="O19" i="2"/>
  <c r="H19" i="2" s="1"/>
  <c r="G24" i="2"/>
  <c r="O24" i="2"/>
  <c r="H24" i="2" s="1"/>
  <c r="G26" i="2"/>
  <c r="G28" i="2"/>
  <c r="G31" i="2"/>
  <c r="G20" i="2"/>
  <c r="G32" i="2"/>
  <c r="O20" i="2" l="1"/>
  <c r="H20" i="2" s="1"/>
  <c r="O21" i="2"/>
  <c r="H21" i="2" s="1"/>
  <c r="I21" i="2" s="1"/>
  <c r="I16" i="2"/>
  <c r="K16" i="2" s="1"/>
  <c r="L17" i="2" s="1"/>
  <c r="M17" i="2" s="1"/>
  <c r="N17" i="2" s="1"/>
  <c r="I23" i="2"/>
  <c r="I17" i="2"/>
  <c r="I32" i="2"/>
  <c r="I18" i="2"/>
  <c r="I25" i="2"/>
  <c r="I19" i="2"/>
  <c r="I22" i="2"/>
  <c r="I24" i="2"/>
  <c r="I26" i="2"/>
  <c r="I20" i="2"/>
  <c r="G33" i="2"/>
  <c r="O27" i="2"/>
  <c r="H27" i="2" s="1"/>
  <c r="I27" i="2" s="1"/>
  <c r="P17" i="2" l="1"/>
  <c r="Q17" i="2" s="1"/>
  <c r="K17" i="2"/>
  <c r="O28" i="2"/>
  <c r="H28" i="2" s="1"/>
  <c r="I28" i="2" s="1"/>
  <c r="L18" i="2" l="1"/>
  <c r="M18" i="2" s="1"/>
  <c r="N18" i="2" s="1"/>
  <c r="P18" i="2"/>
  <c r="Q18" i="2" s="1"/>
  <c r="E31" i="2"/>
  <c r="F31" i="2" s="1"/>
  <c r="F33" i="2" l="1"/>
  <c r="J31" i="2"/>
  <c r="K18" i="2"/>
  <c r="L19" i="2" s="1"/>
  <c r="M19" i="2" s="1"/>
  <c r="K19" i="2" s="1"/>
  <c r="O31" i="2"/>
  <c r="H31" i="2" s="1"/>
  <c r="J33" i="2" l="1"/>
  <c r="B48" i="2" s="1"/>
  <c r="B41" i="2"/>
  <c r="B40" i="2"/>
  <c r="P19" i="2"/>
  <c r="Q19" i="2" s="1"/>
  <c r="N19" i="2"/>
  <c r="L20" i="2"/>
  <c r="M20" i="2" s="1"/>
  <c r="K20" i="2" s="1"/>
  <c r="P20" i="2"/>
  <c r="Q20" i="2" s="1"/>
  <c r="I31" i="2"/>
  <c r="H33" i="2"/>
  <c r="I33" i="2" s="1"/>
  <c r="B43" i="2" l="1"/>
  <c r="B42" i="2"/>
  <c r="L21" i="2"/>
  <c r="M21" i="2" s="1"/>
  <c r="N21" i="2" s="1"/>
  <c r="P21" i="2"/>
  <c r="Q21" i="2" s="1"/>
  <c r="N20" i="2"/>
  <c r="K21" i="2" l="1"/>
  <c r="P22" i="2" s="1"/>
  <c r="Q22" i="2" s="1"/>
  <c r="L22" i="2" l="1"/>
  <c r="M22" i="2" s="1"/>
  <c r="N22" i="2" s="1"/>
  <c r="K22" i="2" l="1"/>
  <c r="L23" i="2" l="1"/>
  <c r="M23" i="2" s="1"/>
  <c r="K23" i="2" s="1"/>
  <c r="P23" i="2"/>
  <c r="Q23" i="2" s="1"/>
  <c r="L24" i="2" l="1"/>
  <c r="M24" i="2" s="1"/>
  <c r="K24" i="2" s="1"/>
  <c r="P24" i="2"/>
  <c r="Q24" i="2" s="1"/>
  <c r="N23" i="2"/>
  <c r="N24" i="2" l="1"/>
  <c r="P25" i="2"/>
  <c r="Q25" i="2" s="1"/>
  <c r="L25" i="2"/>
  <c r="M25" i="2" s="1"/>
  <c r="N25" i="2" s="1"/>
  <c r="K25" i="2" l="1"/>
  <c r="L26" i="2" l="1"/>
  <c r="M26" i="2" s="1"/>
  <c r="P26" i="2"/>
  <c r="Q26" i="2" s="1"/>
  <c r="K26" i="2" l="1"/>
  <c r="N26" i="2"/>
  <c r="P27" i="2" l="1"/>
  <c r="Q27" i="2" s="1"/>
  <c r="L27" i="2"/>
  <c r="M27" i="2" s="1"/>
  <c r="N27" i="2" s="1"/>
  <c r="K27" i="2" l="1"/>
  <c r="L28" i="2" s="1"/>
  <c r="M28" i="2" s="1"/>
  <c r="K28" i="2" s="1"/>
  <c r="P29" i="2" l="1"/>
  <c r="Q29" i="2" s="1"/>
  <c r="L29" i="2"/>
  <c r="M29" i="2" s="1"/>
  <c r="K29" i="2" s="1"/>
  <c r="P28" i="2"/>
  <c r="Q28" i="2" s="1"/>
  <c r="N28" i="2"/>
  <c r="N29" i="2" l="1"/>
  <c r="P30" i="2"/>
  <c r="Q30" i="2" s="1"/>
  <c r="L30" i="2" l="1"/>
  <c r="M30" i="2" s="1"/>
  <c r="N30" i="2" s="1"/>
  <c r="K30" i="2" l="1"/>
  <c r="L31" i="2" s="1"/>
  <c r="M31" i="2" s="1"/>
  <c r="N31" i="2" s="1"/>
  <c r="P31" i="2" l="1"/>
  <c r="Q31" i="2" s="1"/>
  <c r="K31" i="2"/>
  <c r="L32" i="2" s="1"/>
  <c r="P32" i="2" s="1"/>
  <c r="Q32" i="2" s="1"/>
  <c r="Q33" i="2" l="1"/>
  <c r="B49" i="2" s="1"/>
  <c r="M32" i="2"/>
  <c r="M33" i="2" s="1"/>
  <c r="K32" i="2" l="1"/>
  <c r="K33" i="2" s="1"/>
  <c r="B46" i="2" s="1"/>
  <c r="N32" i="2"/>
  <c r="N33" i="2" s="1"/>
  <c r="B45" i="2" s="1"/>
</calcChain>
</file>

<file path=xl/sharedStrings.xml><?xml version="1.0" encoding="utf-8"?>
<sst xmlns="http://schemas.openxmlformats.org/spreadsheetml/2006/main" count="98" uniqueCount="97">
  <si>
    <t>Net Renewable Supply Charge</t>
  </si>
  <si>
    <t>True-Up Balance</t>
  </si>
  <si>
    <t>Total Charged</t>
  </si>
  <si>
    <t>Difference of Net Cost from Net Billed</t>
  </si>
  <si>
    <t>True-Up Billed</t>
  </si>
  <si>
    <t>Contract Sch 37 Rate x Renewable Output</t>
  </si>
  <si>
    <t>PPA Rate x Renewable Output</t>
  </si>
  <si>
    <t>Difference</t>
  </si>
  <si>
    <t>Total Annual Net Renewable Energy Cost + Total Excess Energy Adjusment</t>
  </si>
  <si>
    <t>CHECKS:</t>
  </si>
  <si>
    <t>Totals</t>
  </si>
  <si>
    <t>Total True-Up Billed + Total True-Up Balance</t>
  </si>
  <si>
    <t>Base Estimate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</si>
  <si>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</si>
  <si>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</si>
  <si>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</si>
  <si>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</si>
  <si>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</si>
  <si>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</si>
  <si>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</si>
  <si>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</si>
  <si>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</si>
  <si>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</si>
  <si>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</si>
  <si>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</si>
  <si>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</si>
  <si>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</si>
  <si>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</si>
  <si>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</si>
  <si>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</si>
  <si>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</si>
  <si>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</si>
  <si>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</si>
  <si>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o of prior year</t>
  </si>
  <si>
    <t>o from the prior year</t>
  </si>
  <si>
    <t>Excess Renewable Adjustment</t>
  </si>
  <si>
    <t>Total Annual True-up</t>
  </si>
  <si>
    <t>Difference from above</t>
  </si>
  <si>
    <t>Cost of Renewable Supply</t>
  </si>
  <si>
    <t>Resource Avoided Cost</t>
  </si>
  <si>
    <t xml:space="preserve">BILLING EXAMPLES </t>
  </si>
  <si>
    <t>Assumptions used in examples:</t>
  </si>
  <si>
    <t xml:space="preserve">[Estimated annual output of all Customer Renewable Resources] </t>
  </si>
  <si>
    <t>[Estimated Customer load at all Enrolled Meter]</t>
  </si>
  <si>
    <t>[Measured output of all Customer Renewable Resources]</t>
  </si>
  <si>
    <t>[Measured Customer energy usage at all Enrolled Meters]</t>
  </si>
  <si>
    <t>[Excess of Actual Output over Consumed Energy]</t>
  </si>
  <si>
    <t>Net Renewable Supply Charge x Actual Output</t>
  </si>
  <si>
    <t>Renewable Supply Rate x Consumed Energy</t>
  </si>
  <si>
    <t>[Under / (Over) Collected]</t>
  </si>
  <si>
    <t>[Net Commpany Cost for Excess Renewable Supply]</t>
  </si>
  <si>
    <t>Annual True-Up, or New Resource True-Up</t>
  </si>
  <si>
    <t>Defined Terms:</t>
  </si>
  <si>
    <t>Explanation:</t>
  </si>
  <si>
    <t>[Renewable Supply cost based on Actual Output]</t>
  </si>
  <si>
    <t>[Renewable Supply Charge billed based on prior period projections]</t>
  </si>
  <si>
    <t>[Prior-period $ to be worked off next period]</t>
  </si>
  <si>
    <t>[$/kWh applied to next period's Custgmer Load Esimate to work off prior true-up]</t>
  </si>
  <si>
    <t>[Prior period true-up $ actually collected; True-Up Rate x Consumed Energy]</t>
  </si>
  <si>
    <t>[Net remaining uncollected  balance of [ropr true-up]</t>
  </si>
  <si>
    <t>[$/kWh Net Renewable Supply Charge applied to Customer Load Estimate]</t>
  </si>
  <si>
    <t xml:space="preserve">[Total $/kWh charge next period; Net Renewable Supply Charge + true-up] </t>
  </si>
  <si>
    <t>[Total Net Renewable Supply Charge $ colected in prior year]</t>
  </si>
  <si>
    <t>Excess Renewable Supply Adjustment</t>
  </si>
  <si>
    <t>True-Up Period 1</t>
  </si>
  <si>
    <t>True-Up Period 2</t>
  </si>
  <si>
    <t>True-Up Period 3</t>
  </si>
  <si>
    <t>True-Up Period 4</t>
  </si>
  <si>
    <t>True-Up Period 5</t>
  </si>
  <si>
    <t>True-Up Period 6</t>
  </si>
  <si>
    <t>True-Up Period 7</t>
  </si>
  <si>
    <t>True-Up Period 8</t>
  </si>
  <si>
    <t>True-Up Period 9</t>
  </si>
  <si>
    <t>True-Up Period 10</t>
  </si>
  <si>
    <t>True-Up Period 11</t>
  </si>
  <si>
    <t>True-Up Period 12</t>
  </si>
  <si>
    <t>True-Up Period 15</t>
  </si>
  <si>
    <t>True-Up Period 16</t>
  </si>
  <si>
    <t>$/kWh</t>
  </si>
  <si>
    <t>Estimated Output
kWh</t>
  </si>
  <si>
    <t>Customer Load Esimate
kWh</t>
  </si>
  <si>
    <t>Consumed Energy
kWh</t>
  </si>
  <si>
    <t>Excess Renewable Supply
kWh</t>
  </si>
  <si>
    <t>Actual Output
kWh</t>
  </si>
  <si>
    <t>Renewable Supply Rate
$/kWh</t>
  </si>
  <si>
    <t>Total Rate
$/kWh</t>
  </si>
  <si>
    <t>True-Up Rate
$/kWh</t>
  </si>
  <si>
    <r>
      <t>True-Up Period 13</t>
    </r>
    <r>
      <rPr>
        <vertAlign val="superscript"/>
        <sz val="9.35"/>
        <color theme="1"/>
        <rFont val="Calibri"/>
        <family val="2"/>
      </rPr>
      <t>1</t>
    </r>
  </si>
  <si>
    <r>
      <t>Mid-Year True-up</t>
    </r>
    <r>
      <rPr>
        <vertAlign val="superscript"/>
        <sz val="9.35"/>
        <color theme="1"/>
        <rFont val="Calibri"/>
        <family val="2"/>
      </rPr>
      <t>2</t>
    </r>
  </si>
  <si>
    <r>
      <t>True-Up Period 14</t>
    </r>
    <r>
      <rPr>
        <vertAlign val="superscript"/>
        <sz val="9.35"/>
        <color theme="1"/>
        <rFont val="Calibri"/>
        <family val="2"/>
      </rPr>
      <t>3</t>
    </r>
  </si>
  <si>
    <t>2 - Mid-Year True-up representing additional renewable resources added to match customer load growth; no Excess Renewable Supply True-up is calculated at this time, it will be added in the next annual True-up Period.</t>
  </si>
  <si>
    <t>3 - Excess Renewable Supply calculated for both the current True-Up Period and the mid-year true-up period; Actual Output and Consumed Energy for each partial year period are summed prior to calculating Excess Renewable Supply.</t>
  </si>
  <si>
    <t>1 - Assume resource added mid-True-Up Period; Actual Output and Consumed Energy measured for Mid-Year True-up as caculated in the next row.</t>
  </si>
  <si>
    <t>Schedule 37 Avoided Cost Adjusted for Losses</t>
  </si>
  <si>
    <t>j * e</t>
  </si>
  <si>
    <r>
      <t xml:space="preserve">e  </t>
    </r>
    <r>
      <rPr>
        <i/>
        <sz val="11"/>
        <color theme="1"/>
        <rFont val="Calibri"/>
        <family val="2"/>
      </rPr>
      <t>(a - d)</t>
    </r>
  </si>
  <si>
    <t>Cost of Renewable Supply less Schedule 37 Avoided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</si>
</sst>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.00000_);_(&quot;$&quot;* \(#,##0.00000\);_(&quot;$&quot;* &quot;-&quot;??_);_(@_)"/>
    <numFmt numFmtId="166" formatCode="_(&quot;$&quot;* #,##0.000000_);_(&quot;$&quot;* \(#,##0.000000\);_(&quot;$&quot;* &quot;-&quot;??_);_(@_)"/>
    <numFmt numFmtId="167" formatCode="_(&quot;$&quot;* #,##0_);_(&quot;$&quot;* \(#,##0\);_(&quot;$&quot;* &quot;-&quot;??_);_(@_)"/>
    <numFmt numFmtId="168" formatCode="&quot;$&quot;#,##0.0000_);\(&quot;$&quot;#,##0.0000\)"/>
    <numFmt numFmtId="169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vertAlign val="superscript"/>
      <sz val="9.35"/>
      <color theme="1"/>
      <name val="Calibri"/>
      <family val="2"/>
    </font>
    <font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2" applyFont="1"/>
    <xf numFmtId="44" fontId="0" fillId="0" borderId="0" xfId="0" applyNumberFormat="1"/>
    <xf numFmtId="165" fontId="0" fillId="0" borderId="0" xfId="0" applyNumberFormat="1"/>
    <xf numFmtId="164" fontId="0" fillId="0" borderId="0" xfId="2" applyNumberFormat="1" applyFont="1"/>
    <xf numFmtId="166" fontId="0" fillId="0" borderId="0" xfId="0" applyNumberFormat="1"/>
    <xf numFmtId="44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 wrapText="1"/>
    </xf>
    <xf numFmtId="44" fontId="0" fillId="0" borderId="0" xfId="2" applyNumberFormat="1" applyFont="1" applyBorder="1"/>
    <xf numFmtId="165" fontId="0" fillId="0" borderId="0" xfId="0" applyNumberFormat="1" applyBorder="1" applyAlignment="1">
      <alignment horizontal="center" wrapText="1"/>
    </xf>
    <xf numFmtId="44" fontId="0" fillId="2" borderId="0" xfId="2" applyNumberFormat="1" applyFont="1" applyFill="1" applyBorder="1"/>
    <xf numFmtId="165" fontId="0" fillId="2" borderId="0" xfId="0" applyNumberFormat="1" applyFill="1" applyBorder="1" applyAlignment="1">
      <alignment horizontal="center" wrapText="1"/>
    </xf>
    <xf numFmtId="0" fontId="0" fillId="2" borderId="8" xfId="0" applyFill="1" applyBorder="1"/>
    <xf numFmtId="44" fontId="0" fillId="2" borderId="8" xfId="0" applyNumberFormat="1" applyFill="1" applyBorder="1"/>
    <xf numFmtId="165" fontId="0" fillId="3" borderId="0" xfId="0" applyNumberFormat="1" applyFill="1" applyBorder="1" applyAlignment="1">
      <alignment horizontal="center" wrapText="1"/>
    </xf>
    <xf numFmtId="37" fontId="0" fillId="0" borderId="1" xfId="0" applyNumberFormat="1" applyBorder="1" applyAlignment="1">
      <alignment horizontal="center" wrapText="1"/>
    </xf>
    <xf numFmtId="37" fontId="0" fillId="0" borderId="0" xfId="1" applyNumberFormat="1" applyFont="1" applyBorder="1" applyAlignment="1">
      <alignment horizontal="center" wrapText="1"/>
    </xf>
    <xf numFmtId="37" fontId="0" fillId="2" borderId="0" xfId="0" applyNumberFormat="1" applyFill="1" applyBorder="1" applyAlignment="1">
      <alignment horizontal="center" wrapText="1"/>
    </xf>
    <xf numFmtId="37" fontId="0" fillId="0" borderId="0" xfId="0" applyNumberFormat="1" applyBorder="1" applyAlignment="1">
      <alignment horizontal="center" wrapText="1"/>
    </xf>
    <xf numFmtId="37" fontId="0" fillId="2" borderId="0" xfId="1" applyNumberFormat="1" applyFont="1" applyFill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37" fontId="0" fillId="2" borderId="8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7" fontId="0" fillId="2" borderId="0" xfId="2" applyNumberFormat="1" applyFont="1" applyFill="1" applyBorder="1"/>
    <xf numFmtId="167" fontId="0" fillId="0" borderId="0" xfId="2" applyNumberFormat="1" applyFont="1" applyBorder="1"/>
    <xf numFmtId="167" fontId="0" fillId="2" borderId="8" xfId="0" applyNumberFormat="1" applyFill="1" applyBorder="1"/>
    <xf numFmtId="167" fontId="0" fillId="2" borderId="0" xfId="0" applyNumberFormat="1" applyFill="1" applyBorder="1"/>
    <xf numFmtId="167" fontId="0" fillId="0" borderId="0" xfId="0" applyNumberFormat="1" applyBorder="1"/>
    <xf numFmtId="164" fontId="0" fillId="2" borderId="8" xfId="0" applyNumberFormat="1" applyFill="1" applyBorder="1"/>
    <xf numFmtId="167" fontId="0" fillId="2" borderId="2" xfId="0" applyNumberFormat="1" applyFill="1" applyBorder="1" applyAlignment="1">
      <alignment horizontal="center" wrapText="1"/>
    </xf>
    <xf numFmtId="167" fontId="0" fillId="0" borderId="2" xfId="0" applyNumberFormat="1" applyBorder="1" applyAlignment="1">
      <alignment horizontal="center" wrapText="1"/>
    </xf>
    <xf numFmtId="167" fontId="0" fillId="2" borderId="9" xfId="0" applyNumberFormat="1" applyFill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0" fillId="0" borderId="0" xfId="0" quotePrefix="1"/>
    <xf numFmtId="0" fontId="0" fillId="0" borderId="0" xfId="0" applyBorder="1"/>
    <xf numFmtId="164" fontId="0" fillId="0" borderId="0" xfId="0" applyNumberFormat="1" applyBorder="1"/>
    <xf numFmtId="44" fontId="3" fillId="0" borderId="13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4" fontId="0" fillId="0" borderId="16" xfId="0" applyNumberFormat="1" applyBorder="1"/>
    <xf numFmtId="0" fontId="0" fillId="0" borderId="17" xfId="0" applyBorder="1"/>
    <xf numFmtId="0" fontId="3" fillId="0" borderId="17" xfId="0" applyFont="1" applyBorder="1" applyAlignment="1">
      <alignment horizontal="center"/>
    </xf>
    <xf numFmtId="0" fontId="0" fillId="0" borderId="18" xfId="0" applyBorder="1"/>
    <xf numFmtId="44" fontId="0" fillId="0" borderId="19" xfId="0" applyNumberFormat="1" applyBorder="1"/>
    <xf numFmtId="0" fontId="0" fillId="0" borderId="20" xfId="0" applyBorder="1"/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Continuous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0" fillId="0" borderId="16" xfId="0" applyFont="1" applyBorder="1"/>
    <xf numFmtId="0" fontId="0" fillId="0" borderId="18" xfId="0" applyFont="1" applyBorder="1"/>
    <xf numFmtId="0" fontId="0" fillId="0" borderId="1" xfId="0" applyFont="1" applyBorder="1" applyAlignment="1">
      <alignment wrapText="1"/>
    </xf>
    <xf numFmtId="44" fontId="0" fillId="0" borderId="2" xfId="0" applyNumberFormat="1" applyFont="1" applyBorder="1"/>
    <xf numFmtId="0" fontId="5" fillId="0" borderId="1" xfId="0" applyFont="1" applyBorder="1" applyAlignment="1">
      <alignment wrapText="1"/>
    </xf>
    <xf numFmtId="44" fontId="5" fillId="0" borderId="2" xfId="0" applyNumberFormat="1" applyFont="1" applyBorder="1"/>
    <xf numFmtId="0" fontId="0" fillId="0" borderId="2" xfId="0" applyFont="1" applyBorder="1"/>
    <xf numFmtId="0" fontId="0" fillId="0" borderId="19" xfId="0" applyBorder="1"/>
    <xf numFmtId="44" fontId="5" fillId="0" borderId="21" xfId="0" applyNumberFormat="1" applyFont="1" applyBorder="1"/>
    <xf numFmtId="44" fontId="0" fillId="0" borderId="21" xfId="0" applyNumberFormat="1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12" xfId="0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6" xfId="0" applyFont="1" applyBorder="1" applyAlignment="1">
      <alignment horizontal="center" vertical="top" wrapText="1"/>
    </xf>
    <xf numFmtId="44" fontId="0" fillId="0" borderId="2" xfId="2" applyNumberFormat="1" applyFont="1" applyBorder="1"/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167" fontId="0" fillId="0" borderId="0" xfId="0" applyNumberFormat="1"/>
    <xf numFmtId="168" fontId="0" fillId="0" borderId="10" xfId="0" applyNumberFormat="1" applyBorder="1"/>
    <xf numFmtId="168" fontId="0" fillId="0" borderId="5" xfId="0" applyNumberFormat="1" applyBorder="1"/>
    <xf numFmtId="168" fontId="0" fillId="0" borderId="11" xfId="0" applyNumberFormat="1" applyBorder="1"/>
    <xf numFmtId="169" fontId="0" fillId="0" borderId="0" xfId="2" applyNumberFormat="1" applyFont="1"/>
    <xf numFmtId="0" fontId="0" fillId="0" borderId="0" xfId="0" applyFill="1" applyBorder="1" applyAlignment="1">
      <alignment horizontal="left"/>
    </xf>
    <xf numFmtId="37" fontId="0" fillId="4" borderId="0" xfId="1" applyNumberFormat="1" applyFont="1" applyFill="1" applyBorder="1" applyAlignment="1">
      <alignment horizontal="center"/>
    </xf>
    <xf numFmtId="37" fontId="0" fillId="6" borderId="0" xfId="0" applyNumberFormat="1" applyFill="1" applyBorder="1" applyAlignment="1">
      <alignment horizontal="center" wrapText="1"/>
    </xf>
    <xf numFmtId="37" fontId="0" fillId="5" borderId="0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5" fontId="0" fillId="2" borderId="0" xfId="2" applyNumberFormat="1" applyFont="1" applyFill="1" applyBorder="1"/>
    <xf numFmtId="165" fontId="0" fillId="0" borderId="0" xfId="2" applyNumberFormat="1" applyFont="1" applyBorder="1"/>
    <xf numFmtId="37" fontId="0" fillId="7" borderId="0" xfId="1" applyNumberFormat="1" applyFont="1" applyFill="1" applyBorder="1" applyAlignment="1">
      <alignment horizontal="center"/>
    </xf>
    <xf numFmtId="167" fontId="0" fillId="0" borderId="0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="85" zoomScaleNormal="85" workbookViewId="0">
      <selection activeCell="B10" sqref="B10"/>
    </sheetView>
  </sheetViews>
  <sheetFormatPr defaultColWidth="8.85546875" defaultRowHeight="15" x14ac:dyDescent="0.25"/>
  <cols>
    <col min="1" max="1" width="48.28515625" customWidth="1"/>
    <col min="2" max="2" width="22.7109375" customWidth="1"/>
    <col min="3" max="3" width="15.7109375" customWidth="1"/>
    <col min="4" max="4" width="15.7109375" bestFit="1" customWidth="1"/>
    <col min="5" max="5" width="13.85546875" customWidth="1"/>
    <col min="6" max="6" width="14.85546875" customWidth="1"/>
    <col min="7" max="7" width="14" customWidth="1"/>
    <col min="8" max="8" width="15" customWidth="1"/>
    <col min="9" max="10" width="13.7109375" bestFit="1" customWidth="1"/>
    <col min="11" max="11" width="11.42578125" customWidth="1"/>
    <col min="12" max="13" width="13.7109375" customWidth="1"/>
    <col min="14" max="17" width="13.85546875" customWidth="1"/>
    <col min="18" max="18" width="12.42578125" customWidth="1"/>
    <col min="19" max="19" width="11.7109375" customWidth="1"/>
    <col min="20" max="20" width="17.42578125" bestFit="1" customWidth="1"/>
    <col min="21" max="21" width="16.7109375" bestFit="1" customWidth="1"/>
    <col min="22" max="22" width="15.28515625" bestFit="1" customWidth="1"/>
    <col min="23" max="23" width="12.42578125" bestFit="1" customWidth="1"/>
  </cols>
  <sheetData>
    <row r="1" spans="1:22" x14ac:dyDescent="0.25">
      <c r="A1" s="69" t="s">
        <v>40</v>
      </c>
    </row>
    <row r="2" spans="1:22" x14ac:dyDescent="0.25">
      <c r="A2" s="69"/>
    </row>
    <row r="3" spans="1:22" x14ac:dyDescent="0.25">
      <c r="A3" t="s">
        <v>41</v>
      </c>
      <c r="C3" s="93" t="s">
        <v>78</v>
      </c>
    </row>
    <row r="4" spans="1:22" x14ac:dyDescent="0.25">
      <c r="A4" s="66" t="s">
        <v>38</v>
      </c>
      <c r="C4" s="85">
        <v>2.8999999999999998E-2</v>
      </c>
      <c r="D4" s="53" t="s">
        <v>13</v>
      </c>
    </row>
    <row r="5" spans="1:22" x14ac:dyDescent="0.25">
      <c r="A5" s="67" t="s">
        <v>39</v>
      </c>
      <c r="C5" s="86">
        <v>2.8419999999999997E-2</v>
      </c>
      <c r="D5" s="54" t="s">
        <v>14</v>
      </c>
    </row>
    <row r="6" spans="1:22" x14ac:dyDescent="0.25">
      <c r="A6" s="67" t="s">
        <v>0</v>
      </c>
      <c r="C6" s="86">
        <f>C4-C5</f>
        <v>5.8000000000000065E-4</v>
      </c>
      <c r="D6" s="54" t="s">
        <v>15</v>
      </c>
    </row>
    <row r="7" spans="1:22" x14ac:dyDescent="0.25">
      <c r="A7" s="67" t="s">
        <v>93</v>
      </c>
      <c r="C7" s="86">
        <f>0.015*(1-0.0571)</f>
        <v>1.4143499999999998E-2</v>
      </c>
      <c r="D7" s="54" t="s">
        <v>16</v>
      </c>
    </row>
    <row r="8" spans="1:22" x14ac:dyDescent="0.25">
      <c r="A8" s="68" t="s">
        <v>96</v>
      </c>
      <c r="C8" s="87">
        <f>C4-C7</f>
        <v>1.48565E-2</v>
      </c>
      <c r="D8" s="55" t="s">
        <v>95</v>
      </c>
      <c r="T8" s="1"/>
      <c r="U8" s="1"/>
      <c r="V8" s="1"/>
    </row>
    <row r="9" spans="1:22" x14ac:dyDescent="0.25">
      <c r="A9" s="37"/>
      <c r="B9" s="38"/>
      <c r="C9" s="35"/>
      <c r="K9" s="36"/>
      <c r="T9" s="1"/>
      <c r="U9" s="1"/>
      <c r="V9" s="1"/>
    </row>
    <row r="10" spans="1:22" x14ac:dyDescent="0.25">
      <c r="B10" s="43"/>
      <c r="C10" s="44"/>
      <c r="D10" s="44"/>
      <c r="E10" s="44"/>
      <c r="F10" s="45" t="str">
        <f>D12&amp;" - "&amp;E12</f>
        <v>h - i</v>
      </c>
      <c r="G10" s="44"/>
      <c r="H10" s="44"/>
      <c r="I10" s="44"/>
      <c r="J10" s="44"/>
      <c r="K10" s="45" t="str">
        <f>I12&amp;"+"&amp;$J$12&amp;"+"&amp;$K$12&amp;"-"&amp;$M$12</f>
        <v>m+n+o-q</v>
      </c>
      <c r="L10" s="45" t="str">
        <f>K12&amp;" / "&amp;C12</f>
        <v>o / g</v>
      </c>
      <c r="M10" s="44"/>
      <c r="N10" s="45" t="str">
        <f>K12&amp;" - "&amp;M12</f>
        <v>o - q</v>
      </c>
      <c r="O10" s="44"/>
      <c r="P10" s="45" t="str">
        <f>"("&amp;B12&amp;" * "&amp;$D$6&amp;" + "&amp;K12&amp;")"&amp;" / "&amp;$C$12</f>
        <v>(f * c + o) / g</v>
      </c>
      <c r="Q10" s="46"/>
      <c r="T10" s="1"/>
      <c r="U10" s="1"/>
      <c r="V10" s="1"/>
    </row>
    <row r="11" spans="1:22" x14ac:dyDescent="0.25">
      <c r="B11" s="47"/>
      <c r="C11" s="48"/>
      <c r="D11" s="48"/>
      <c r="E11" s="48"/>
      <c r="F11" s="49" t="str">
        <f>"if "&amp;D12&amp;" &gt; "&amp;E12&amp;" , then 0"</f>
        <v>if h &gt; i , then 0</v>
      </c>
      <c r="G11" s="49" t="str">
        <f>D12&amp;" * "&amp;$D$6</f>
        <v>h * c</v>
      </c>
      <c r="H11" s="49" t="str">
        <f>E12&amp;" * "&amp;$O$12</f>
        <v>i * s</v>
      </c>
      <c r="I11" s="49" t="str">
        <f>G12&amp;" - "&amp;H12</f>
        <v>k - l</v>
      </c>
      <c r="J11" s="49" t="s">
        <v>94</v>
      </c>
      <c r="K11" s="50" t="s">
        <v>34</v>
      </c>
      <c r="L11" s="50"/>
      <c r="M11" s="49" t="str">
        <f>E12&amp;" + "&amp;L12</f>
        <v>i + p</v>
      </c>
      <c r="N11" s="51" t="s">
        <v>33</v>
      </c>
      <c r="O11" s="49" t="str">
        <f>"("&amp;B12&amp;" * "&amp;$D$6&amp;")"&amp;" / "&amp;$C$12</f>
        <v>(f * c) / g</v>
      </c>
      <c r="P11" s="51" t="s">
        <v>33</v>
      </c>
      <c r="Q11" s="52" t="str">
        <f>E12&amp;" * "&amp;$P$12</f>
        <v>i * t</v>
      </c>
      <c r="T11" s="1"/>
      <c r="U11" s="1"/>
      <c r="V11" s="1"/>
    </row>
    <row r="12" spans="1:22" x14ac:dyDescent="0.25">
      <c r="B12" s="39" t="s">
        <v>17</v>
      </c>
      <c r="C12" s="40" t="s">
        <v>18</v>
      </c>
      <c r="D12" s="41" t="s">
        <v>19</v>
      </c>
      <c r="E12" s="41" t="s">
        <v>20</v>
      </c>
      <c r="F12" s="40" t="s">
        <v>21</v>
      </c>
      <c r="G12" s="40" t="s">
        <v>22</v>
      </c>
      <c r="H12" s="40" t="s">
        <v>23</v>
      </c>
      <c r="I12" s="40" t="s">
        <v>24</v>
      </c>
      <c r="J12" s="40" t="s">
        <v>25</v>
      </c>
      <c r="K12" s="40" t="s">
        <v>26</v>
      </c>
      <c r="L12" s="40" t="s">
        <v>27</v>
      </c>
      <c r="M12" s="40" t="s">
        <v>28</v>
      </c>
      <c r="N12" s="40" t="s">
        <v>29</v>
      </c>
      <c r="O12" s="40" t="s">
        <v>30</v>
      </c>
      <c r="P12" s="40" t="s">
        <v>31</v>
      </c>
      <c r="Q12" s="42" t="s">
        <v>32</v>
      </c>
      <c r="T12" s="1"/>
      <c r="U12" s="1"/>
      <c r="V12" s="1"/>
    </row>
    <row r="13" spans="1:22" s="77" customFormat="1" ht="68.099999999999994" customHeight="1" thickBot="1" x14ac:dyDescent="0.3">
      <c r="A13" s="72" t="s">
        <v>52</v>
      </c>
      <c r="B13" s="73" t="s">
        <v>79</v>
      </c>
      <c r="C13" s="74" t="s">
        <v>80</v>
      </c>
      <c r="D13" s="74" t="s">
        <v>83</v>
      </c>
      <c r="E13" s="74" t="s">
        <v>81</v>
      </c>
      <c r="F13" s="74" t="s">
        <v>82</v>
      </c>
      <c r="G13" s="74" t="s">
        <v>47</v>
      </c>
      <c r="H13" s="74" t="s">
        <v>48</v>
      </c>
      <c r="I13" s="78" t="s">
        <v>3</v>
      </c>
      <c r="J13" s="74" t="s">
        <v>63</v>
      </c>
      <c r="K13" s="74" t="s">
        <v>51</v>
      </c>
      <c r="L13" s="74" t="s">
        <v>86</v>
      </c>
      <c r="M13" s="78" t="s">
        <v>4</v>
      </c>
      <c r="N13" s="74" t="s">
        <v>1</v>
      </c>
      <c r="O13" s="74" t="s">
        <v>84</v>
      </c>
      <c r="P13" s="78" t="s">
        <v>85</v>
      </c>
      <c r="Q13" s="75" t="s">
        <v>2</v>
      </c>
      <c r="R13" s="76"/>
      <c r="S13" s="76"/>
      <c r="T13" s="76"/>
    </row>
    <row r="14" spans="1:22" s="71" customFormat="1" ht="95.1" customHeight="1" thickBot="1" x14ac:dyDescent="0.3">
      <c r="A14" s="80" t="s">
        <v>53</v>
      </c>
      <c r="B14" s="81" t="s">
        <v>42</v>
      </c>
      <c r="C14" s="82" t="s">
        <v>43</v>
      </c>
      <c r="D14" s="82" t="s">
        <v>44</v>
      </c>
      <c r="E14" s="82" t="s">
        <v>45</v>
      </c>
      <c r="F14" s="82" t="s">
        <v>46</v>
      </c>
      <c r="G14" s="82" t="s">
        <v>54</v>
      </c>
      <c r="H14" s="82" t="s">
        <v>55</v>
      </c>
      <c r="I14" s="82" t="s">
        <v>49</v>
      </c>
      <c r="J14" s="82" t="s">
        <v>50</v>
      </c>
      <c r="K14" s="82" t="s">
        <v>56</v>
      </c>
      <c r="L14" s="82" t="s">
        <v>57</v>
      </c>
      <c r="M14" s="82" t="s">
        <v>58</v>
      </c>
      <c r="N14" s="82" t="s">
        <v>59</v>
      </c>
      <c r="O14" s="82" t="s">
        <v>60</v>
      </c>
      <c r="P14" s="82" t="s">
        <v>61</v>
      </c>
      <c r="Q14" s="83" t="s">
        <v>62</v>
      </c>
      <c r="R14" s="70"/>
      <c r="S14" s="70"/>
      <c r="T14" s="70"/>
    </row>
    <row r="15" spans="1:22" s="1" customFormat="1" x14ac:dyDescent="0.25">
      <c r="A15" s="23" t="s">
        <v>12</v>
      </c>
      <c r="B15" s="16">
        <v>100000</v>
      </c>
      <c r="C15" s="17"/>
      <c r="D15" s="17"/>
      <c r="E15" s="17"/>
      <c r="F15" s="17"/>
      <c r="G15" s="9"/>
      <c r="H15" s="9"/>
      <c r="I15" s="9"/>
      <c r="J15" s="9"/>
      <c r="K15" s="9"/>
      <c r="L15" s="9"/>
      <c r="M15" s="9"/>
      <c r="N15" s="9"/>
      <c r="O15" s="9"/>
      <c r="P15" s="9"/>
      <c r="Q15" s="79"/>
      <c r="T15" s="8"/>
    </row>
    <row r="16" spans="1:22" x14ac:dyDescent="0.25">
      <c r="A16" s="24" t="s">
        <v>64</v>
      </c>
      <c r="B16" s="20">
        <v>100000</v>
      </c>
      <c r="C16" s="20">
        <f>B16</f>
        <v>100000</v>
      </c>
      <c r="D16" s="20">
        <v>100000</v>
      </c>
      <c r="E16" s="20">
        <v>100000</v>
      </c>
      <c r="F16" s="18">
        <f t="shared" ref="F16:F32" si="0">IF(D16&gt;E16, D16-E16, 0)</f>
        <v>0</v>
      </c>
      <c r="G16" s="26">
        <f t="shared" ref="G16:G32" si="1">D16*$C$6</f>
        <v>58.000000000000064</v>
      </c>
      <c r="H16" s="26">
        <f>(O16*E16)</f>
        <v>58.000000000000064</v>
      </c>
      <c r="I16" s="26">
        <f>G16-H16</f>
        <v>0</v>
      </c>
      <c r="J16" s="29">
        <f t="shared" ref="J16:J32" si="2">F16*$C$8</f>
        <v>0</v>
      </c>
      <c r="K16" s="26">
        <f>I16+J16+(K15-M16)</f>
        <v>0</v>
      </c>
      <c r="L16" s="94">
        <f>(K15)/C16</f>
        <v>0</v>
      </c>
      <c r="M16" s="26">
        <f>L16*E16</f>
        <v>0</v>
      </c>
      <c r="N16" s="11">
        <f>K15-M16</f>
        <v>0</v>
      </c>
      <c r="O16" s="12">
        <f t="shared" ref="O16:O32" si="3">(B16*$C$6)/C16</f>
        <v>5.8000000000000065E-4</v>
      </c>
      <c r="P16" s="12">
        <f t="shared" ref="P16:P31" si="4">((B16*$C$6)+K15)/C16</f>
        <v>5.8000000000000065E-4</v>
      </c>
      <c r="Q16" s="32">
        <f>P16*E16</f>
        <v>58.000000000000064</v>
      </c>
      <c r="R16" s="88"/>
      <c r="S16" s="6"/>
      <c r="T16" s="7"/>
      <c r="U16" s="4"/>
    </row>
    <row r="17" spans="1:21" x14ac:dyDescent="0.25">
      <c r="A17" s="23" t="s">
        <v>65</v>
      </c>
      <c r="B17" s="21">
        <f>B16*99.6%</f>
        <v>99600</v>
      </c>
      <c r="C17" s="21">
        <f>C16</f>
        <v>100000</v>
      </c>
      <c r="D17" s="21">
        <v>95000</v>
      </c>
      <c r="E17" s="21">
        <v>90000</v>
      </c>
      <c r="F17" s="19">
        <f t="shared" si="0"/>
        <v>5000</v>
      </c>
      <c r="G17" s="27">
        <f>D17*$C$6</f>
        <v>55.100000000000065</v>
      </c>
      <c r="H17" s="27">
        <f t="shared" ref="H17:H32" si="5">(O17*E17)</f>
        <v>51.991200000000063</v>
      </c>
      <c r="I17" s="27">
        <f t="shared" ref="I17:I33" si="6">G17-H17</f>
        <v>3.1088000000000022</v>
      </c>
      <c r="J17" s="30">
        <f t="shared" si="2"/>
        <v>74.282499999999999</v>
      </c>
      <c r="K17" s="97">
        <f>I17+J17+(K16-M17)</f>
        <v>77.391300000000001</v>
      </c>
      <c r="L17" s="95">
        <f>(K16)/C17</f>
        <v>0</v>
      </c>
      <c r="M17" s="27">
        <f>L17*E17</f>
        <v>0</v>
      </c>
      <c r="N17" s="9">
        <f t="shared" ref="N17:N32" si="7">K16-M17</f>
        <v>0</v>
      </c>
      <c r="O17" s="10">
        <f>(B17*$C$6)/C17</f>
        <v>5.7768000000000066E-4</v>
      </c>
      <c r="P17" s="15">
        <f t="shared" si="4"/>
        <v>5.7768000000000066E-4</v>
      </c>
      <c r="Q17" s="33">
        <f t="shared" ref="Q17:Q32" si="8">P17*E17</f>
        <v>51.991200000000063</v>
      </c>
      <c r="R17" s="88"/>
      <c r="S17" s="6"/>
      <c r="T17" s="7"/>
      <c r="U17" s="4"/>
    </row>
    <row r="18" spans="1:21" x14ac:dyDescent="0.25">
      <c r="A18" s="24" t="s">
        <v>66</v>
      </c>
      <c r="B18" s="20">
        <f t="shared" ref="B18:B31" si="9">B17*99.6%</f>
        <v>99201.600000000006</v>
      </c>
      <c r="C18" s="20">
        <f t="shared" ref="C18:C23" si="10">C17</f>
        <v>100000</v>
      </c>
      <c r="D18" s="20">
        <v>95000</v>
      </c>
      <c r="E18" s="20">
        <v>95000</v>
      </c>
      <c r="F18" s="18">
        <f t="shared" si="0"/>
        <v>0</v>
      </c>
      <c r="G18" s="26">
        <f t="shared" si="1"/>
        <v>55.100000000000065</v>
      </c>
      <c r="H18" s="26">
        <f t="shared" si="5"/>
        <v>54.660081600000062</v>
      </c>
      <c r="I18" s="26">
        <f t="shared" si="6"/>
        <v>0.43991840000000337</v>
      </c>
      <c r="J18" s="29">
        <f t="shared" si="2"/>
        <v>0</v>
      </c>
      <c r="K18" s="26">
        <f t="shared" ref="K18:K32" si="11">I18+J18+(K17-M18)</f>
        <v>4.309483400000012</v>
      </c>
      <c r="L18" s="94">
        <f>(K17)/C18</f>
        <v>7.7391299999999999E-4</v>
      </c>
      <c r="M18" s="26">
        <f>L18*E18</f>
        <v>73.521734999999993</v>
      </c>
      <c r="N18" s="11">
        <f t="shared" si="7"/>
        <v>3.8695650000000086</v>
      </c>
      <c r="O18" s="12">
        <f t="shared" si="3"/>
        <v>5.7536928000000067E-4</v>
      </c>
      <c r="P18" s="12">
        <f>((B18*$C$6)+K17)/C18</f>
        <v>1.3492822800000007E-3</v>
      </c>
      <c r="Q18" s="32">
        <f t="shared" si="8"/>
        <v>128.18181660000008</v>
      </c>
      <c r="R18" s="88"/>
      <c r="S18" s="6"/>
      <c r="T18" s="7"/>
      <c r="U18" s="4"/>
    </row>
    <row r="19" spans="1:21" x14ac:dyDescent="0.25">
      <c r="A19" s="23" t="s">
        <v>67</v>
      </c>
      <c r="B19" s="21">
        <f t="shared" si="9"/>
        <v>98804.793600000005</v>
      </c>
      <c r="C19" s="21">
        <f t="shared" si="10"/>
        <v>100000</v>
      </c>
      <c r="D19" s="21">
        <v>95000</v>
      </c>
      <c r="E19" s="21">
        <v>105000</v>
      </c>
      <c r="F19" s="19">
        <f t="shared" si="0"/>
        <v>0</v>
      </c>
      <c r="G19" s="27">
        <f t="shared" si="1"/>
        <v>55.100000000000065</v>
      </c>
      <c r="H19" s="27">
        <f t="shared" si="5"/>
        <v>60.17211930240007</v>
      </c>
      <c r="I19" s="30">
        <f t="shared" si="6"/>
        <v>-5.0721193024000044</v>
      </c>
      <c r="J19" s="30">
        <f t="shared" si="2"/>
        <v>0</v>
      </c>
      <c r="K19" s="27">
        <f t="shared" si="11"/>
        <v>-5.2875934724000055</v>
      </c>
      <c r="L19" s="95">
        <f t="shared" ref="L19:L32" si="12">(K18)/C19</f>
        <v>4.3094834000000121E-5</v>
      </c>
      <c r="M19" s="27">
        <f t="shared" ref="M19:M32" si="13">L19*E19</f>
        <v>4.5249575700000131</v>
      </c>
      <c r="N19" s="9">
        <f t="shared" si="7"/>
        <v>-0.21547417000000113</v>
      </c>
      <c r="O19" s="10">
        <f t="shared" si="3"/>
        <v>5.7306780288000068E-4</v>
      </c>
      <c r="P19" s="15">
        <f t="shared" si="4"/>
        <v>6.1616263688000085E-4</v>
      </c>
      <c r="Q19" s="33">
        <f>P19*E19</f>
        <v>64.697076872400089</v>
      </c>
      <c r="R19" s="88"/>
      <c r="S19" s="6"/>
      <c r="T19" s="7"/>
      <c r="U19" s="4"/>
    </row>
    <row r="20" spans="1:21" x14ac:dyDescent="0.25">
      <c r="A20" s="24" t="s">
        <v>68</v>
      </c>
      <c r="B20" s="20">
        <f t="shared" si="9"/>
        <v>98409.574425600003</v>
      </c>
      <c r="C20" s="20">
        <f t="shared" si="10"/>
        <v>100000</v>
      </c>
      <c r="D20" s="20">
        <v>105000</v>
      </c>
      <c r="E20" s="20">
        <v>100000</v>
      </c>
      <c r="F20" s="18">
        <f t="shared" si="0"/>
        <v>5000</v>
      </c>
      <c r="G20" s="26">
        <f t="shared" si="1"/>
        <v>60.90000000000007</v>
      </c>
      <c r="H20" s="26">
        <f t="shared" si="5"/>
        <v>57.077553166848062</v>
      </c>
      <c r="I20" s="29">
        <f t="shared" si="6"/>
        <v>3.8224468331520072</v>
      </c>
      <c r="J20" s="29">
        <f t="shared" si="2"/>
        <v>74.282499999999999</v>
      </c>
      <c r="K20" s="26">
        <f t="shared" si="11"/>
        <v>78.104946833152013</v>
      </c>
      <c r="L20" s="94">
        <f t="shared" si="12"/>
        <v>-5.2875934724000056E-5</v>
      </c>
      <c r="M20" s="26">
        <f t="shared" si="13"/>
        <v>-5.2875934724000055</v>
      </c>
      <c r="N20" s="11">
        <f t="shared" si="7"/>
        <v>0</v>
      </c>
      <c r="O20" s="12">
        <f t="shared" si="3"/>
        <v>5.7077553166848065E-4</v>
      </c>
      <c r="P20" s="12">
        <f t="shared" si="4"/>
        <v>5.1789959694448066E-4</v>
      </c>
      <c r="Q20" s="32">
        <f t="shared" si="8"/>
        <v>51.789959694448065</v>
      </c>
      <c r="R20" s="88"/>
      <c r="S20" s="6"/>
      <c r="T20" s="7"/>
      <c r="U20" s="4"/>
    </row>
    <row r="21" spans="1:21" x14ac:dyDescent="0.25">
      <c r="A21" s="23" t="s">
        <v>69</v>
      </c>
      <c r="B21" s="21">
        <f t="shared" si="9"/>
        <v>98015.936127897599</v>
      </c>
      <c r="C21" s="21">
        <f t="shared" si="10"/>
        <v>100000</v>
      </c>
      <c r="D21" s="21">
        <v>105000</v>
      </c>
      <c r="E21" s="21">
        <v>95000</v>
      </c>
      <c r="F21" s="19">
        <f t="shared" si="0"/>
        <v>10000</v>
      </c>
      <c r="G21" s="27">
        <f t="shared" si="1"/>
        <v>60.90000000000007</v>
      </c>
      <c r="H21" s="27">
        <f t="shared" si="5"/>
        <v>54.006780806471639</v>
      </c>
      <c r="I21" s="30">
        <f t="shared" si="6"/>
        <v>6.8932191935284308</v>
      </c>
      <c r="J21" s="30">
        <f t="shared" si="2"/>
        <v>148.565</v>
      </c>
      <c r="K21" s="27">
        <f t="shared" si="11"/>
        <v>159.36346653518603</v>
      </c>
      <c r="L21" s="95">
        <f t="shared" si="12"/>
        <v>7.8104946833152018E-4</v>
      </c>
      <c r="M21" s="27">
        <f t="shared" si="13"/>
        <v>74.199699491494414</v>
      </c>
      <c r="N21" s="9">
        <f t="shared" si="7"/>
        <v>3.9052473416575992</v>
      </c>
      <c r="O21" s="10">
        <f t="shared" si="3"/>
        <v>5.6849242954180672E-4</v>
      </c>
      <c r="P21" s="15">
        <f t="shared" si="4"/>
        <v>1.349541897873327E-3</v>
      </c>
      <c r="Q21" s="33">
        <f t="shared" si="8"/>
        <v>128.20648029796607</v>
      </c>
      <c r="R21" s="88"/>
      <c r="S21" s="6"/>
      <c r="T21" s="7"/>
      <c r="U21" s="4"/>
    </row>
    <row r="22" spans="1:21" x14ac:dyDescent="0.25">
      <c r="A22" s="24" t="s">
        <v>70</v>
      </c>
      <c r="B22" s="20">
        <f t="shared" si="9"/>
        <v>97623.872383386013</v>
      </c>
      <c r="C22" s="20">
        <f t="shared" si="10"/>
        <v>100000</v>
      </c>
      <c r="D22" s="20">
        <v>105000</v>
      </c>
      <c r="E22" s="20">
        <v>105000</v>
      </c>
      <c r="F22" s="18">
        <f t="shared" si="0"/>
        <v>0</v>
      </c>
      <c r="G22" s="26">
        <f t="shared" si="1"/>
        <v>60.90000000000007</v>
      </c>
      <c r="H22" s="26">
        <f t="shared" si="5"/>
        <v>59.452938281482147</v>
      </c>
      <c r="I22" s="29">
        <f t="shared" si="6"/>
        <v>1.4470617185179222</v>
      </c>
      <c r="J22" s="29">
        <f t="shared" si="2"/>
        <v>0</v>
      </c>
      <c r="K22" s="26">
        <f t="shared" si="11"/>
        <v>-6.5211116082413909</v>
      </c>
      <c r="L22" s="94">
        <f t="shared" si="12"/>
        <v>1.5936346653518604E-3</v>
      </c>
      <c r="M22" s="26">
        <f t="shared" si="13"/>
        <v>167.33163986194535</v>
      </c>
      <c r="N22" s="11">
        <f t="shared" si="7"/>
        <v>-7.9681733267593131</v>
      </c>
      <c r="O22" s="12">
        <f t="shared" si="3"/>
        <v>5.6621845982363951E-4</v>
      </c>
      <c r="P22" s="12">
        <f t="shared" si="4"/>
        <v>2.1598531251754995E-3</v>
      </c>
      <c r="Q22" s="32">
        <f t="shared" si="8"/>
        <v>226.78457814342744</v>
      </c>
      <c r="R22" s="88"/>
      <c r="S22" s="6"/>
      <c r="T22" s="7"/>
      <c r="U22" s="4"/>
    </row>
    <row r="23" spans="1:21" x14ac:dyDescent="0.25">
      <c r="A23" s="23" t="s">
        <v>71</v>
      </c>
      <c r="B23" s="21">
        <f t="shared" si="9"/>
        <v>97233.376893852474</v>
      </c>
      <c r="C23" s="21">
        <f t="shared" si="10"/>
        <v>100000</v>
      </c>
      <c r="D23" s="21">
        <f>B23</f>
        <v>97233.376893852474</v>
      </c>
      <c r="E23" s="21">
        <v>100000</v>
      </c>
      <c r="F23" s="19">
        <f t="shared" si="0"/>
        <v>0</v>
      </c>
      <c r="G23" s="27">
        <f t="shared" si="1"/>
        <v>56.395358598434498</v>
      </c>
      <c r="H23" s="27">
        <f t="shared" si="5"/>
        <v>56.395358598434498</v>
      </c>
      <c r="I23" s="30">
        <f t="shared" si="6"/>
        <v>0</v>
      </c>
      <c r="J23" s="30">
        <f t="shared" si="2"/>
        <v>0</v>
      </c>
      <c r="K23" s="27">
        <f>I23+J23+(K22-M23)</f>
        <v>8.8817841970012523E-16</v>
      </c>
      <c r="L23" s="95">
        <f t="shared" si="12"/>
        <v>-6.5211116082413914E-5</v>
      </c>
      <c r="M23" s="27">
        <f t="shared" si="13"/>
        <v>-6.5211116082413918</v>
      </c>
      <c r="N23" s="9">
        <f t="shared" si="7"/>
        <v>0</v>
      </c>
      <c r="O23" s="10">
        <f t="shared" si="3"/>
        <v>5.6395358598434499E-4</v>
      </c>
      <c r="P23" s="15">
        <f t="shared" si="4"/>
        <v>4.987424699019311E-4</v>
      </c>
      <c r="Q23" s="33">
        <f t="shared" si="8"/>
        <v>49.874246990193107</v>
      </c>
      <c r="R23" s="88"/>
      <c r="S23" s="6"/>
      <c r="T23" s="7"/>
      <c r="U23" s="4"/>
    </row>
    <row r="24" spans="1:21" x14ac:dyDescent="0.25">
      <c r="A24" s="24" t="s">
        <v>72</v>
      </c>
      <c r="B24" s="20">
        <f>B23*99.6%</f>
        <v>96844.443386277067</v>
      </c>
      <c r="C24" s="20">
        <v>100000</v>
      </c>
      <c r="D24" s="20">
        <f t="shared" ref="D24:D25" si="14">B24</f>
        <v>96844.443386277067</v>
      </c>
      <c r="E24" s="20">
        <v>95000</v>
      </c>
      <c r="F24" s="18">
        <f t="shared" si="0"/>
        <v>1844.4433862770675</v>
      </c>
      <c r="G24" s="26">
        <f t="shared" si="1"/>
        <v>56.169777164040759</v>
      </c>
      <c r="H24" s="26">
        <f t="shared" si="5"/>
        <v>53.36128830583872</v>
      </c>
      <c r="I24" s="29">
        <f t="shared" si="6"/>
        <v>2.8084888582020398</v>
      </c>
      <c r="J24" s="29">
        <f t="shared" si="2"/>
        <v>27.401973168225254</v>
      </c>
      <c r="K24" s="26">
        <f>I24+J24+(K23-M24)</f>
        <v>30.210462026427294</v>
      </c>
      <c r="L24" s="94">
        <f>(K23)/C24</f>
        <v>8.881784197001253E-21</v>
      </c>
      <c r="M24" s="26">
        <f t="shared" si="13"/>
        <v>8.4376949871511903E-16</v>
      </c>
      <c r="N24" s="11">
        <f>K23-M24</f>
        <v>4.4408920985006202E-17</v>
      </c>
      <c r="O24" s="12">
        <f t="shared" si="3"/>
        <v>5.616977716404076E-4</v>
      </c>
      <c r="P24" s="12">
        <f>((B24*$C$6)+K23)/C24</f>
        <v>5.616977716404076E-4</v>
      </c>
      <c r="Q24" s="32">
        <f t="shared" si="8"/>
        <v>53.36128830583872</v>
      </c>
      <c r="R24" s="88"/>
      <c r="S24" s="6"/>
      <c r="T24" s="7"/>
      <c r="U24" s="4"/>
    </row>
    <row r="25" spans="1:21" x14ac:dyDescent="0.25">
      <c r="A25" s="23" t="s">
        <v>73</v>
      </c>
      <c r="B25" s="21">
        <f t="shared" si="9"/>
        <v>96457.065612731953</v>
      </c>
      <c r="C25" s="21">
        <f t="shared" ref="C25:C26" si="15">B25</f>
        <v>96457.065612731953</v>
      </c>
      <c r="D25" s="21">
        <f t="shared" si="14"/>
        <v>96457.065612731953</v>
      </c>
      <c r="E25" s="21">
        <v>100000</v>
      </c>
      <c r="F25" s="19">
        <f t="shared" si="0"/>
        <v>0</v>
      </c>
      <c r="G25" s="27">
        <f t="shared" si="1"/>
        <v>55.945098055384598</v>
      </c>
      <c r="H25" s="27">
        <f t="shared" si="5"/>
        <v>58.000000000000064</v>
      </c>
      <c r="I25" s="30">
        <f t="shared" si="6"/>
        <v>-2.0549019446154659</v>
      </c>
      <c r="J25" s="30">
        <f t="shared" si="2"/>
        <v>0</v>
      </c>
      <c r="K25" s="27">
        <f t="shared" si="11"/>
        <v>-3.1645530011634335</v>
      </c>
      <c r="L25" s="95">
        <f t="shared" si="12"/>
        <v>3.1320113082975262E-4</v>
      </c>
      <c r="M25" s="27">
        <f t="shared" si="13"/>
        <v>31.320113082975261</v>
      </c>
      <c r="N25" s="9">
        <f t="shared" si="7"/>
        <v>-1.1096510565479676</v>
      </c>
      <c r="O25" s="10">
        <f t="shared" si="3"/>
        <v>5.8000000000000065E-4</v>
      </c>
      <c r="P25" s="15">
        <f t="shared" si="4"/>
        <v>8.9320113082975343E-4</v>
      </c>
      <c r="Q25" s="33">
        <f t="shared" si="8"/>
        <v>89.32011308297534</v>
      </c>
      <c r="R25" s="88"/>
      <c r="S25" s="6"/>
      <c r="T25" s="7"/>
      <c r="U25" s="4"/>
    </row>
    <row r="26" spans="1:21" x14ac:dyDescent="0.25">
      <c r="A26" s="24" t="s">
        <v>74</v>
      </c>
      <c r="B26" s="20">
        <f t="shared" si="9"/>
        <v>96071.237350281022</v>
      </c>
      <c r="C26" s="20">
        <f t="shared" si="15"/>
        <v>96071.237350281022</v>
      </c>
      <c r="D26" s="20">
        <v>110000</v>
      </c>
      <c r="E26" s="20">
        <v>120000</v>
      </c>
      <c r="F26" s="18">
        <f t="shared" si="0"/>
        <v>0</v>
      </c>
      <c r="G26" s="26">
        <f t="shared" si="1"/>
        <v>63.800000000000075</v>
      </c>
      <c r="H26" s="26">
        <f t="shared" si="5"/>
        <v>69.60000000000008</v>
      </c>
      <c r="I26" s="29">
        <f t="shared" si="6"/>
        <v>-5.8000000000000043</v>
      </c>
      <c r="J26" s="29">
        <f t="shared" si="2"/>
        <v>0</v>
      </c>
      <c r="K26" s="26">
        <f t="shared" si="11"/>
        <v>-5.0117949165034483</v>
      </c>
      <c r="L26" s="94">
        <f t="shared" si="12"/>
        <v>-3.2939650705499911E-5</v>
      </c>
      <c r="M26" s="26">
        <f t="shared" si="13"/>
        <v>-3.9527580846599895</v>
      </c>
      <c r="N26" s="11">
        <f t="shared" si="7"/>
        <v>0.78820508349655594</v>
      </c>
      <c r="O26" s="12">
        <f t="shared" si="3"/>
        <v>5.8000000000000065E-4</v>
      </c>
      <c r="P26" s="12">
        <f t="shared" si="4"/>
        <v>5.470603492945007E-4</v>
      </c>
      <c r="Q26" s="32">
        <f t="shared" si="8"/>
        <v>65.647241915340089</v>
      </c>
      <c r="R26" s="88"/>
      <c r="S26" s="6"/>
      <c r="T26" s="7"/>
      <c r="U26" s="4"/>
    </row>
    <row r="27" spans="1:21" x14ac:dyDescent="0.25">
      <c r="A27" s="23" t="s">
        <v>75</v>
      </c>
      <c r="B27" s="21">
        <f t="shared" si="9"/>
        <v>95686.952400879891</v>
      </c>
      <c r="C27" s="21">
        <v>150000</v>
      </c>
      <c r="D27" s="21">
        <v>110000</v>
      </c>
      <c r="E27" s="21">
        <v>150000</v>
      </c>
      <c r="F27" s="19">
        <f t="shared" si="0"/>
        <v>0</v>
      </c>
      <c r="G27" s="27">
        <f t="shared" si="1"/>
        <v>63.800000000000075</v>
      </c>
      <c r="H27" s="27">
        <f t="shared" si="5"/>
        <v>55.498432392510395</v>
      </c>
      <c r="I27" s="30">
        <f>G27-H27</f>
        <v>8.3015676074896803</v>
      </c>
      <c r="J27" s="30">
        <f t="shared" si="2"/>
        <v>0</v>
      </c>
      <c r="K27" s="27">
        <f t="shared" si="11"/>
        <v>8.3015676074896803</v>
      </c>
      <c r="L27" s="95">
        <f t="shared" si="12"/>
        <v>-3.3411966110022992E-5</v>
      </c>
      <c r="M27" s="27">
        <f t="shared" si="13"/>
        <v>-5.0117949165034483</v>
      </c>
      <c r="N27" s="9">
        <f t="shared" si="7"/>
        <v>0</v>
      </c>
      <c r="O27" s="10">
        <f t="shared" si="3"/>
        <v>3.6998954928340265E-4</v>
      </c>
      <c r="P27" s="15">
        <f t="shared" si="4"/>
        <v>3.3657758317337972E-4</v>
      </c>
      <c r="Q27" s="33">
        <f t="shared" si="8"/>
        <v>50.486637476006955</v>
      </c>
      <c r="R27" s="88"/>
      <c r="S27" s="6"/>
      <c r="T27" s="7"/>
      <c r="U27" s="4"/>
    </row>
    <row r="28" spans="1:21" x14ac:dyDescent="0.25">
      <c r="A28" s="24" t="s">
        <v>87</v>
      </c>
      <c r="B28" s="20">
        <f t="shared" si="9"/>
        <v>95304.204591276372</v>
      </c>
      <c r="C28" s="20">
        <v>150000</v>
      </c>
      <c r="D28" s="96">
        <v>50000</v>
      </c>
      <c r="E28" s="96">
        <v>75000</v>
      </c>
      <c r="F28" s="18">
        <f t="shared" si="0"/>
        <v>0</v>
      </c>
      <c r="G28" s="26">
        <f t="shared" si="1"/>
        <v>29.000000000000032</v>
      </c>
      <c r="H28" s="26">
        <f t="shared" si="5"/>
        <v>27.638219331470179</v>
      </c>
      <c r="I28" s="29">
        <f t="shared" si="6"/>
        <v>1.3617806685298532</v>
      </c>
      <c r="J28" s="29">
        <f t="shared" si="2"/>
        <v>0</v>
      </c>
      <c r="K28" s="26">
        <f t="shared" si="11"/>
        <v>5.5125644722746934</v>
      </c>
      <c r="L28" s="94">
        <f t="shared" si="12"/>
        <v>5.5343784049931203E-5</v>
      </c>
      <c r="M28" s="26">
        <f t="shared" si="13"/>
        <v>4.1507838037448401</v>
      </c>
      <c r="N28" s="11">
        <f t="shared" si="7"/>
        <v>4.1507838037448401</v>
      </c>
      <c r="O28" s="12">
        <f t="shared" si="3"/>
        <v>3.6850959108626906E-4</v>
      </c>
      <c r="P28" s="12">
        <f t="shared" si="4"/>
        <v>4.2385337513620023E-4</v>
      </c>
      <c r="Q28" s="32">
        <f t="shared" si="8"/>
        <v>31.789003135215019</v>
      </c>
      <c r="R28" s="88"/>
      <c r="S28" s="6"/>
      <c r="T28" s="7"/>
      <c r="U28" s="4"/>
    </row>
    <row r="29" spans="1:21" x14ac:dyDescent="0.25">
      <c r="A29" s="23" t="s">
        <v>88</v>
      </c>
      <c r="B29" s="90">
        <f>150000/2</f>
        <v>75000</v>
      </c>
      <c r="C29" s="21">
        <f>150000/2</f>
        <v>75000</v>
      </c>
      <c r="D29" s="21">
        <f>149500/2</f>
        <v>74750</v>
      </c>
      <c r="E29" s="21">
        <f>148900/2</f>
        <v>74450</v>
      </c>
      <c r="F29" s="91"/>
      <c r="G29" s="27">
        <f>D29*$C$6</f>
        <v>43.355000000000047</v>
      </c>
      <c r="H29" s="27">
        <f>(O29*E29)</f>
        <v>43.181000000000047</v>
      </c>
      <c r="I29" s="30">
        <f>G29-H29</f>
        <v>0.17399999999999949</v>
      </c>
      <c r="J29" s="30">
        <f t="shared" ref="J29" si="16">F29*$C$8</f>
        <v>0</v>
      </c>
      <c r="K29" s="27">
        <f>I29+J29+(K28-M29)</f>
        <v>0.21442547279668123</v>
      </c>
      <c r="L29" s="95">
        <f t="shared" ref="L29" si="17">(K28)/C29</f>
        <v>7.3500859630329238E-5</v>
      </c>
      <c r="M29" s="27">
        <f>L29*E29</f>
        <v>5.4721389994780116</v>
      </c>
      <c r="N29" s="9">
        <f>K28-M29</f>
        <v>4.0425472796681738E-2</v>
      </c>
      <c r="O29" s="10">
        <f t="shared" ref="O29" si="18">(B29*$C$6)/C29</f>
        <v>5.8000000000000065E-4</v>
      </c>
      <c r="P29" s="15">
        <f t="shared" ref="P29" si="19">((B29*$C$6)+K28)/C29</f>
        <v>6.5350085963032992E-4</v>
      </c>
      <c r="Q29" s="33">
        <f t="shared" ref="Q29" si="20">P29*E29</f>
        <v>48.65313899947806</v>
      </c>
      <c r="R29" s="88"/>
      <c r="S29" s="6"/>
      <c r="T29" s="7"/>
      <c r="U29" s="4"/>
    </row>
    <row r="30" spans="1:21" x14ac:dyDescent="0.25">
      <c r="A30" s="24" t="s">
        <v>89</v>
      </c>
      <c r="B30" s="20">
        <f>B28*0.996+55000*0.996</f>
        <v>149702.98777291126</v>
      </c>
      <c r="C30" s="20">
        <v>150000</v>
      </c>
      <c r="D30" s="20">
        <f>D29*0.996</f>
        <v>74451</v>
      </c>
      <c r="E30" s="20">
        <v>74500</v>
      </c>
      <c r="F30" s="92">
        <f>IF(SUM(D29:D30)&gt;SUM(E29:E30),SUM(D29:D30)-SUM(E29:E30),0)</f>
        <v>251</v>
      </c>
      <c r="G30" s="26">
        <f t="shared" ref="G30" si="21">D30*$C$6</f>
        <v>43.181580000000046</v>
      </c>
      <c r="H30" s="26">
        <f t="shared" ref="H30" si="22">(O30*E30)</f>
        <v>43.124440677783348</v>
      </c>
      <c r="I30" s="29">
        <f t="shared" ref="I30" si="23">G30-H30</f>
        <v>5.7139322216698929E-2</v>
      </c>
      <c r="J30" s="29">
        <f t="shared" ref="J30" si="24">F30*$C$8</f>
        <v>3.7289815000000002</v>
      </c>
      <c r="K30" s="26">
        <f t="shared" ref="K30" si="25">I30+J30+(K29-M30)</f>
        <v>3.8940483101910286</v>
      </c>
      <c r="L30" s="94">
        <f t="shared" ref="L30" si="26">(K29)/C30</f>
        <v>1.4295031519778749E-6</v>
      </c>
      <c r="M30" s="26">
        <f t="shared" ref="M30" si="27">L30*E30</f>
        <v>0.10649798482235168</v>
      </c>
      <c r="N30" s="11">
        <f t="shared" ref="N30" si="28">K29-M30</f>
        <v>0.10792748797432955</v>
      </c>
      <c r="O30" s="12">
        <f t="shared" ref="O30" si="29">(B30*$C$6)/C30</f>
        <v>5.7885155272192413E-4</v>
      </c>
      <c r="P30" s="12">
        <f t="shared" ref="P30" si="30">((B30*$C$6)+K29)/C30</f>
        <v>5.8028105587390206E-4</v>
      </c>
      <c r="Q30" s="32">
        <f t="shared" ref="Q30" si="31">P30*E30</f>
        <v>43.230938662605702</v>
      </c>
      <c r="R30" s="88"/>
      <c r="S30" s="6"/>
      <c r="T30" s="7"/>
      <c r="U30" s="4"/>
    </row>
    <row r="31" spans="1:21" x14ac:dyDescent="0.25">
      <c r="A31" s="23" t="s">
        <v>76</v>
      </c>
      <c r="B31" s="21">
        <f t="shared" si="9"/>
        <v>149104.1758218196</v>
      </c>
      <c r="C31" s="21">
        <v>148000</v>
      </c>
      <c r="D31" s="21">
        <f>D30*0.996</f>
        <v>74153.195999999996</v>
      </c>
      <c r="E31" s="21">
        <f>C31</f>
        <v>148000</v>
      </c>
      <c r="F31" s="19">
        <f t="shared" si="0"/>
        <v>0</v>
      </c>
      <c r="G31" s="27">
        <f t="shared" si="1"/>
        <v>43.008853680000044</v>
      </c>
      <c r="H31" s="27">
        <f t="shared" si="5"/>
        <v>86.480421976655464</v>
      </c>
      <c r="I31" s="30">
        <f t="shared" si="6"/>
        <v>-43.47156829665542</v>
      </c>
      <c r="J31" s="30">
        <f t="shared" si="2"/>
        <v>0</v>
      </c>
      <c r="K31" s="27">
        <f t="shared" si="11"/>
        <v>-43.47156829665542</v>
      </c>
      <c r="L31" s="95">
        <f t="shared" si="12"/>
        <v>2.6311137231020465E-5</v>
      </c>
      <c r="M31" s="27">
        <f t="shared" si="13"/>
        <v>3.8940483101910286</v>
      </c>
      <c r="N31" s="9">
        <f t="shared" si="7"/>
        <v>0</v>
      </c>
      <c r="O31" s="10">
        <f t="shared" si="3"/>
        <v>5.8432717551794235E-4</v>
      </c>
      <c r="P31" s="15">
        <f t="shared" si="4"/>
        <v>6.1063831274896273E-4</v>
      </c>
      <c r="Q31" s="33">
        <f>P31*E31</f>
        <v>90.374470286846488</v>
      </c>
      <c r="R31" s="88"/>
      <c r="S31" s="6"/>
      <c r="T31" s="7"/>
      <c r="U31" s="4"/>
    </row>
    <row r="32" spans="1:21" ht="15.75" thickBot="1" x14ac:dyDescent="0.3">
      <c r="A32" s="24" t="s">
        <v>77</v>
      </c>
      <c r="B32" s="20"/>
      <c r="C32" s="20">
        <v>100000</v>
      </c>
      <c r="D32" s="20"/>
      <c r="E32" s="20">
        <f>C32</f>
        <v>100000</v>
      </c>
      <c r="F32" s="18">
        <f t="shared" si="0"/>
        <v>0</v>
      </c>
      <c r="G32" s="26">
        <f t="shared" si="1"/>
        <v>0</v>
      </c>
      <c r="H32" s="26">
        <f t="shared" si="5"/>
        <v>0</v>
      </c>
      <c r="I32" s="29">
        <f t="shared" si="6"/>
        <v>0</v>
      </c>
      <c r="J32" s="29">
        <f t="shared" si="2"/>
        <v>0</v>
      </c>
      <c r="K32" s="26">
        <f t="shared" si="11"/>
        <v>0</v>
      </c>
      <c r="L32" s="94">
        <f t="shared" si="12"/>
        <v>-4.347156829665542E-4</v>
      </c>
      <c r="M32" s="26">
        <f t="shared" si="13"/>
        <v>-43.47156829665542</v>
      </c>
      <c r="N32" s="11">
        <f t="shared" si="7"/>
        <v>0</v>
      </c>
      <c r="O32" s="12">
        <f t="shared" si="3"/>
        <v>0</v>
      </c>
      <c r="P32" s="12">
        <f>L32+O32</f>
        <v>-4.347156829665542E-4</v>
      </c>
      <c r="Q32" s="32">
        <f t="shared" si="8"/>
        <v>-43.47156829665542</v>
      </c>
      <c r="R32" s="88"/>
      <c r="S32" s="6"/>
      <c r="T32" s="7"/>
      <c r="U32" s="4"/>
    </row>
    <row r="33" spans="1:23" ht="15.75" thickBot="1" x14ac:dyDescent="0.3">
      <c r="A33" s="25" t="s">
        <v>10</v>
      </c>
      <c r="B33" s="22"/>
      <c r="C33" s="22"/>
      <c r="D33" s="22"/>
      <c r="E33" s="22"/>
      <c r="F33" s="22">
        <f>SUM(F15:F32)</f>
        <v>22095.443386277067</v>
      </c>
      <c r="G33" s="28">
        <f t="shared" ref="G33" si="32">SUM(G16:G32)</f>
        <v>860.65566749786069</v>
      </c>
      <c r="H33" s="28">
        <f>SUM(H16:H32)</f>
        <v>888.63983443989491</v>
      </c>
      <c r="I33" s="28">
        <f t="shared" si="6"/>
        <v>-27.984166942034221</v>
      </c>
      <c r="J33" s="28">
        <f>SUM(J16:J32)</f>
        <v>328.26095466822522</v>
      </c>
      <c r="K33" s="28">
        <f>SUM(K16:K32)</f>
        <v>303.84564336255369</v>
      </c>
      <c r="L33" s="31"/>
      <c r="M33" s="28">
        <f>SUM(M16:M32)</f>
        <v>300.27678772619106</v>
      </c>
      <c r="N33" s="14">
        <f>SUM(N15:N32)</f>
        <v>3.5688556363627333</v>
      </c>
      <c r="O33" s="13"/>
      <c r="P33" s="13"/>
      <c r="Q33" s="34">
        <f>SUM(Q16:Q32)</f>
        <v>1188.9166221660857</v>
      </c>
      <c r="R33" s="84"/>
      <c r="S33" s="3"/>
      <c r="T33" s="3"/>
      <c r="U33" s="2"/>
    </row>
    <row r="34" spans="1:23" x14ac:dyDescent="0.25">
      <c r="K34" s="3"/>
      <c r="L34" s="5"/>
      <c r="M34" s="5"/>
      <c r="W34" s="3"/>
    </row>
    <row r="35" spans="1:23" x14ac:dyDescent="0.25">
      <c r="A35" s="89" t="s">
        <v>92</v>
      </c>
      <c r="B35" s="37"/>
      <c r="D35" s="37"/>
      <c r="E35" s="37"/>
      <c r="L35" s="5"/>
      <c r="M35" s="5"/>
      <c r="W35" s="3"/>
    </row>
    <row r="36" spans="1:23" x14ac:dyDescent="0.25">
      <c r="A36" s="89" t="s">
        <v>90</v>
      </c>
      <c r="B36" s="37"/>
      <c r="D36" s="37"/>
      <c r="E36" s="37"/>
      <c r="K36" s="3"/>
      <c r="L36" s="5"/>
      <c r="M36" s="5"/>
      <c r="W36" s="3"/>
    </row>
    <row r="37" spans="1:23" x14ac:dyDescent="0.25">
      <c r="A37" s="89" t="s">
        <v>91</v>
      </c>
      <c r="B37" s="37"/>
      <c r="D37" s="37"/>
      <c r="E37" s="37"/>
      <c r="K37" s="3"/>
      <c r="L37" s="5"/>
      <c r="M37" s="5"/>
      <c r="W37" s="3"/>
    </row>
    <row r="38" spans="1:23" x14ac:dyDescent="0.25">
      <c r="K38" s="3"/>
      <c r="L38" s="5"/>
      <c r="M38" s="5"/>
      <c r="W38" s="3"/>
    </row>
    <row r="39" spans="1:23" x14ac:dyDescent="0.25">
      <c r="A39" s="56" t="s">
        <v>9</v>
      </c>
      <c r="B39" s="57"/>
      <c r="I39" s="3"/>
      <c r="J39" s="3"/>
      <c r="K39" s="3"/>
      <c r="L39" s="3"/>
      <c r="M39" s="3"/>
    </row>
    <row r="40" spans="1:23" x14ac:dyDescent="0.25">
      <c r="A40" s="58" t="s">
        <v>6</v>
      </c>
      <c r="B40" s="59">
        <f>C4*F33</f>
        <v>640.76785820203486</v>
      </c>
    </row>
    <row r="41" spans="1:23" x14ac:dyDescent="0.25">
      <c r="A41" s="58" t="s">
        <v>5</v>
      </c>
      <c r="B41" s="65">
        <f>C7*F33</f>
        <v>312.50690353380963</v>
      </c>
      <c r="L41" s="3"/>
      <c r="M41" s="3"/>
    </row>
    <row r="42" spans="1:23" x14ac:dyDescent="0.25">
      <c r="A42" s="58" t="s">
        <v>7</v>
      </c>
      <c r="B42" s="59">
        <f>B40-B41</f>
        <v>328.26095466822522</v>
      </c>
      <c r="L42" s="3"/>
      <c r="M42" s="3"/>
    </row>
    <row r="43" spans="1:23" x14ac:dyDescent="0.25">
      <c r="A43" s="60" t="s">
        <v>35</v>
      </c>
      <c r="B43" s="61">
        <f>J33</f>
        <v>328.26095466822522</v>
      </c>
      <c r="L43" s="3"/>
      <c r="M43" s="3"/>
    </row>
    <row r="44" spans="1:23" x14ac:dyDescent="0.25">
      <c r="A44" s="58"/>
      <c r="B44" s="62"/>
      <c r="L44" s="3"/>
      <c r="M44" s="3"/>
    </row>
    <row r="45" spans="1:23" x14ac:dyDescent="0.25">
      <c r="A45" s="58" t="s">
        <v>11</v>
      </c>
      <c r="B45" s="59">
        <f>M33+N33</f>
        <v>303.8456433625538</v>
      </c>
    </row>
    <row r="46" spans="1:23" x14ac:dyDescent="0.25">
      <c r="A46" s="60" t="s">
        <v>36</v>
      </c>
      <c r="B46" s="61">
        <f>K33</f>
        <v>303.84564336255369</v>
      </c>
    </row>
    <row r="47" spans="1:23" x14ac:dyDescent="0.25">
      <c r="A47" s="58"/>
      <c r="B47" s="62"/>
    </row>
    <row r="48" spans="1:23" ht="30" x14ac:dyDescent="0.25">
      <c r="A48" s="58" t="s">
        <v>8</v>
      </c>
      <c r="B48" s="59">
        <f>G33+J33</f>
        <v>1188.916622166086</v>
      </c>
    </row>
    <row r="49" spans="1:2" x14ac:dyDescent="0.25">
      <c r="A49" s="63" t="s">
        <v>37</v>
      </c>
      <c r="B49" s="64">
        <f>B48-Q33</f>
        <v>0</v>
      </c>
    </row>
  </sheetData>
  <pageMargins left="0.7" right="0.7" top="0.75" bottom="0.75" header="0.3" footer="0.3"/>
  <pageSetup paperSize="3" scale="71" orientation="landscape" r:id="rId1"/>
  <headerFooter>
    <oddHeader>&amp;L&amp;"-,Bold"&amp;14Exhibit RMP___ (KTM-2)
RESC Billing Formula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Examples</vt:lpstr>
      <vt:lpstr>'Billing Examples'!Print_Area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McDermott, Jacob</dc:creator>
  <cp:lastModifiedBy>Fred Nass</cp:lastModifiedBy>
  <cp:lastPrinted>2019-10-16T20:54:12Z</cp:lastPrinted>
  <dcterms:created xsi:type="dcterms:W3CDTF">2019-09-06T23:18:07Z</dcterms:created>
  <dcterms:modified xsi:type="dcterms:W3CDTF">2019-10-17T15:26:40Z</dcterms:modified>
</cp:coreProperties>
</file>