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595"/>
  </bookViews>
  <sheets>
    <sheet name="Exh C - Bal Acct with Refund" sheetId="1" r:id="rId1"/>
  </sheets>
  <externalReferences>
    <externalReference r:id="rId2"/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B72" i="1"/>
  <c r="B71" i="1"/>
  <c r="B70" i="1"/>
  <c r="B69" i="1"/>
  <c r="B68" i="1"/>
  <c r="B67" i="1"/>
  <c r="B66" i="1"/>
  <c r="B65" i="1"/>
  <c r="B64" i="1"/>
  <c r="B63" i="1"/>
  <c r="D62" i="1"/>
  <c r="D73" i="1" s="1"/>
  <c r="B62" i="1"/>
  <c r="B61" i="1"/>
  <c r="B73" i="1" s="1"/>
  <c r="D59" i="1"/>
  <c r="C59" i="1"/>
  <c r="B59" i="1"/>
  <c r="B58" i="1"/>
  <c r="G80" i="1" s="1"/>
  <c r="D45" i="1"/>
  <c r="C45" i="1"/>
  <c r="B45" i="1"/>
  <c r="F33" i="1"/>
  <c r="E34" i="1" s="1"/>
  <c r="E33" i="1"/>
  <c r="D29" i="1"/>
  <c r="C29" i="1"/>
  <c r="B29" i="1"/>
  <c r="F17" i="1"/>
  <c r="E17" i="1"/>
  <c r="C11" i="1"/>
  <c r="E18" i="1" l="1"/>
  <c r="G17" i="1"/>
  <c r="C75" i="1"/>
  <c r="F34" i="1"/>
  <c r="G33" i="1"/>
  <c r="J17" i="1"/>
  <c r="J33" i="1"/>
  <c r="J34" i="1" s="1"/>
  <c r="G84" i="1"/>
  <c r="E35" i="1" l="1"/>
  <c r="G34" i="1"/>
  <c r="J18" i="1"/>
  <c r="F18" i="1"/>
  <c r="E19" i="1" l="1"/>
  <c r="G18" i="1"/>
  <c r="F19" i="1"/>
  <c r="J35" i="1"/>
  <c r="F35" i="1"/>
  <c r="E20" i="1" l="1"/>
  <c r="G19" i="1"/>
  <c r="F20" i="1"/>
  <c r="J36" i="1"/>
  <c r="E36" i="1"/>
  <c r="F36" i="1"/>
  <c r="G35" i="1"/>
  <c r="J19" i="1"/>
  <c r="J20" i="1" s="1"/>
  <c r="E21" i="1" l="1"/>
  <c r="G20" i="1"/>
  <c r="F21" i="1"/>
  <c r="E37" i="1"/>
  <c r="J37" i="1" s="1"/>
  <c r="G36" i="1"/>
  <c r="F37" i="1"/>
  <c r="J21" i="1"/>
  <c r="E22" i="1" l="1"/>
  <c r="G21" i="1"/>
  <c r="F22" i="1"/>
  <c r="E38" i="1"/>
  <c r="J38" i="1" s="1"/>
  <c r="F38" i="1"/>
  <c r="G37" i="1"/>
  <c r="J22" i="1"/>
  <c r="E23" i="1" l="1"/>
  <c r="J23" i="1" s="1"/>
  <c r="G22" i="1"/>
  <c r="F23" i="1"/>
  <c r="E39" i="1"/>
  <c r="J39" i="1" s="1"/>
  <c r="G38" i="1"/>
  <c r="E24" i="1" l="1"/>
  <c r="F24" i="1" s="1"/>
  <c r="G23" i="1"/>
  <c r="F39" i="1"/>
  <c r="E25" i="1" l="1"/>
  <c r="G24" i="1"/>
  <c r="F25" i="1"/>
  <c r="E40" i="1"/>
  <c r="J40" i="1" s="1"/>
  <c r="G39" i="1"/>
  <c r="J24" i="1"/>
  <c r="J25" i="1" s="1"/>
  <c r="E26" i="1" l="1"/>
  <c r="J26" i="1" s="1"/>
  <c r="G25" i="1"/>
  <c r="F40" i="1"/>
  <c r="F26" i="1" l="1"/>
  <c r="E41" i="1"/>
  <c r="J41" i="1" s="1"/>
  <c r="F41" i="1"/>
  <c r="G40" i="1"/>
  <c r="E42" i="1" l="1"/>
  <c r="F42" i="1" s="1"/>
  <c r="G41" i="1"/>
  <c r="J42" i="1"/>
  <c r="E27" i="1"/>
  <c r="J27" i="1" s="1"/>
  <c r="G26" i="1"/>
  <c r="E43" i="1" l="1"/>
  <c r="F43" i="1" s="1"/>
  <c r="G42" i="1"/>
  <c r="J43" i="1"/>
  <c r="F27" i="1"/>
  <c r="E44" i="1" l="1"/>
  <c r="E45" i="1" s="1"/>
  <c r="F44" i="1"/>
  <c r="G43" i="1"/>
  <c r="E28" i="1"/>
  <c r="G27" i="1"/>
  <c r="E47" i="1" l="1"/>
  <c r="F47" i="1" s="1"/>
  <c r="G44" i="1"/>
  <c r="E29" i="1"/>
  <c r="J28" i="1"/>
  <c r="J44" i="1"/>
  <c r="F28" i="1"/>
  <c r="G28" i="1" s="1"/>
  <c r="E48" i="1" l="1"/>
  <c r="F48" i="1" s="1"/>
  <c r="G47" i="1"/>
  <c r="J47" i="1"/>
  <c r="J48" i="1" s="1"/>
  <c r="E49" i="1" l="1"/>
  <c r="F49" i="1"/>
  <c r="G48" i="1"/>
  <c r="J49" i="1"/>
  <c r="E50" i="1" l="1"/>
  <c r="J50" i="1" s="1"/>
  <c r="G49" i="1"/>
  <c r="F50" i="1" l="1"/>
  <c r="E51" i="1" l="1"/>
  <c r="J51" i="1" s="1"/>
  <c r="F51" i="1"/>
  <c r="G50" i="1"/>
  <c r="E52" i="1" l="1"/>
  <c r="F52" i="1"/>
  <c r="G51" i="1"/>
  <c r="J52" i="1"/>
  <c r="E53" i="1" l="1"/>
  <c r="F53" i="1" s="1"/>
  <c r="G52" i="1"/>
  <c r="J53" i="1"/>
  <c r="E54" i="1" l="1"/>
  <c r="F54" i="1" s="1"/>
  <c r="G53" i="1"/>
  <c r="E55" i="1" l="1"/>
  <c r="F55" i="1" s="1"/>
  <c r="G54" i="1"/>
  <c r="J54" i="1"/>
  <c r="E56" i="1" l="1"/>
  <c r="F56" i="1" s="1"/>
  <c r="G55" i="1"/>
  <c r="J55" i="1"/>
  <c r="J56" i="1" s="1"/>
  <c r="E57" i="1" l="1"/>
  <c r="F57" i="1" s="1"/>
  <c r="G56" i="1"/>
  <c r="J57" i="1"/>
  <c r="E58" i="1" l="1"/>
  <c r="F58" i="1" s="1"/>
  <c r="G57" i="1"/>
  <c r="G78" i="1" s="1"/>
  <c r="E61" i="1" l="1"/>
  <c r="G58" i="1"/>
  <c r="J58" i="1"/>
  <c r="J61" i="1" s="1"/>
  <c r="E59" i="1"/>
  <c r="F61" i="1" l="1"/>
  <c r="G61" i="1" l="1"/>
  <c r="E62" i="1"/>
  <c r="J62" i="1" l="1"/>
  <c r="F62" i="1"/>
  <c r="E63" i="1" l="1"/>
  <c r="J63" i="1" s="1"/>
  <c r="G62" i="1"/>
  <c r="F63" i="1" l="1"/>
  <c r="G63" i="1" l="1"/>
  <c r="E64" i="1"/>
  <c r="J64" i="1" l="1"/>
  <c r="F64" i="1"/>
  <c r="G64" i="1" l="1"/>
  <c r="E65" i="1"/>
  <c r="J65" i="1" s="1"/>
  <c r="F65" i="1" l="1"/>
  <c r="E66" i="1" l="1"/>
  <c r="J66" i="1" s="1"/>
  <c r="G65" i="1"/>
  <c r="F66" i="1"/>
  <c r="E67" i="1" l="1"/>
  <c r="F67" i="1" s="1"/>
  <c r="G66" i="1"/>
  <c r="J67" i="1"/>
  <c r="G67" i="1" l="1"/>
  <c r="E68" i="1"/>
  <c r="F68" i="1" s="1"/>
  <c r="E69" i="1" l="1"/>
  <c r="F69" i="1" s="1"/>
  <c r="G68" i="1"/>
  <c r="J68" i="1"/>
  <c r="E70" i="1" l="1"/>
  <c r="F70" i="1" s="1"/>
  <c r="G69" i="1"/>
  <c r="J69" i="1"/>
  <c r="J70" i="1" s="1"/>
  <c r="E71" i="1" l="1"/>
  <c r="F71" i="1"/>
  <c r="G70" i="1"/>
  <c r="J71" i="1"/>
  <c r="E72" i="1" l="1"/>
  <c r="J72" i="1" s="1"/>
  <c r="G71" i="1"/>
  <c r="E73" i="1" l="1"/>
  <c r="G81" i="1"/>
  <c r="G82" i="1" s="1"/>
  <c r="G86" i="1" s="1"/>
  <c r="F72" i="1"/>
  <c r="G72" i="1" s="1"/>
</calcChain>
</file>

<file path=xl/sharedStrings.xml><?xml version="1.0" encoding="utf-8"?>
<sst xmlns="http://schemas.openxmlformats.org/spreadsheetml/2006/main" count="80" uniqueCount="44">
  <si>
    <t>Exhibit C</t>
  </si>
  <si>
    <t>Utah Demand-Side Management Balance Account Analysis</t>
  </si>
  <si>
    <t>Using current rate of 3.54% and Proposed $22m Customer Credit</t>
  </si>
  <si>
    <t/>
  </si>
  <si>
    <t>Monthly Program Costs - Fixed Assets</t>
  </si>
  <si>
    <t>Accrued Program Costs</t>
  </si>
  <si>
    <t>Rate Recovery</t>
  </si>
  <si>
    <t xml:space="preserve">Carrying Charge </t>
  </si>
  <si>
    <t>Cash Basis Accumulated Balance</t>
  </si>
  <si>
    <t xml:space="preserve">Accrual Based Accumulated Balance </t>
  </si>
  <si>
    <t>Carrying Charge Rate</t>
  </si>
  <si>
    <t xml:space="preserve">Accumulated Balance Total Carrying Costs  </t>
  </si>
  <si>
    <t>2011 totals</t>
  </si>
  <si>
    <t>2012 totals</t>
  </si>
  <si>
    <t>2013 totals</t>
  </si>
  <si>
    <t>2014 totals</t>
  </si>
  <si>
    <t>2015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</si>
  <si>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</si>
  <si>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</si>
  <si>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</si>
  <si>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</si>
  <si>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</si>
  <si>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</si>
  <si>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</si>
  <si>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</si>
  <si>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</si>
  <si>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</si>
  <si>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</si>
  <si>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</si>
  <si>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2016 totals</t>
  </si>
  <si>
    <t>2017 totals</t>
  </si>
  <si>
    <t>2018 totals</t>
  </si>
  <si>
    <t>2019 totals</t>
  </si>
  <si>
    <t>2020 totals</t>
  </si>
  <si>
    <t>Total Accurals</t>
  </si>
  <si>
    <t>DSM balancing account as of Nov 30, 2019</t>
  </si>
  <si>
    <t>Forecast DSM expenses through December 2020</t>
  </si>
  <si>
    <t>Forecast carrying charges through December 2020</t>
  </si>
  <si>
    <t>Total expenses through December 2020</t>
  </si>
  <si>
    <t>Total DSM surcharge collections through December 2020</t>
  </si>
  <si>
    <t>Forecast DSM balancing account as of December 31, 2020</t>
  </si>
  <si>
    <t>Notes:</t>
  </si>
  <si>
    <t xml:space="preserve">   Figures provided through Nov 2019 are actuals.</t>
  </si>
  <si>
    <t xml:space="preserve">   Rate Recovery estimates for 2020 calc from June 2019 forecast from Regulation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</si>
</sst>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1" fillId="0" borderId="0" xfId="0" applyFont="1" applyFill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5" fillId="0" borderId="0" xfId="1" applyFont="1" applyAlignment="1" applyProtection="1">
      <alignment horizontal="center"/>
      <protection locked="0"/>
    </xf>
    <xf numFmtId="0" fontId="6" fillId="0" borderId="0" xfId="1" quotePrefix="1" applyFont="1" applyFill="1" applyAlignment="1" applyProtection="1">
      <alignment horizontal="center"/>
      <protection locked="0"/>
    </xf>
    <xf numFmtId="0" fontId="5" fillId="0" borderId="0" xfId="1" quotePrefix="1" applyFont="1" applyAlignment="1" applyProtection="1">
      <alignment horizontal="center"/>
      <protection locked="0"/>
    </xf>
    <xf numFmtId="0" fontId="5" fillId="0" borderId="0" xfId="1" applyFont="1"/>
    <xf numFmtId="0" fontId="3" fillId="0" borderId="0" xfId="1" applyFont="1"/>
    <xf numFmtId="0" fontId="5" fillId="0" borderId="0" xfId="1" quotePrefix="1" applyFont="1" applyFill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 applyAlignment="1" applyProtection="1">
      <alignment horizontal="center"/>
      <protection locked="0"/>
    </xf>
    <xf numFmtId="40" fontId="9" fillId="0" borderId="0" xfId="0" quotePrefix="1" applyNumberFormat="1" applyFont="1" applyFill="1" applyAlignment="1" applyProtection="1">
      <alignment horizontal="center" wrapText="1"/>
      <protection locked="0"/>
    </xf>
    <xf numFmtId="10" fontId="9" fillId="0" borderId="0" xfId="0" quotePrefix="1" applyNumberFormat="1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protection locked="0"/>
    </xf>
    <xf numFmtId="0" fontId="1" fillId="0" borderId="0" xfId="1" applyFont="1" applyFill="1" applyAlignment="1" applyProtection="1">
      <alignment horizontal="center"/>
      <protection locked="0"/>
    </xf>
    <xf numFmtId="44" fontId="3" fillId="0" borderId="0" xfId="1" applyNumberFormat="1" applyFont="1" applyFill="1" applyBorder="1" applyAlignment="1" applyProtection="1">
      <protection locked="0"/>
    </xf>
    <xf numFmtId="10" fontId="3" fillId="0" borderId="0" xfId="2" applyNumberFormat="1" applyFont="1" applyAlignment="1" applyProtection="1">
      <alignment horizontal="center"/>
      <protection locked="0"/>
    </xf>
    <xf numFmtId="44" fontId="3" fillId="0" borderId="0" xfId="1" applyNumberFormat="1" applyFont="1" applyFill="1" applyAlignment="1" applyProtection="1">
      <protection locked="0"/>
    </xf>
    <xf numFmtId="0" fontId="5" fillId="0" borderId="0" xfId="1" applyFont="1" applyAlignment="1" applyProtection="1">
      <protection locked="0"/>
    </xf>
    <xf numFmtId="44" fontId="1" fillId="0" borderId="0" xfId="3" quotePrefix="1" applyFont="1" applyAlignment="1" applyProtection="1">
      <alignment horizontal="center"/>
      <protection locked="0"/>
    </xf>
    <xf numFmtId="164" fontId="3" fillId="0" borderId="1" xfId="3" applyNumberFormat="1" applyFont="1" applyBorder="1" applyAlignment="1" applyProtection="1">
      <protection locked="0"/>
    </xf>
    <xf numFmtId="164" fontId="3" fillId="0" borderId="0" xfId="1" applyNumberFormat="1" applyFont="1" applyAlignment="1" applyProtection="1">
      <protection locked="0"/>
    </xf>
    <xf numFmtId="44" fontId="3" fillId="0" borderId="0" xfId="3" applyFont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protection locked="0"/>
    </xf>
    <xf numFmtId="164" fontId="3" fillId="0" borderId="0" xfId="3" applyNumberFormat="1" applyFont="1" applyBorder="1" applyAlignment="1" applyProtection="1">
      <protection locked="0"/>
    </xf>
    <xf numFmtId="164" fontId="3" fillId="0" borderId="0" xfId="3" applyNumberFormat="1" applyFont="1" applyAlignment="1" applyProtection="1">
      <protection locked="0"/>
    </xf>
    <xf numFmtId="10" fontId="3" fillId="0" borderId="0" xfId="3" applyNumberFormat="1" applyFont="1" applyAlignment="1" applyProtection="1">
      <alignment horizontal="right"/>
      <protection locked="0"/>
    </xf>
    <xf numFmtId="164" fontId="3" fillId="0" borderId="1" xfId="3" applyNumberFormat="1" applyFont="1" applyFill="1" applyBorder="1" applyAlignment="1" applyProtection="1">
      <protection locked="0"/>
    </xf>
    <xf numFmtId="164" fontId="3" fillId="0" borderId="0" xfId="3" applyNumberFormat="1" applyFont="1" applyFill="1" applyAlignment="1" applyProtection="1">
      <protection locked="0"/>
    </xf>
    <xf numFmtId="0" fontId="3" fillId="0" borderId="0" xfId="1" applyFont="1" applyFill="1"/>
    <xf numFmtId="164" fontId="3" fillId="0" borderId="0" xfId="3" applyNumberFormat="1" applyFont="1" applyFill="1" applyBorder="1" applyAlignment="1" applyProtection="1">
      <protection locked="0"/>
    </xf>
    <xf numFmtId="44" fontId="3" fillId="0" borderId="0" xfId="3" applyFont="1" applyFill="1" applyAlignment="1" applyProtection="1">
      <alignment horizontal="center"/>
      <protection locked="0"/>
    </xf>
    <xf numFmtId="164" fontId="7" fillId="0" borderId="0" xfId="0" applyNumberFormat="1" applyFont="1"/>
    <xf numFmtId="164" fontId="7" fillId="0" borderId="0" xfId="0" applyNumberFormat="1" applyFont="1" applyFill="1"/>
    <xf numFmtId="0" fontId="7" fillId="0" borderId="0" xfId="0" applyFont="1" applyFill="1"/>
    <xf numFmtId="10" fontId="3" fillId="0" borderId="0" xfId="1" applyNumberFormat="1" applyFont="1" applyAlignment="1" applyProtection="1">
      <protection locked="0"/>
    </xf>
    <xf numFmtId="0" fontId="3" fillId="0" borderId="0" xfId="1" applyFont="1" applyAlignment="1" applyProtection="1">
      <protection locked="0"/>
    </xf>
    <xf numFmtId="164" fontId="3" fillId="0" borderId="0" xfId="1" applyNumberFormat="1" applyFont="1" applyFill="1" applyAlignment="1" applyProtection="1">
      <protection locked="0"/>
    </xf>
    <xf numFmtId="0" fontId="3" fillId="0" borderId="0" xfId="1" applyFont="1" applyFill="1" applyAlignment="1" applyProtection="1">
      <protection locked="0"/>
    </xf>
    <xf numFmtId="0" fontId="3" fillId="0" borderId="0" xfId="1" applyFont="1" applyBorder="1" applyAlignment="1" applyProtection="1">
      <protection locked="0"/>
    </xf>
    <xf numFmtId="43" fontId="3" fillId="0" borderId="0" xfId="1" applyNumberFormat="1" applyFont="1" applyFill="1" applyAlignment="1" applyProtection="1">
      <protection locked="0"/>
    </xf>
    <xf numFmtId="43" fontId="3" fillId="0" borderId="0" xfId="3" applyNumberFormat="1" applyFont="1" applyFill="1" applyAlignment="1" applyProtection="1">
      <protection locked="0"/>
    </xf>
    <xf numFmtId="10" fontId="3" fillId="0" borderId="0" xfId="1" applyNumberFormat="1" applyFont="1" applyFill="1" applyAlignment="1" applyProtection="1">
      <protection locked="0"/>
    </xf>
    <xf numFmtId="164" fontId="3" fillId="0" borderId="1" xfId="3" applyNumberFormat="1" applyFont="1" applyBorder="1" applyAlignment="1" applyProtection="1">
      <alignment horizontal="left" indent="2"/>
      <protection locked="0"/>
    </xf>
    <xf numFmtId="164" fontId="3" fillId="0" borderId="2" xfId="1" applyNumberFormat="1" applyFont="1" applyFill="1" applyBorder="1" applyAlignment="1" applyProtection="1">
      <protection locked="0"/>
    </xf>
    <xf numFmtId="164" fontId="3" fillId="2" borderId="0" xfId="1" applyNumberFormat="1" applyFont="1" applyFill="1" applyAlignment="1" applyProtection="1">
      <protection locked="0"/>
    </xf>
    <xf numFmtId="164" fontId="3" fillId="0" borderId="0" xfId="0" applyNumberFormat="1" applyFont="1" applyFill="1"/>
    <xf numFmtId="164" fontId="7" fillId="0" borderId="0" xfId="0" applyNumberFormat="1" applyFont="1" applyBorder="1"/>
    <xf numFmtId="0" fontId="3" fillId="0" borderId="0" xfId="4" applyFont="1" applyFill="1"/>
    <xf numFmtId="0" fontId="3" fillId="0" borderId="0" xfId="4" applyFill="1"/>
    <xf numFmtId="164" fontId="3" fillId="0" borderId="1" xfId="0" applyNumberFormat="1" applyFont="1" applyFill="1" applyBorder="1"/>
    <xf numFmtId="0" fontId="3" fillId="0" borderId="0" xfId="4" applyFont="1" applyFill="1" applyBorder="1" applyAlignment="1" applyProtection="1">
      <protection locked="0"/>
    </xf>
    <xf numFmtId="164" fontId="3" fillId="0" borderId="3" xfId="0" applyNumberFormat="1" applyFont="1" applyFill="1" applyBorder="1"/>
    <xf numFmtId="164" fontId="3" fillId="0" borderId="0" xfId="0" applyNumberFormat="1" applyFont="1"/>
    <xf numFmtId="0" fontId="1" fillId="0" borderId="0" xfId="4" applyFont="1" applyFill="1" applyAlignment="1">
      <alignment horizontal="left" indent="1"/>
    </xf>
    <xf numFmtId="0" fontId="3" fillId="0" borderId="0" xfId="4" applyFont="1" applyFill="1" applyAlignment="1">
      <alignment horizontal="left" indent="1"/>
    </xf>
    <xf numFmtId="0" fontId="3" fillId="0" borderId="0" xfId="0" applyFont="1"/>
    <xf numFmtId="0" fontId="1" fillId="0" borderId="0" xfId="0" applyFont="1" applyFill="1" applyAlignment="1" applyProtection="1">
      <alignment horizontal="center" vertical="center"/>
      <protection locked="0"/>
    </xf>
  </cellXfs>
  <cellStyles count="5">
    <cellStyle name="Currency 4" xfId="3"/>
    <cellStyle name="Normal" xfId="0" builtinId="0"/>
    <cellStyle name="Normal 3 2" xfId="4"/>
    <cellStyle name="Normal 33" xfId="1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19-035-T18%20RMP%20Native%20Exhibits%2012-30-19.zip\Copy%20of%20UT%20Nov%202019%20Workbook%20for%202020%20v1%20thru%20Nov%202019%20for%20FI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A - Expenditure Forecast"/>
      <sheetName val="Exh B - Bal Acct with No Refund"/>
      <sheetName val="Exh C - Bal Acct with Refund"/>
    </sheetNames>
    <sheetDataSet>
      <sheetData sheetId="0">
        <row r="25">
          <cell r="E25">
            <v>6321914.4699999988</v>
          </cell>
          <cell r="K25">
            <v>3973793.6273333333</v>
          </cell>
          <cell r="L25">
            <v>4796062.4193333331</v>
          </cell>
          <cell r="M25">
            <v>4882161.3753333325</v>
          </cell>
          <cell r="N25">
            <v>5242760.4653333332</v>
          </cell>
          <cell r="O25">
            <v>5212182.6433333326</v>
          </cell>
          <cell r="P25">
            <v>5063454.685333333</v>
          </cell>
          <cell r="Q25">
            <v>4809422.7833333332</v>
          </cell>
          <cell r="R25">
            <v>5095120.0373333329</v>
          </cell>
          <cell r="S25">
            <v>5145899.9673333326</v>
          </cell>
          <cell r="T25">
            <v>5281164.9333333327</v>
          </cell>
          <cell r="U25">
            <v>8076336.719333333</v>
          </cell>
          <cell r="V25">
            <v>7358685.3433333328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5"/>
  <sheetViews>
    <sheetView tabSelected="1" workbookViewId="0">
      <pane xSplit="1" ySplit="5" topLeftCell="B60" activePane="bottomRight" state="frozen"/>
      <selection pane="topRight" activeCell="B1" sqref="B1"/>
      <selection pane="bottomLeft" activeCell="A6" sqref="A6"/>
      <selection pane="bottomRight" activeCell="D81" sqref="D81"/>
    </sheetView>
  </sheetViews>
  <sheetFormatPr defaultColWidth="9.140625" defaultRowHeight="14.25" x14ac:dyDescent="0.2"/>
  <cols>
    <col min="1" max="1" width="17.5703125" style="14" customWidth="1"/>
    <col min="2" max="2" width="17.28515625" style="14" customWidth="1"/>
    <col min="3" max="3" width="15.28515625" style="14" customWidth="1"/>
    <col min="4" max="4" width="16" style="14" customWidth="1"/>
    <col min="5" max="5" width="14.7109375" style="14" customWidth="1"/>
    <col min="6" max="6" width="17" style="14" bestFit="1" customWidth="1"/>
    <col min="7" max="7" width="15.28515625" style="14" customWidth="1"/>
    <col min="8" max="8" width="9.28515625" style="14" customWidth="1"/>
    <col min="9" max="9" width="1.42578125" style="14" customWidth="1"/>
    <col min="10" max="10" width="16.42578125" style="14" customWidth="1"/>
    <col min="11" max="11" width="2.7109375" style="14" customWidth="1"/>
    <col min="12" max="16384" width="9.140625" style="14"/>
  </cols>
  <sheetData>
    <row r="1" spans="1:134" s="5" customFormat="1" ht="12.75" customHeight="1" x14ac:dyDescent="0.2">
      <c r="A1" s="1" t="s">
        <v>0</v>
      </c>
      <c r="B1" s="1"/>
      <c r="C1" s="1"/>
      <c r="D1" s="2"/>
      <c r="E1" s="1"/>
      <c r="F1" s="1"/>
      <c r="G1" s="1"/>
      <c r="H1" s="3"/>
      <c r="I1" s="4"/>
      <c r="J1" s="4"/>
    </row>
    <row r="2" spans="1:134" s="6" customFormat="1" ht="12.75" customHeight="1" x14ac:dyDescent="0.2">
      <c r="A2" s="1" t="s">
        <v>1</v>
      </c>
      <c r="B2" s="1"/>
      <c r="C2" s="1"/>
      <c r="D2" s="2"/>
      <c r="E2" s="1"/>
      <c r="F2" s="1"/>
      <c r="G2" s="1"/>
      <c r="H2" s="3"/>
      <c r="I2" s="4"/>
      <c r="J2" s="4"/>
    </row>
    <row r="3" spans="1:134" s="6" customFormat="1" ht="12.75" customHeight="1" x14ac:dyDescent="0.2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pans="1:134" x14ac:dyDescent="0.2">
      <c r="A4" s="7"/>
      <c r="B4" s="8"/>
      <c r="C4" s="8"/>
      <c r="D4" s="8"/>
      <c r="E4" s="9"/>
      <c r="F4" s="10" t="s">
        <v>3</v>
      </c>
      <c r="G4" s="10"/>
      <c r="H4" s="11"/>
      <c r="I4" s="12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</row>
    <row r="5" spans="1:134" s="5" customFormat="1" ht="51" customHeight="1" x14ac:dyDescent="0.35">
      <c r="A5" s="15"/>
      <c r="B5" s="16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7" t="s">
        <v>10</v>
      </c>
      <c r="I5" s="18"/>
      <c r="J5" s="17" t="s">
        <v>11</v>
      </c>
    </row>
    <row r="6" spans="1:134" ht="6.75" customHeight="1" x14ac:dyDescent="0.2">
      <c r="A6" s="19"/>
      <c r="B6" s="20"/>
      <c r="C6" s="20"/>
      <c r="D6" s="20"/>
      <c r="E6" s="20"/>
      <c r="F6" s="20"/>
      <c r="G6" s="20"/>
      <c r="H6" s="21"/>
      <c r="I6" s="12"/>
      <c r="J6" s="2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23"/>
      <c r="EA6" s="23"/>
      <c r="EB6" s="23"/>
      <c r="EC6" s="12"/>
      <c r="ED6" s="12"/>
    </row>
    <row r="7" spans="1:134" x14ac:dyDescent="0.2">
      <c r="A7" s="24" t="s">
        <v>12</v>
      </c>
      <c r="B7" s="25">
        <v>43638929.749999993</v>
      </c>
      <c r="C7" s="25">
        <v>3865060.19</v>
      </c>
      <c r="D7" s="25">
        <v>-54147493.57</v>
      </c>
      <c r="E7" s="25">
        <v>-428385</v>
      </c>
      <c r="F7" s="26">
        <v>-8770676.345999999</v>
      </c>
      <c r="G7" s="26">
        <v>-4905616.1559999995</v>
      </c>
      <c r="H7" s="27"/>
      <c r="I7" s="12"/>
      <c r="J7" s="28"/>
    </row>
    <row r="8" spans="1:134" ht="7.5" customHeight="1" x14ac:dyDescent="0.2">
      <c r="A8" s="24"/>
      <c r="B8" s="29"/>
      <c r="C8" s="29"/>
      <c r="D8" s="29"/>
      <c r="E8" s="29"/>
      <c r="F8" s="30"/>
      <c r="G8" s="30"/>
      <c r="H8" s="27"/>
      <c r="I8" s="12"/>
      <c r="J8" s="28"/>
    </row>
    <row r="9" spans="1:134" x14ac:dyDescent="0.2">
      <c r="A9" s="24" t="s">
        <v>13</v>
      </c>
      <c r="B9" s="25">
        <v>44887095</v>
      </c>
      <c r="C9" s="25">
        <v>781573.44000000018</v>
      </c>
      <c r="D9" s="25">
        <v>-47901079.229999989</v>
      </c>
      <c r="E9" s="25">
        <v>-1154860</v>
      </c>
      <c r="F9" s="30">
        <v>-12939520.576000005</v>
      </c>
      <c r="G9" s="30">
        <v>-8292886.9460000051</v>
      </c>
      <c r="H9" s="31">
        <v>7.8299999999999995E-2</v>
      </c>
      <c r="I9" s="12"/>
      <c r="J9" s="28">
        <v>3416696</v>
      </c>
    </row>
    <row r="10" spans="1:134" ht="6" customHeight="1" x14ac:dyDescent="0.2">
      <c r="A10" s="24"/>
      <c r="B10" s="29"/>
      <c r="C10" s="29"/>
      <c r="D10" s="29"/>
      <c r="E10" s="29"/>
      <c r="F10" s="30"/>
      <c r="G10" s="30"/>
      <c r="H10" s="27"/>
      <c r="I10" s="12"/>
      <c r="J10" s="28"/>
    </row>
    <row r="11" spans="1:134" x14ac:dyDescent="0.2">
      <c r="A11" s="24" t="s">
        <v>14</v>
      </c>
      <c r="B11" s="32">
        <v>51076863.060000002</v>
      </c>
      <c r="C11" s="32">
        <f>-1985771.98-1</f>
        <v>-1985772.98</v>
      </c>
      <c r="D11" s="32">
        <v>-45941420.799999997</v>
      </c>
      <c r="E11" s="32">
        <v>-1128853</v>
      </c>
      <c r="F11" s="33">
        <v>-8932931.3160000034</v>
      </c>
      <c r="G11" s="33">
        <v>-6272069.6660000021</v>
      </c>
      <c r="H11" s="31">
        <v>7.7700000000000005E-2</v>
      </c>
      <c r="I11" s="34"/>
      <c r="J11" s="28">
        <v>2287843</v>
      </c>
    </row>
    <row r="12" spans="1:134" ht="6.75" customHeight="1" x14ac:dyDescent="0.2">
      <c r="A12" s="24"/>
      <c r="B12" s="35"/>
      <c r="C12" s="35"/>
      <c r="D12" s="35"/>
      <c r="E12" s="35"/>
      <c r="F12" s="33"/>
      <c r="G12" s="33"/>
      <c r="H12" s="36"/>
      <c r="I12" s="34"/>
      <c r="J12" s="28"/>
    </row>
    <row r="13" spans="1:134" x14ac:dyDescent="0.2">
      <c r="A13" s="24" t="s">
        <v>15</v>
      </c>
      <c r="B13" s="25">
        <v>81727633.670000002</v>
      </c>
      <c r="C13" s="25">
        <v>2023176.2700000005</v>
      </c>
      <c r="D13" s="25">
        <v>-59356899.010000005</v>
      </c>
      <c r="E13" s="32">
        <v>292294</v>
      </c>
      <c r="F13" s="33">
        <v>13730097.343999993</v>
      </c>
      <c r="G13" s="33">
        <v>18414135.263999995</v>
      </c>
      <c r="H13" s="31">
        <v>7.7600000000000002E-2</v>
      </c>
      <c r="I13" s="34"/>
      <c r="J13" s="28">
        <v>2580137</v>
      </c>
    </row>
    <row r="14" spans="1:134" ht="5.25" customHeight="1" x14ac:dyDescent="0.2">
      <c r="B14" s="37"/>
      <c r="C14" s="37"/>
      <c r="D14" s="37"/>
      <c r="E14" s="38"/>
      <c r="F14" s="38"/>
      <c r="G14" s="38"/>
      <c r="H14" s="39"/>
      <c r="I14" s="39"/>
      <c r="J14" s="38"/>
    </row>
    <row r="15" spans="1:134" x14ac:dyDescent="0.2">
      <c r="A15" s="24" t="s">
        <v>16</v>
      </c>
      <c r="B15" s="25">
        <v>62241103.639999993</v>
      </c>
      <c r="C15" s="25">
        <v>822220.69999999984</v>
      </c>
      <c r="D15" s="25">
        <v>-68050713.420000002</v>
      </c>
      <c r="E15" s="32">
        <v>843168</v>
      </c>
      <c r="F15" s="33">
        <v>8763655.5639999919</v>
      </c>
      <c r="G15" s="33">
        <v>14269914.183999993</v>
      </c>
      <c r="H15" s="40">
        <v>7.3200000000000001E-2</v>
      </c>
      <c r="I15" s="34"/>
      <c r="J15" s="28">
        <v>3423305</v>
      </c>
    </row>
    <row r="16" spans="1:134" ht="5.25" customHeight="1" x14ac:dyDescent="0.2">
      <c r="B16" s="37"/>
      <c r="C16" s="37"/>
      <c r="D16" s="37"/>
      <c r="E16" s="38"/>
      <c r="F16" s="38"/>
      <c r="G16" s="38"/>
      <c r="H16" s="39"/>
      <c r="I16" s="39"/>
      <c r="J16" s="38"/>
    </row>
    <row r="17" spans="1:10" hidden="1" x14ac:dyDescent="0.2">
      <c r="A17" s="41" t="s">
        <v>17</v>
      </c>
      <c r="B17" s="42">
        <v>3957447.2</v>
      </c>
      <c r="C17" s="42">
        <v>-640324.02</v>
      </c>
      <c r="D17" s="42">
        <v>-6219136.7800000003</v>
      </c>
      <c r="E17" s="42">
        <f>ROUND((((B17+D17)/2)+F15)*(7.74%/12),0)</f>
        <v>49232</v>
      </c>
      <c r="F17" s="42">
        <f>+F15+B17+D17+E17</f>
        <v>6551197.9839999909</v>
      </c>
      <c r="G17" s="42">
        <f>SUM(C17)+$C$7+$C$9+$C$11+F17+C15+C13</f>
        <v>11417131.583999991</v>
      </c>
      <c r="H17" s="40">
        <v>7.7399999999999997E-2</v>
      </c>
      <c r="I17" s="40">
        <v>7.7600000000000002E-2</v>
      </c>
      <c r="J17" s="42">
        <f>+J15+E17</f>
        <v>3472537</v>
      </c>
    </row>
    <row r="18" spans="1:10" hidden="1" x14ac:dyDescent="0.2">
      <c r="A18" s="43" t="s">
        <v>18</v>
      </c>
      <c r="B18" s="42">
        <v>5502164.0700000003</v>
      </c>
      <c r="C18" s="42">
        <v>-97140.5</v>
      </c>
      <c r="D18" s="42">
        <v>-5812722.0199999996</v>
      </c>
      <c r="E18" s="42">
        <f>ROUND((((B18+D18)/2)+F17)*(7.74%/12),0)</f>
        <v>41254</v>
      </c>
      <c r="F18" s="42">
        <f t="shared" ref="F18:F28" si="0">+F17+B18+D18+E18</f>
        <v>6281894.0339999907</v>
      </c>
      <c r="G18" s="42">
        <f>SUM(C17:C18)+$C$7+$C$9+$C$11+F18+C15+C13</f>
        <v>11050687.133999992</v>
      </c>
      <c r="H18" s="40">
        <v>7.7399999999999997E-2</v>
      </c>
      <c r="I18" s="40">
        <v>7.7600000000000002E-2</v>
      </c>
      <c r="J18" s="42">
        <f t="shared" ref="J18:J23" si="1">+J17+E18</f>
        <v>3513791</v>
      </c>
    </row>
    <row r="19" spans="1:10" hidden="1" x14ac:dyDescent="0.2">
      <c r="A19" s="44" t="s">
        <v>19</v>
      </c>
      <c r="B19" s="42">
        <v>4010642.76</v>
      </c>
      <c r="C19" s="42">
        <v>-101375.81</v>
      </c>
      <c r="D19" s="42">
        <v>-5114181.01</v>
      </c>
      <c r="E19" s="42">
        <f>ROUND((((B19+D19)/2)+F18)*(4.45%/12),0)+25</f>
        <v>21274</v>
      </c>
      <c r="F19" s="42">
        <f t="shared" si="0"/>
        <v>5199629.7839999907</v>
      </c>
      <c r="G19" s="42">
        <f>SUM(C17:C19)+$C$7+$C$9+$C$11+F19+C15+C13</f>
        <v>9867047.0739999916</v>
      </c>
      <c r="H19" s="40">
        <v>4.4499999999999998E-2</v>
      </c>
      <c r="I19" s="40">
        <v>7.7600000000000002E-2</v>
      </c>
      <c r="J19" s="42">
        <f t="shared" si="1"/>
        <v>3535065</v>
      </c>
    </row>
    <row r="20" spans="1:10" hidden="1" x14ac:dyDescent="0.2">
      <c r="A20" s="41" t="s">
        <v>20</v>
      </c>
      <c r="B20" s="42">
        <v>3649184.13</v>
      </c>
      <c r="C20" s="42">
        <v>1887278.57</v>
      </c>
      <c r="D20" s="42">
        <v>-5036556.5999999996</v>
      </c>
      <c r="E20" s="42">
        <f t="shared" ref="E20:E28" si="2">ROUND((((B20+D20)/2)+F19)*(4.45%/12),0)</f>
        <v>16710</v>
      </c>
      <c r="F20" s="42">
        <f t="shared" si="0"/>
        <v>3828967.31399999</v>
      </c>
      <c r="G20" s="42">
        <f>SUM(C17:C20)+$C$7+$C$9+$C$11+F20+C15+C13</f>
        <v>10383663.173999991</v>
      </c>
      <c r="H20" s="40">
        <v>4.4499999999999998E-2</v>
      </c>
      <c r="I20" s="40">
        <v>7.7600000000000002E-2</v>
      </c>
      <c r="J20" s="42">
        <f t="shared" si="1"/>
        <v>3551775</v>
      </c>
    </row>
    <row r="21" spans="1:10" hidden="1" x14ac:dyDescent="0.2">
      <c r="A21" s="43" t="s">
        <v>21</v>
      </c>
      <c r="B21" s="42">
        <v>4189551.42</v>
      </c>
      <c r="C21" s="42">
        <v>-1727121.6</v>
      </c>
      <c r="D21" s="42">
        <v>-5313045.41</v>
      </c>
      <c r="E21" s="42">
        <f t="shared" si="2"/>
        <v>12116</v>
      </c>
      <c r="F21" s="42">
        <f t="shared" si="0"/>
        <v>2717589.3239999898</v>
      </c>
      <c r="G21" s="42">
        <f>SUM(C17:C21)+$C$7+$C$9+$C$11+F21+C15+C13</f>
        <v>7545163.5839999914</v>
      </c>
      <c r="H21" s="40">
        <v>4.4499999999999998E-2</v>
      </c>
      <c r="I21" s="40">
        <v>7.7600000000000002E-2</v>
      </c>
      <c r="J21" s="42">
        <f t="shared" si="1"/>
        <v>3563891</v>
      </c>
    </row>
    <row r="22" spans="1:10" hidden="1" x14ac:dyDescent="0.2">
      <c r="A22" s="43" t="s">
        <v>22</v>
      </c>
      <c r="B22" s="42">
        <v>7211523.1900000004</v>
      </c>
      <c r="C22" s="42">
        <v>-962707.25</v>
      </c>
      <c r="D22" s="42">
        <v>-6686874.79</v>
      </c>
      <c r="E22" s="42">
        <f t="shared" si="2"/>
        <v>11051</v>
      </c>
      <c r="F22" s="42">
        <f t="shared" si="0"/>
        <v>3253288.7239999911</v>
      </c>
      <c r="G22" s="42">
        <f>SUM(C17:C22)+$C$7+$C$9+$C$11+F22+C15+C13</f>
        <v>7118155.7339999918</v>
      </c>
      <c r="H22" s="40">
        <v>4.4499999999999998E-2</v>
      </c>
      <c r="I22" s="40">
        <v>7.7600000000000002E-2</v>
      </c>
      <c r="J22" s="42">
        <f t="shared" si="1"/>
        <v>3574942</v>
      </c>
    </row>
    <row r="23" spans="1:10" hidden="1" x14ac:dyDescent="0.2">
      <c r="A23" s="41" t="s">
        <v>23</v>
      </c>
      <c r="B23" s="42">
        <v>3541877.75</v>
      </c>
      <c r="C23" s="42">
        <v>1301932.5900000001</v>
      </c>
      <c r="D23" s="42">
        <v>-8541981.0299999993</v>
      </c>
      <c r="E23" s="42">
        <f t="shared" si="2"/>
        <v>2793</v>
      </c>
      <c r="F23" s="42">
        <f t="shared" si="0"/>
        <v>-1744021.5560000082</v>
      </c>
      <c r="G23" s="42">
        <f>SUM(C17:C23)+$C$7+$C$9+$C$11+F23+C15+C13</f>
        <v>3422778.0439999923</v>
      </c>
      <c r="H23" s="40">
        <v>4.4499999999999998E-2</v>
      </c>
      <c r="I23" s="40">
        <v>7.7600000000000002E-2</v>
      </c>
      <c r="J23" s="42">
        <f t="shared" si="1"/>
        <v>3577735</v>
      </c>
    </row>
    <row r="24" spans="1:10" hidden="1" x14ac:dyDescent="0.2">
      <c r="A24" s="41" t="s">
        <v>24</v>
      </c>
      <c r="B24" s="42">
        <v>5719255.9699999997</v>
      </c>
      <c r="C24" s="42">
        <v>-1630704.05</v>
      </c>
      <c r="D24" s="42">
        <v>-8970590.6500000004</v>
      </c>
      <c r="E24" s="42">
        <f t="shared" si="2"/>
        <v>-12496</v>
      </c>
      <c r="F24" s="42">
        <f t="shared" si="0"/>
        <v>-5007852.2360000089</v>
      </c>
      <c r="G24" s="42">
        <f>SUM(C17:C24)+$C$7+$C$9+$C$11+F24+C15+C13</f>
        <v>-1471756.6860000086</v>
      </c>
      <c r="H24" s="40">
        <v>4.4499999999999998E-2</v>
      </c>
      <c r="I24" s="40">
        <v>7.7600000000000002E-2</v>
      </c>
      <c r="J24" s="42">
        <f>+J23+E24</f>
        <v>3565239</v>
      </c>
    </row>
    <row r="25" spans="1:10" hidden="1" x14ac:dyDescent="0.2">
      <c r="A25" s="41" t="s">
        <v>25</v>
      </c>
      <c r="B25" s="42">
        <v>4877905.8099999996</v>
      </c>
      <c r="C25" s="42">
        <v>1748387.19</v>
      </c>
      <c r="D25" s="42">
        <v>-7603915.2000000002</v>
      </c>
      <c r="E25" s="42">
        <f t="shared" si="2"/>
        <v>-23625</v>
      </c>
      <c r="F25" s="42">
        <f t="shared" si="0"/>
        <v>-7757486.6260000095</v>
      </c>
      <c r="G25" s="42">
        <f>SUM(C17:C25)+$C$7+$C$9+$C$11+F25+C15+C13</f>
        <v>-2473003.8860000093</v>
      </c>
      <c r="H25" s="40">
        <v>4.4499999999999998E-2</v>
      </c>
      <c r="I25" s="40">
        <v>7.7600000000000002E-2</v>
      </c>
      <c r="J25" s="42">
        <f>+J24+E25</f>
        <v>3541614</v>
      </c>
    </row>
    <row r="26" spans="1:10" hidden="1" x14ac:dyDescent="0.2">
      <c r="A26" s="41" t="s">
        <v>26</v>
      </c>
      <c r="B26" s="42">
        <v>5085219.01</v>
      </c>
      <c r="C26" s="42">
        <v>-1078842.01</v>
      </c>
      <c r="D26" s="42">
        <v>-5966674.4800000004</v>
      </c>
      <c r="E26" s="42">
        <f t="shared" si="2"/>
        <v>-30402</v>
      </c>
      <c r="F26" s="42">
        <f t="shared" si="0"/>
        <v>-8669344.0960000101</v>
      </c>
      <c r="G26" s="42">
        <f>SUM(C17:C26)+$C$7+$C$9+$C$11+F26+C15+C13</f>
        <v>-4463703.3660000097</v>
      </c>
      <c r="H26" s="40">
        <v>4.4499999999999998E-2</v>
      </c>
      <c r="I26" s="40">
        <v>7.7600000000000002E-2</v>
      </c>
      <c r="J26" s="42">
        <f>+J25+E26</f>
        <v>3511212</v>
      </c>
    </row>
    <row r="27" spans="1:10" hidden="1" x14ac:dyDescent="0.2">
      <c r="A27" s="41" t="s">
        <v>27</v>
      </c>
      <c r="B27" s="42">
        <v>7231444.2699999996</v>
      </c>
      <c r="C27" s="42">
        <v>-769695.04</v>
      </c>
      <c r="D27" s="42">
        <v>-5240777.22</v>
      </c>
      <c r="E27" s="42">
        <f t="shared" si="2"/>
        <v>-28458</v>
      </c>
      <c r="F27" s="42">
        <f t="shared" si="0"/>
        <v>-6707135.0460000103</v>
      </c>
      <c r="G27" s="42">
        <f>SUM(C17:C27)+$C$7+$C$9+$C$11+F27+C15+C13</f>
        <v>-3271189.3560000099</v>
      </c>
      <c r="H27" s="40">
        <v>4.4499999999999998E-2</v>
      </c>
      <c r="I27" s="40">
        <v>7.7600000000000002E-2</v>
      </c>
      <c r="J27" s="42">
        <f>+J26+E27</f>
        <v>3482754</v>
      </c>
    </row>
    <row r="28" spans="1:10" hidden="1" x14ac:dyDescent="0.2">
      <c r="A28" s="41" t="s">
        <v>28</v>
      </c>
      <c r="B28" s="42">
        <v>5685830.6699999999</v>
      </c>
      <c r="C28" s="42">
        <v>-742557.7</v>
      </c>
      <c r="D28" s="42">
        <v>-6051035.9400000004</v>
      </c>
      <c r="E28" s="42">
        <f t="shared" si="2"/>
        <v>-25549</v>
      </c>
      <c r="F28" s="45">
        <f t="shared" si="0"/>
        <v>-7097889.3160000108</v>
      </c>
      <c r="G28" s="42">
        <f>SUM(C17:C28)+$C$7+$C$9+$C$11+F28+C15+C13</f>
        <v>-4404501.3260000097</v>
      </c>
      <c r="H28" s="40">
        <v>4.4499999999999998E-2</v>
      </c>
      <c r="I28" s="40">
        <v>7.7600000000000002E-2</v>
      </c>
      <c r="J28" s="42">
        <f>+J27+E28</f>
        <v>3457205</v>
      </c>
    </row>
    <row r="29" spans="1:10" ht="15" customHeight="1" x14ac:dyDescent="0.2">
      <c r="A29" s="24" t="s">
        <v>29</v>
      </c>
      <c r="B29" s="25">
        <f>SUM(B17:B28)</f>
        <v>60662046.25</v>
      </c>
      <c r="C29" s="25">
        <f>SUM(C17:C28)</f>
        <v>-2812869.63</v>
      </c>
      <c r="D29" s="25">
        <f>SUM(D17:D28)</f>
        <v>-76557491.13000001</v>
      </c>
      <c r="E29" s="32">
        <f>SUM(E17:E28)</f>
        <v>33900</v>
      </c>
      <c r="F29" s="46">
        <v>-7097889.3160000108</v>
      </c>
      <c r="G29" s="46">
        <v>-4404501.3260000097</v>
      </c>
      <c r="H29" s="40">
        <v>4.4499999999999998E-2</v>
      </c>
      <c r="I29" s="34">
        <v>7.7600000000000002E-2</v>
      </c>
      <c r="J29" s="28">
        <v>3457205</v>
      </c>
    </row>
    <row r="30" spans="1:10" ht="6" customHeight="1" x14ac:dyDescent="0.2">
      <c r="A30" s="24"/>
      <c r="B30" s="29"/>
      <c r="C30" s="29"/>
      <c r="D30" s="29"/>
      <c r="E30" s="35"/>
      <c r="F30" s="33"/>
      <c r="G30" s="33"/>
      <c r="H30" s="36"/>
      <c r="I30" s="34"/>
      <c r="J30" s="28"/>
    </row>
    <row r="31" spans="1:10" x14ac:dyDescent="0.2">
      <c r="A31" s="24" t="s">
        <v>30</v>
      </c>
      <c r="B31" s="25">
        <v>53566444.599999994</v>
      </c>
      <c r="C31" s="25">
        <v>1376367.84</v>
      </c>
      <c r="D31" s="25">
        <v>-44577745.959999993</v>
      </c>
      <c r="E31" s="32">
        <v>-1571070</v>
      </c>
      <c r="F31" s="33">
        <v>319739.32399998809</v>
      </c>
      <c r="G31" s="33">
        <v>4389495.1539999899</v>
      </c>
      <c r="H31" s="40">
        <v>0.1065</v>
      </c>
      <c r="I31" s="34">
        <v>7.7600000000000002E-2</v>
      </c>
      <c r="J31" s="28">
        <v>1886135</v>
      </c>
    </row>
    <row r="32" spans="1:10" ht="6" customHeight="1" x14ac:dyDescent="0.2">
      <c r="A32" s="24"/>
      <c r="B32" s="29"/>
      <c r="C32" s="29"/>
      <c r="D32" s="29"/>
      <c r="E32" s="35"/>
      <c r="F32" s="33"/>
      <c r="G32" s="33"/>
      <c r="H32" s="36"/>
      <c r="I32" s="34"/>
      <c r="J32" s="28"/>
    </row>
    <row r="33" spans="1:10" hidden="1" x14ac:dyDescent="0.2">
      <c r="A33" s="41" t="s">
        <v>17</v>
      </c>
      <c r="B33" s="42">
        <v>3568394.81</v>
      </c>
      <c r="C33" s="42">
        <v>522545.97</v>
      </c>
      <c r="D33" s="42">
        <v>-2527091.69</v>
      </c>
      <c r="E33" s="42">
        <f>ROUND((((B33+D33)/2)+F31)*(9.21%/12),0)</f>
        <v>6450</v>
      </c>
      <c r="F33" s="42">
        <f>+F31+B33+D33+E33</f>
        <v>1367492.443999988</v>
      </c>
      <c r="G33" s="42">
        <f>SUM(C33)+$C$7+$C$9+$C$11+F33+$C$29+$C$15+$C$13+C31</f>
        <v>5959794.2439999878</v>
      </c>
      <c r="H33" s="47">
        <v>9.2100000000000001E-2</v>
      </c>
      <c r="I33" s="47">
        <v>7.7600000000000002E-2</v>
      </c>
      <c r="J33" s="42">
        <f>+J31+E33</f>
        <v>1892585</v>
      </c>
    </row>
    <row r="34" spans="1:10" hidden="1" x14ac:dyDescent="0.2">
      <c r="A34" s="43" t="s">
        <v>18</v>
      </c>
      <c r="B34" s="42">
        <v>3374756.23</v>
      </c>
      <c r="C34" s="42">
        <v>-255982.68</v>
      </c>
      <c r="D34" s="42">
        <v>-4648748.13</v>
      </c>
      <c r="E34" s="42">
        <f t="shared" ref="E34:E40" si="3">ROUND((((B34+D34)/2)+F33)*(9.21%/12),0)</f>
        <v>5607</v>
      </c>
      <c r="F34" s="42">
        <f t="shared" ref="F34:F44" si="4">+F33+B34+D34+E34</f>
        <v>99107.543999987654</v>
      </c>
      <c r="G34" s="42">
        <f>SUM(C33:C34)+$C$7+$C$9+$C$11+F34+$C$29+$C$15+$C$13+C31</f>
        <v>4435426.6639999878</v>
      </c>
      <c r="H34" s="47">
        <v>9.2100000000000001E-2</v>
      </c>
      <c r="I34" s="47">
        <v>7.7600000000000002E-2</v>
      </c>
      <c r="J34" s="42">
        <f t="shared" ref="J34:J39" si="5">+J33+E34</f>
        <v>1898192</v>
      </c>
    </row>
    <row r="35" spans="1:10" hidden="1" x14ac:dyDescent="0.2">
      <c r="A35" s="44" t="s">
        <v>19</v>
      </c>
      <c r="B35" s="42">
        <v>4020585.46</v>
      </c>
      <c r="C35" s="42">
        <v>-809314.18</v>
      </c>
      <c r="D35" s="42">
        <v>-4833973.84</v>
      </c>
      <c r="E35" s="42">
        <f t="shared" si="3"/>
        <v>-2361</v>
      </c>
      <c r="F35" s="42">
        <f t="shared" si="4"/>
        <v>-716641.83600001223</v>
      </c>
      <c r="G35" s="42">
        <f>SUM(C33:C35)+$C$7+$C$9+$C$11+F35+$C$29+$C$15+$C$13+C31</f>
        <v>2810363.1039999882</v>
      </c>
      <c r="H35" s="47">
        <v>9.2100000000000001E-2</v>
      </c>
      <c r="I35" s="47">
        <v>7.7600000000000002E-2</v>
      </c>
      <c r="J35" s="42">
        <f t="shared" si="5"/>
        <v>1895831</v>
      </c>
    </row>
    <row r="36" spans="1:10" hidden="1" x14ac:dyDescent="0.2">
      <c r="A36" s="41" t="s">
        <v>20</v>
      </c>
      <c r="B36" s="42">
        <v>3506710.37</v>
      </c>
      <c r="C36" s="42">
        <v>-239127.86</v>
      </c>
      <c r="D36" s="42">
        <v>-4946238.6399999997</v>
      </c>
      <c r="E36" s="42">
        <f t="shared" si="3"/>
        <v>-11024</v>
      </c>
      <c r="F36" s="42">
        <f t="shared" si="4"/>
        <v>-2167194.1060000118</v>
      </c>
      <c r="G36" s="42">
        <f>SUM(C33:C36)+$C$7+$C$9+$C$11+F36+$C$29+$C$15+$C$13+C31</f>
        <v>1120682.9739999885</v>
      </c>
      <c r="H36" s="47">
        <v>9.2100000000000001E-2</v>
      </c>
      <c r="I36" s="47">
        <v>7.7600000000000002E-2</v>
      </c>
      <c r="J36" s="42">
        <f t="shared" si="5"/>
        <v>1884807</v>
      </c>
    </row>
    <row r="37" spans="1:10" hidden="1" x14ac:dyDescent="0.2">
      <c r="A37" s="43" t="s">
        <v>21</v>
      </c>
      <c r="B37" s="42">
        <v>3627311.16</v>
      </c>
      <c r="C37" s="42">
        <v>581877.64</v>
      </c>
      <c r="D37" s="42">
        <v>-4830193.3499999996</v>
      </c>
      <c r="E37" s="42">
        <f t="shared" si="3"/>
        <v>-21249</v>
      </c>
      <c r="F37" s="42">
        <f t="shared" si="4"/>
        <v>-3391325.2960000113</v>
      </c>
      <c r="G37" s="42">
        <f>SUM(C33:C37)+$C$7+$C$9+$C$11+F37+$C$29+$C$15+$C$13+C31</f>
        <v>478429.42399998964</v>
      </c>
      <c r="H37" s="47">
        <v>9.2100000000000001E-2</v>
      </c>
      <c r="I37" s="47">
        <v>7.7600000000000002E-2</v>
      </c>
      <c r="J37" s="42">
        <f t="shared" si="5"/>
        <v>1863558</v>
      </c>
    </row>
    <row r="38" spans="1:10" hidden="1" x14ac:dyDescent="0.2">
      <c r="A38" s="43" t="s">
        <v>22</v>
      </c>
      <c r="B38" s="42">
        <v>4220628.59</v>
      </c>
      <c r="C38" s="42">
        <v>699578.25</v>
      </c>
      <c r="D38" s="42">
        <v>-6141276.1500000004</v>
      </c>
      <c r="E38" s="42">
        <f t="shared" si="3"/>
        <v>-33399</v>
      </c>
      <c r="F38" s="42">
        <f t="shared" si="4"/>
        <v>-5345371.8560000118</v>
      </c>
      <c r="G38" s="42">
        <f>SUM(C33:C38)+$C$7+$C$9+$C$11+F38+$C$29+$C$15+$C$13+C31</f>
        <v>-776038.88600001135</v>
      </c>
      <c r="H38" s="47">
        <v>9.2100000000000001E-2</v>
      </c>
      <c r="I38" s="47">
        <v>7.7600000000000002E-2</v>
      </c>
      <c r="J38" s="42">
        <f t="shared" si="5"/>
        <v>1830159</v>
      </c>
    </row>
    <row r="39" spans="1:10" hidden="1" x14ac:dyDescent="0.2">
      <c r="A39" s="41" t="s">
        <v>23</v>
      </c>
      <c r="B39" s="42">
        <v>5022884.8600000003</v>
      </c>
      <c r="C39" s="42">
        <v>384296.86</v>
      </c>
      <c r="D39" s="42">
        <v>-7999386.8399999999</v>
      </c>
      <c r="E39" s="42">
        <f t="shared" si="3"/>
        <v>-52448</v>
      </c>
      <c r="F39" s="42">
        <f t="shared" si="4"/>
        <v>-8374321.8360000113</v>
      </c>
      <c r="G39" s="42">
        <f>SUM(C33:C39)+$C$7+$C$9+$C$11+F39+$C$29+$C$15+$C$13+C31</f>
        <v>-3420692.0060000112</v>
      </c>
      <c r="H39" s="47">
        <v>9.2100000000000001E-2</v>
      </c>
      <c r="I39" s="47">
        <v>7.7600000000000002E-2</v>
      </c>
      <c r="J39" s="42">
        <f t="shared" si="5"/>
        <v>1777711</v>
      </c>
    </row>
    <row r="40" spans="1:10" hidden="1" x14ac:dyDescent="0.2">
      <c r="A40" s="41" t="s">
        <v>24</v>
      </c>
      <c r="B40" s="42">
        <v>4164509.71</v>
      </c>
      <c r="C40" s="42">
        <v>868008.08</v>
      </c>
      <c r="D40" s="42">
        <v>-8327453.8099999996</v>
      </c>
      <c r="E40" s="42">
        <f t="shared" si="3"/>
        <v>-80248</v>
      </c>
      <c r="F40" s="42">
        <f t="shared" si="4"/>
        <v>-12617513.936000012</v>
      </c>
      <c r="G40" s="42">
        <f>SUM(C33:C40)+$C$7+$C$9+$C$11+F40+$C$29+$C$15+$C$13+C31</f>
        <v>-6795876.0260000108</v>
      </c>
      <c r="H40" s="47">
        <v>9.2100000000000001E-2</v>
      </c>
      <c r="I40" s="47">
        <v>7.7600000000000002E-2</v>
      </c>
      <c r="J40" s="42">
        <f>+J39+E40</f>
        <v>1697463</v>
      </c>
    </row>
    <row r="41" spans="1:10" hidden="1" x14ac:dyDescent="0.2">
      <c r="A41" s="41" t="s">
        <v>25</v>
      </c>
      <c r="B41" s="42">
        <v>2671925.14</v>
      </c>
      <c r="C41" s="42">
        <v>454899.97</v>
      </c>
      <c r="D41" s="42">
        <v>-7382830.54</v>
      </c>
      <c r="E41" s="42">
        <f>ROUND((((B41+D41)/2)+F40)*(9.21%/12),0)</f>
        <v>-114918</v>
      </c>
      <c r="F41" s="42">
        <f t="shared" si="4"/>
        <v>-17443337.33600001</v>
      </c>
      <c r="G41" s="42">
        <f>SUM(C33:C41)+$C$7+$C$9+$C$11+F41+$C$29+$C$15+$C$13+C31</f>
        <v>-11166799.456000011</v>
      </c>
      <c r="H41" s="47">
        <v>9.2100000000000001E-2</v>
      </c>
      <c r="I41" s="47">
        <v>7.7600000000000002E-2</v>
      </c>
      <c r="J41" s="42">
        <f>+J40+E41</f>
        <v>1582545</v>
      </c>
    </row>
    <row r="42" spans="1:10" hidden="1" x14ac:dyDescent="0.2">
      <c r="A42" s="41" t="s">
        <v>26</v>
      </c>
      <c r="B42" s="42">
        <v>4757937.92</v>
      </c>
      <c r="C42" s="42">
        <v>-305046.5700000003</v>
      </c>
      <c r="D42" s="42">
        <v>-5424165.1100000003</v>
      </c>
      <c r="E42" s="42">
        <f t="shared" ref="E42:E44" si="6">ROUND((((B42+D42)/2)+F41)*(9.21%/12),0)</f>
        <v>-136434</v>
      </c>
      <c r="F42" s="42">
        <f t="shared" si="4"/>
        <v>-18245998.526000012</v>
      </c>
      <c r="G42" s="42">
        <f>SUM(C33:C42)+$C$7+$C$9+$C$11+F42+$C$29+$C$15+$C$13+C31</f>
        <v>-12274507.216000013</v>
      </c>
      <c r="H42" s="47">
        <v>9.2100000000000001E-2</v>
      </c>
      <c r="I42" s="47">
        <v>7.7600000000000002E-2</v>
      </c>
      <c r="J42" s="42">
        <f>+J41+E42</f>
        <v>1446111</v>
      </c>
    </row>
    <row r="43" spans="1:10" hidden="1" x14ac:dyDescent="0.2">
      <c r="A43" s="41" t="s">
        <v>27</v>
      </c>
      <c r="B43" s="42">
        <v>6769886.1299999999</v>
      </c>
      <c r="C43" s="42">
        <v>-2282310.4199999995</v>
      </c>
      <c r="D43" s="42">
        <v>-4975604.2300000004</v>
      </c>
      <c r="E43" s="42">
        <f t="shared" si="6"/>
        <v>-133152</v>
      </c>
      <c r="F43" s="42">
        <f t="shared" si="4"/>
        <v>-16584868.626000013</v>
      </c>
      <c r="G43" s="42">
        <f>SUM(C33:C43)+$C$7+$C$9+$C$11+F43+$C$29+$C$15+$C$13+C31</f>
        <v>-12895687.736000013</v>
      </c>
      <c r="H43" s="47">
        <v>9.2100000000000001E-2</v>
      </c>
      <c r="I43" s="47">
        <v>7.7600000000000002E-2</v>
      </c>
      <c r="J43" s="42">
        <f>+J42+E43</f>
        <v>1312959</v>
      </c>
    </row>
    <row r="44" spans="1:10" hidden="1" x14ac:dyDescent="0.2">
      <c r="A44" s="41" t="s">
        <v>28</v>
      </c>
      <c r="B44" s="42">
        <v>5518134.2599999998</v>
      </c>
      <c r="C44" s="42">
        <v>134804.7799999998</v>
      </c>
      <c r="D44" s="42">
        <v>-5686626.3500000006</v>
      </c>
      <c r="E44" s="42">
        <f t="shared" si="6"/>
        <v>-127935</v>
      </c>
      <c r="F44" s="42">
        <f t="shared" si="4"/>
        <v>-16881295.716000013</v>
      </c>
      <c r="G44" s="42">
        <f>SUM(C33:C44)+$C$7+$C$9+$C$11+F44+$C$29+$C$15+$C$13+C31</f>
        <v>-13057310.046000015</v>
      </c>
      <c r="H44" s="47">
        <v>9.2100000000000001E-2</v>
      </c>
      <c r="I44" s="47">
        <v>7.7600000000000002E-2</v>
      </c>
      <c r="J44" s="42">
        <f>+J43+E44</f>
        <v>1185024</v>
      </c>
    </row>
    <row r="45" spans="1:10" x14ac:dyDescent="0.2">
      <c r="A45" s="24" t="s">
        <v>31</v>
      </c>
      <c r="B45" s="25">
        <f>SUM(B33:B44)</f>
        <v>51223664.640000001</v>
      </c>
      <c r="C45" s="48">
        <f>SUM(C33:C44)</f>
        <v>-245770.16000000015</v>
      </c>
      <c r="D45" s="48">
        <f>SUM(D33:D44)</f>
        <v>-67723588.679999992</v>
      </c>
      <c r="E45" s="32">
        <f>SUM(E33:E44)</f>
        <v>-701111</v>
      </c>
      <c r="F45" s="33">
        <v>-16881295.716000013</v>
      </c>
      <c r="G45" s="33">
        <v>-13057310.046000015</v>
      </c>
      <c r="H45" s="36"/>
      <c r="I45" s="34"/>
      <c r="J45" s="28">
        <v>1185024</v>
      </c>
    </row>
    <row r="46" spans="1:10" ht="6.75" customHeight="1" x14ac:dyDescent="0.2">
      <c r="A46" s="24"/>
      <c r="B46" s="29"/>
      <c r="C46" s="29"/>
      <c r="D46" s="29"/>
      <c r="E46" s="35"/>
      <c r="F46" s="33"/>
      <c r="G46" s="33"/>
      <c r="H46" s="36"/>
      <c r="I46" s="34"/>
      <c r="J46" s="28"/>
    </row>
    <row r="47" spans="1:10" x14ac:dyDescent="0.2">
      <c r="A47" s="41" t="s">
        <v>17</v>
      </c>
      <c r="B47" s="42">
        <v>2306948.2999999998</v>
      </c>
      <c r="C47" s="42">
        <v>409558.16</v>
      </c>
      <c r="D47" s="42">
        <v>-5541819.3799999999</v>
      </c>
      <c r="E47" s="42">
        <f>ROUND((((B47+D47)/2)+F44)*(9.21%/12),0)</f>
        <v>-141978</v>
      </c>
      <c r="F47" s="42">
        <f>+F44+B47+D47+E47</f>
        <v>-20258144.796000011</v>
      </c>
      <c r="G47" s="42">
        <f>SUM(C47)+$C$7+$C$9+$C$11+F47+$C$29+$C$15+$C$13+C45+C31</f>
        <v>-16024600.966000013</v>
      </c>
      <c r="H47" s="47">
        <v>9.2100000000000001E-2</v>
      </c>
      <c r="I47" s="47">
        <v>7.7600000000000002E-2</v>
      </c>
      <c r="J47" s="42">
        <f>+J44+E47</f>
        <v>1043046</v>
      </c>
    </row>
    <row r="48" spans="1:10" x14ac:dyDescent="0.2">
      <c r="A48" s="43" t="s">
        <v>18</v>
      </c>
      <c r="B48" s="42">
        <v>3129923.58</v>
      </c>
      <c r="C48" s="42">
        <v>-851190.91</v>
      </c>
      <c r="D48" s="42">
        <v>8834474.0099999998</v>
      </c>
      <c r="E48" s="42">
        <f t="shared" ref="E48:E58" si="7">ROUND((((B48+D48)/2)+F47)*(9.21%/12),0)</f>
        <v>-109568</v>
      </c>
      <c r="F48" s="42">
        <f t="shared" ref="F48:F58" si="8">+F47+B48+D48+E48</f>
        <v>-8403315.2060000133</v>
      </c>
      <c r="G48" s="42">
        <f>SUM(C47:C48)+$C$7+$C$9+$C$11+F48+$C$29+$C$15+$C$13+C45+C31</f>
        <v>-5020962.2860000115</v>
      </c>
      <c r="H48" s="47">
        <v>9.2100000000000001E-2</v>
      </c>
      <c r="I48" s="47">
        <v>7.7600000000000002E-2</v>
      </c>
      <c r="J48" s="42">
        <f t="shared" ref="J48:J53" si="9">+J47+E48</f>
        <v>933478</v>
      </c>
    </row>
    <row r="49" spans="1:10" x14ac:dyDescent="0.2">
      <c r="A49" s="44" t="s">
        <v>19</v>
      </c>
      <c r="B49" s="42">
        <v>3365854.8</v>
      </c>
      <c r="C49" s="42">
        <v>929978.98</v>
      </c>
      <c r="D49" s="42">
        <v>-4918665.0599999996</v>
      </c>
      <c r="E49" s="42">
        <f t="shared" si="7"/>
        <v>-70454</v>
      </c>
      <c r="F49" s="42">
        <f t="shared" si="8"/>
        <v>-10026579.466000013</v>
      </c>
      <c r="G49" s="42">
        <f>SUM(C47:C49)+$C$7+$C$9+$C$11+F49+$C$29+$C$15+$C$13+C45+C31</f>
        <v>-5714247.5660000136</v>
      </c>
      <c r="H49" s="47">
        <v>9.2100000000000001E-2</v>
      </c>
      <c r="I49" s="47">
        <v>7.7600000000000002E-2</v>
      </c>
      <c r="J49" s="42">
        <f t="shared" si="9"/>
        <v>863024</v>
      </c>
    </row>
    <row r="50" spans="1:10" x14ac:dyDescent="0.2">
      <c r="A50" s="41" t="s">
        <v>20</v>
      </c>
      <c r="B50" s="42">
        <v>4141930.66</v>
      </c>
      <c r="C50" s="42">
        <v>-298684.93</v>
      </c>
      <c r="D50" s="42">
        <v>-4518162.42</v>
      </c>
      <c r="E50" s="42">
        <f t="shared" si="7"/>
        <v>-78398</v>
      </c>
      <c r="F50" s="42">
        <f t="shared" si="8"/>
        <v>-10481209.226000013</v>
      </c>
      <c r="G50" s="42">
        <f>SUM(C47:C50)+$C$7+$C$9+$C$11+F50+$C$29+$C$15+$C$13+C45+C31</f>
        <v>-6467562.256000015</v>
      </c>
      <c r="H50" s="47">
        <v>9.2100000000000001E-2</v>
      </c>
      <c r="I50" s="47">
        <v>7.7600000000000002E-2</v>
      </c>
      <c r="J50" s="42">
        <f t="shared" si="9"/>
        <v>784626</v>
      </c>
    </row>
    <row r="51" spans="1:10" x14ac:dyDescent="0.2">
      <c r="A51" s="43" t="s">
        <v>21</v>
      </c>
      <c r="B51" s="42">
        <v>3733448.78</v>
      </c>
      <c r="C51" s="42">
        <v>-389336.92</v>
      </c>
      <c r="D51" s="42">
        <v>-4543908.1500000004</v>
      </c>
      <c r="E51" s="42">
        <f t="shared" si="7"/>
        <v>-83553</v>
      </c>
      <c r="F51" s="42">
        <f t="shared" si="8"/>
        <v>-11375221.596000014</v>
      </c>
      <c r="G51" s="42">
        <f>SUM(C47:C51)+$C$7+$C$9+$C$11+F51+$C$29+$C$15+$C$13+C45+C31</f>
        <v>-7750911.546000015</v>
      </c>
      <c r="H51" s="47">
        <v>9.2100000000000001E-2</v>
      </c>
      <c r="I51" s="47">
        <v>7.7600000000000002E-2</v>
      </c>
      <c r="J51" s="42">
        <f t="shared" si="9"/>
        <v>701073</v>
      </c>
    </row>
    <row r="52" spans="1:10" x14ac:dyDescent="0.2">
      <c r="A52" s="43" t="s">
        <v>22</v>
      </c>
      <c r="B52" s="42">
        <v>3123513.19</v>
      </c>
      <c r="C52" s="42">
        <v>1099367.67</v>
      </c>
      <c r="D52" s="42">
        <v>-5556105.9900000002</v>
      </c>
      <c r="E52" s="42">
        <f t="shared" si="7"/>
        <v>-96640</v>
      </c>
      <c r="F52" s="42">
        <f t="shared" si="8"/>
        <v>-13904454.396000015</v>
      </c>
      <c r="G52" s="42">
        <f>SUM(C47:C52)+$C$7+$C$9+$C$11+F52+$C$29+$C$15+$C$13+C45+C31</f>
        <v>-9180776.6760000139</v>
      </c>
      <c r="H52" s="47">
        <v>9.2100000000000001E-2</v>
      </c>
      <c r="I52" s="47">
        <v>7.7600000000000002E-2</v>
      </c>
      <c r="J52" s="42">
        <f t="shared" si="9"/>
        <v>604433</v>
      </c>
    </row>
    <row r="53" spans="1:10" x14ac:dyDescent="0.2">
      <c r="A53" s="41" t="s">
        <v>23</v>
      </c>
      <c r="B53" s="42">
        <v>4088790.06</v>
      </c>
      <c r="C53" s="42">
        <v>377099.94</v>
      </c>
      <c r="D53" s="42">
        <v>-6966776.5800000001</v>
      </c>
      <c r="E53" s="42">
        <f t="shared" si="7"/>
        <v>-117761</v>
      </c>
      <c r="F53" s="42">
        <f t="shared" si="8"/>
        <v>-16900201.916000016</v>
      </c>
      <c r="G53" s="42">
        <f>SUM(C47:C53)+$C$7+$C$9+$C$11+F53+$C$29+$C$15+$C$13+C45+C31</f>
        <v>-11799424.256000016</v>
      </c>
      <c r="H53" s="47">
        <v>9.2100000000000001E-2</v>
      </c>
      <c r="I53" s="47">
        <v>7.7600000000000002E-2</v>
      </c>
      <c r="J53" s="42">
        <f t="shared" si="9"/>
        <v>486672</v>
      </c>
    </row>
    <row r="54" spans="1:10" x14ac:dyDescent="0.2">
      <c r="A54" s="41" t="s">
        <v>24</v>
      </c>
      <c r="B54" s="42">
        <v>4218557.6500000004</v>
      </c>
      <c r="C54" s="42">
        <v>101143.58</v>
      </c>
      <c r="D54" s="42">
        <v>-7886881.9400000004</v>
      </c>
      <c r="E54" s="42">
        <f t="shared" si="7"/>
        <v>-143786</v>
      </c>
      <c r="F54" s="42">
        <f t="shared" si="8"/>
        <v>-20712312.206000015</v>
      </c>
      <c r="G54" s="42">
        <f>SUM(C47:C54)+$C$7+$C$9+$C$11+F54+$C$29+$C$15+$C$13+C45+C31</f>
        <v>-15510390.966000017</v>
      </c>
      <c r="H54" s="47">
        <v>9.2100000000000001E-2</v>
      </c>
      <c r="I54" s="47">
        <v>7.7600000000000002E-2</v>
      </c>
      <c r="J54" s="42">
        <f>+J53+E54</f>
        <v>342886</v>
      </c>
    </row>
    <row r="55" spans="1:10" x14ac:dyDescent="0.2">
      <c r="A55" s="41" t="s">
        <v>25</v>
      </c>
      <c r="B55" s="42">
        <v>5581425.1500000004</v>
      </c>
      <c r="C55" s="42">
        <v>-705971.51</v>
      </c>
      <c r="D55" s="42">
        <v>-7345074.4299999997</v>
      </c>
      <c r="E55" s="42">
        <f t="shared" si="7"/>
        <v>-165735</v>
      </c>
      <c r="F55" s="42">
        <f t="shared" si="8"/>
        <v>-22641696.486000016</v>
      </c>
      <c r="G55" s="42">
        <f>SUM(C47:C55)+$C$7+$C$9+$C$11+F55+$C$29+$C$15+$C$13+C45+C31</f>
        <v>-18145746.756000016</v>
      </c>
      <c r="H55" s="47">
        <v>9.2100000000000001E-2</v>
      </c>
      <c r="I55" s="47">
        <v>7.7600000000000002E-2</v>
      </c>
      <c r="J55" s="42">
        <f>+J54+E55</f>
        <v>177151</v>
      </c>
    </row>
    <row r="56" spans="1:10" x14ac:dyDescent="0.2">
      <c r="A56" s="41" t="s">
        <v>26</v>
      </c>
      <c r="B56" s="42">
        <v>4156268.84</v>
      </c>
      <c r="C56" s="42">
        <v>757368.86</v>
      </c>
      <c r="D56" s="42">
        <v>-4957659.45</v>
      </c>
      <c r="E56" s="42">
        <f t="shared" si="7"/>
        <v>-176850</v>
      </c>
      <c r="F56" s="42">
        <f t="shared" si="8"/>
        <v>-23619937.096000016</v>
      </c>
      <c r="G56" s="42">
        <f>SUM(C47:C56)+$C$7+$C$9+$C$11+F56+$C$29+$C$15+$C$13+C45+C31</f>
        <v>-18366618.506000016</v>
      </c>
      <c r="H56" s="47">
        <v>9.2100000000000001E-2</v>
      </c>
      <c r="I56" s="47">
        <v>7.7600000000000002E-2</v>
      </c>
      <c r="J56" s="42">
        <f>+J55+E56</f>
        <v>301</v>
      </c>
    </row>
    <row r="57" spans="1:10" ht="15" thickBot="1" x14ac:dyDescent="0.25">
      <c r="A57" s="41" t="s">
        <v>27</v>
      </c>
      <c r="B57" s="42">
        <v>5012553.68</v>
      </c>
      <c r="C57" s="42">
        <v>360814.52</v>
      </c>
      <c r="D57" s="42">
        <v>-4730750.8</v>
      </c>
      <c r="E57" s="42">
        <f t="shared" si="7"/>
        <v>-180202</v>
      </c>
      <c r="F57" s="49">
        <f t="shared" si="8"/>
        <v>-23518336.216000017</v>
      </c>
      <c r="G57" s="49">
        <f>SUM(C47:C57)+$C$7+$C$9+$C$11+F57+$C$29+$C$15+$C$13+C45+C31</f>
        <v>-17904203.106000017</v>
      </c>
      <c r="H57" s="47">
        <v>9.2100000000000001E-2</v>
      </c>
      <c r="I57" s="47">
        <v>7.7600000000000002E-2</v>
      </c>
      <c r="J57" s="42">
        <f>+J56+E57</f>
        <v>-179901</v>
      </c>
    </row>
    <row r="58" spans="1:10" x14ac:dyDescent="0.2">
      <c r="A58" s="41" t="s">
        <v>28</v>
      </c>
      <c r="B58" s="50">
        <f>+'[2]Exh A - Expenditure Forecast'!E25</f>
        <v>6321914.4699999988</v>
      </c>
      <c r="C58" s="50"/>
      <c r="D58" s="50">
        <v>-5037863.6730078999</v>
      </c>
      <c r="E58" s="50">
        <f t="shared" si="7"/>
        <v>-175576</v>
      </c>
      <c r="F58" s="42">
        <f t="shared" si="8"/>
        <v>-22409861.41900792</v>
      </c>
      <c r="G58" s="42">
        <f>SUM(C47:C58)+$C$7+$C$9+$C$11+F58+$C$29+$C$15+$C$13+C45+C31</f>
        <v>-16795728.30900792</v>
      </c>
      <c r="H58" s="47">
        <v>9.2100000000000001E-2</v>
      </c>
      <c r="I58" s="47">
        <v>7.7600000000000002E-2</v>
      </c>
      <c r="J58" s="42">
        <f>+J57+E58</f>
        <v>-355477</v>
      </c>
    </row>
    <row r="59" spans="1:10" x14ac:dyDescent="0.2">
      <c r="A59" s="24" t="s">
        <v>32</v>
      </c>
      <c r="B59" s="25">
        <f>SUM(B47:B58)</f>
        <v>49181129.159999989</v>
      </c>
      <c r="C59" s="25">
        <f>SUM(C47:C58)</f>
        <v>1790147.44</v>
      </c>
      <c r="D59" s="25">
        <f>SUM(D47:D58)</f>
        <v>-53169193.863007896</v>
      </c>
      <c r="E59" s="32">
        <f>SUM(E47:E58)</f>
        <v>-1540501</v>
      </c>
      <c r="F59" s="33"/>
      <c r="G59" s="33"/>
      <c r="H59" s="36"/>
      <c r="I59" s="34"/>
      <c r="J59" s="28"/>
    </row>
    <row r="60" spans="1:10" x14ac:dyDescent="0.2">
      <c r="A60" s="24"/>
      <c r="B60" s="29"/>
      <c r="C60" s="29"/>
      <c r="D60" s="29"/>
      <c r="E60" s="35"/>
      <c r="F60" s="33"/>
      <c r="G60" s="33"/>
      <c r="H60" s="36"/>
      <c r="I60" s="34"/>
      <c r="J60" s="28"/>
    </row>
    <row r="61" spans="1:10" x14ac:dyDescent="0.2">
      <c r="A61" s="41" t="s">
        <v>17</v>
      </c>
      <c r="B61" s="50">
        <f>+'[2]Exh A - Expenditure Forecast'!K25</f>
        <v>3973793.6273333333</v>
      </c>
      <c r="C61" s="50"/>
      <c r="D61" s="50">
        <v>-5029388.4436067315</v>
      </c>
      <c r="E61" s="50">
        <f>ROUND((((B61+D61)/2)+F58)*(9.21%/12),0)</f>
        <v>-176047</v>
      </c>
      <c r="F61" s="42">
        <f>+F58+B61+D61+E61</f>
        <v>-23641503.235281318</v>
      </c>
      <c r="G61" s="42">
        <f>SUM(C61)+$C$7+$C$9+$C$11+F61+$C$29+$C$15+$C$13+$C$59+$C$45+$C$31</f>
        <v>-18027370.125281319</v>
      </c>
      <c r="H61" s="47">
        <v>9.2100000000000001E-2</v>
      </c>
      <c r="I61" s="47">
        <v>7.7600000000000002E-2</v>
      </c>
      <c r="J61" s="42">
        <f>+J58+E61</f>
        <v>-531524</v>
      </c>
    </row>
    <row r="62" spans="1:10" x14ac:dyDescent="0.2">
      <c r="A62" s="43" t="s">
        <v>18</v>
      </c>
      <c r="B62" s="50">
        <f>+'[2]Exh A - Expenditure Forecast'!L25</f>
        <v>4796062.4193333331</v>
      </c>
      <c r="C62" s="50"/>
      <c r="D62" s="50">
        <f>-4502663.29386184+22000000</f>
        <v>17497336.70613816</v>
      </c>
      <c r="E62" s="50">
        <f t="shared" ref="E62:E72" si="10">ROUND((((B62+D62)/2)+F61)*(9.21%/12),0)</f>
        <v>-95898</v>
      </c>
      <c r="F62" s="42">
        <f t="shared" ref="F62:F72" si="11">+F61+B62+D62+E62</f>
        <v>-1444002.1098098271</v>
      </c>
      <c r="G62" s="42">
        <f>SUM(C61:C62)+$C$7+$C$9+$C$11+F62+$C$29+$C$15+$C$13+$C$59+$C$45+$C$31</f>
        <v>4170131.0001901733</v>
      </c>
      <c r="H62" s="47">
        <v>9.2100000000000001E-2</v>
      </c>
      <c r="I62" s="47">
        <v>7.7600000000000002E-2</v>
      </c>
      <c r="J62" s="42">
        <f t="shared" ref="J62:J67" si="12">+J61+E62</f>
        <v>-627422</v>
      </c>
    </row>
    <row r="63" spans="1:10" x14ac:dyDescent="0.2">
      <c r="A63" s="44" t="s">
        <v>19</v>
      </c>
      <c r="B63" s="50">
        <f>+'[2]Exh A - Expenditure Forecast'!M25</f>
        <v>4882161.3753333325</v>
      </c>
      <c r="C63" s="50"/>
      <c r="D63" s="50">
        <v>-4581725.2054063175</v>
      </c>
      <c r="E63" s="50">
        <f t="shared" si="10"/>
        <v>-9930</v>
      </c>
      <c r="F63" s="42">
        <f t="shared" si="11"/>
        <v>-1153495.9398828121</v>
      </c>
      <c r="G63" s="42">
        <f>SUM(C61:C63)+$C$7+$C$9+$C$11+F63+$C$29+$C$15+$C$13+$C$59+$C$45+$C$31</f>
        <v>4460637.1701171882</v>
      </c>
      <c r="H63" s="47">
        <v>9.2100000000000001E-2</v>
      </c>
      <c r="I63" s="47">
        <v>7.7600000000000002E-2</v>
      </c>
      <c r="J63" s="42">
        <f t="shared" si="12"/>
        <v>-637352</v>
      </c>
    </row>
    <row r="64" spans="1:10" x14ac:dyDescent="0.2">
      <c r="A64" s="41" t="s">
        <v>20</v>
      </c>
      <c r="B64" s="50">
        <f>+'[2]Exh A - Expenditure Forecast'!N25</f>
        <v>5242760.4653333332</v>
      </c>
      <c r="C64" s="50"/>
      <c r="D64" s="50">
        <v>-4276786.2970387293</v>
      </c>
      <c r="E64" s="50">
        <f t="shared" si="10"/>
        <v>-5146</v>
      </c>
      <c r="F64" s="42">
        <f t="shared" si="11"/>
        <v>-192667.77158820815</v>
      </c>
      <c r="G64" s="42">
        <f>SUM(C61:C64)+$C$7+$C$9+$C$11+F64+$C$29+$C$15+$C$13+$C$59+$C$45+$C$31</f>
        <v>5421465.3384117913</v>
      </c>
      <c r="H64" s="47">
        <v>9.2100000000000001E-2</v>
      </c>
      <c r="I64" s="47">
        <v>7.7600000000000002E-2</v>
      </c>
      <c r="J64" s="42">
        <f t="shared" si="12"/>
        <v>-642498</v>
      </c>
    </row>
    <row r="65" spans="1:10" x14ac:dyDescent="0.2">
      <c r="A65" s="43" t="s">
        <v>21</v>
      </c>
      <c r="B65" s="50">
        <f>+'[2]Exh A - Expenditure Forecast'!O25</f>
        <v>5212182.6433333326</v>
      </c>
      <c r="C65" s="50"/>
      <c r="D65" s="50">
        <v>-5116774.9004422817</v>
      </c>
      <c r="E65" s="50">
        <f t="shared" si="10"/>
        <v>-1113</v>
      </c>
      <c r="F65" s="42">
        <f t="shared" si="11"/>
        <v>-98373.028697157279</v>
      </c>
      <c r="G65" s="42">
        <f>SUM(C61:C65)+$C$7+$C$9+$C$11+F65+$C$29+$C$15+$C$13+$C$59+$C$45+$C$31</f>
        <v>5515760.0813028421</v>
      </c>
      <c r="H65" s="47">
        <v>9.2100000000000001E-2</v>
      </c>
      <c r="I65" s="47">
        <v>7.7600000000000002E-2</v>
      </c>
      <c r="J65" s="42">
        <f t="shared" si="12"/>
        <v>-643611</v>
      </c>
    </row>
    <row r="66" spans="1:10" x14ac:dyDescent="0.2">
      <c r="A66" s="43" t="s">
        <v>22</v>
      </c>
      <c r="B66" s="50">
        <f>+'[2]Exh A - Expenditure Forecast'!P25</f>
        <v>5063454.685333333</v>
      </c>
      <c r="C66" s="50"/>
      <c r="D66" s="50">
        <v>-6078259.2787328456</v>
      </c>
      <c r="E66" s="50">
        <f t="shared" si="10"/>
        <v>-4649</v>
      </c>
      <c r="F66" s="42">
        <f t="shared" si="11"/>
        <v>-1117826.6220966699</v>
      </c>
      <c r="G66" s="42">
        <f>SUM(C61:C66)+$C$7+$C$9+$C$11+F66+$C$29+$C$15+$C$13+$C$59+$C$45+$C$31</f>
        <v>4496306.4879033305</v>
      </c>
      <c r="H66" s="47">
        <v>9.2100000000000001E-2</v>
      </c>
      <c r="I66" s="47">
        <v>7.7600000000000002E-2</v>
      </c>
      <c r="J66" s="42">
        <f t="shared" si="12"/>
        <v>-648260</v>
      </c>
    </row>
    <row r="67" spans="1:10" x14ac:dyDescent="0.2">
      <c r="A67" s="41" t="s">
        <v>23</v>
      </c>
      <c r="B67" s="50">
        <f>+'[2]Exh A - Expenditure Forecast'!Q25</f>
        <v>4809422.7833333332</v>
      </c>
      <c r="C67" s="50"/>
      <c r="D67" s="50">
        <v>-7495465.2254824359</v>
      </c>
      <c r="E67" s="50">
        <f t="shared" si="10"/>
        <v>-18887</v>
      </c>
      <c r="F67" s="42">
        <f t="shared" si="11"/>
        <v>-3822756.0642457725</v>
      </c>
      <c r="G67" s="42">
        <f>SUM(C61:C67)+$C$7+$C$9+$C$11+F67+$C$29+$C$15+$C$13+$C$59+$C$45+$C$31</f>
        <v>1791377.0457542276</v>
      </c>
      <c r="H67" s="47">
        <v>9.2100000000000001E-2</v>
      </c>
      <c r="I67" s="47">
        <v>7.7600000000000002E-2</v>
      </c>
      <c r="J67" s="42">
        <f t="shared" si="12"/>
        <v>-667147</v>
      </c>
    </row>
    <row r="68" spans="1:10" x14ac:dyDescent="0.2">
      <c r="A68" s="41" t="s">
        <v>24</v>
      </c>
      <c r="B68" s="50">
        <f>+'[2]Exh A - Expenditure Forecast'!R25</f>
        <v>5095120.0373333329</v>
      </c>
      <c r="C68" s="50"/>
      <c r="D68" s="50">
        <v>-7080185.7168095373</v>
      </c>
      <c r="E68" s="50">
        <f t="shared" si="10"/>
        <v>-36957</v>
      </c>
      <c r="F68" s="42">
        <f t="shared" si="11"/>
        <v>-5844778.7437219769</v>
      </c>
      <c r="G68" s="42">
        <f>SUM(C61:C68)+$C$7+$C$9+$C$11+F68+$C$29+$C$15+$C$13+$C$59+$C$45+$C$31</f>
        <v>-230645.63372197677</v>
      </c>
      <c r="H68" s="47">
        <v>9.2100000000000001E-2</v>
      </c>
      <c r="I68" s="47">
        <v>7.7600000000000002E-2</v>
      </c>
      <c r="J68" s="42">
        <f>+J67+E68</f>
        <v>-704104</v>
      </c>
    </row>
    <row r="69" spans="1:10" x14ac:dyDescent="0.2">
      <c r="A69" s="41" t="s">
        <v>25</v>
      </c>
      <c r="B69" s="50">
        <f>+'[2]Exh A - Expenditure Forecast'!S25</f>
        <v>5145899.9673333326</v>
      </c>
      <c r="C69" s="50"/>
      <c r="D69" s="50">
        <v>-5599793.9794018641</v>
      </c>
      <c r="E69" s="50">
        <f t="shared" si="10"/>
        <v>-46600</v>
      </c>
      <c r="F69" s="42">
        <f t="shared" si="11"/>
        <v>-6345272.7557905084</v>
      </c>
      <c r="G69" s="42">
        <f>SUM(C61:C69)+$C$7+$C$9+$C$11+F69+$C$29+$C$15+$C$13+$C$59+$C$45+$C$31</f>
        <v>-731139.64579050732</v>
      </c>
      <c r="H69" s="47">
        <v>9.2100000000000001E-2</v>
      </c>
      <c r="I69" s="47">
        <v>7.7600000000000002E-2</v>
      </c>
      <c r="J69" s="42">
        <f>+J68+E69</f>
        <v>-750704</v>
      </c>
    </row>
    <row r="70" spans="1:10" x14ac:dyDescent="0.2">
      <c r="A70" s="41" t="s">
        <v>26</v>
      </c>
      <c r="B70" s="50">
        <f>+'[2]Exh A - Expenditure Forecast'!T25</f>
        <v>5281164.9333333327</v>
      </c>
      <c r="C70" s="50"/>
      <c r="D70" s="50">
        <v>-4488265.6287217811</v>
      </c>
      <c r="E70" s="50">
        <f t="shared" si="10"/>
        <v>-45657</v>
      </c>
      <c r="F70" s="42">
        <f t="shared" si="11"/>
        <v>-5598030.4511789568</v>
      </c>
      <c r="G70" s="42">
        <f>SUM(C61:C70)+$C$7+$C$9+$C$11+F70+$C$29+$C$15+$C$13+$C$59+$C$45+$C$31</f>
        <v>16102.658821043326</v>
      </c>
      <c r="H70" s="47">
        <v>9.2100000000000001E-2</v>
      </c>
      <c r="I70" s="47">
        <v>7.7600000000000002E-2</v>
      </c>
      <c r="J70" s="42">
        <f>+J69+E70</f>
        <v>-796361</v>
      </c>
    </row>
    <row r="71" spans="1:10" x14ac:dyDescent="0.2">
      <c r="A71" s="41" t="s">
        <v>27</v>
      </c>
      <c r="B71" s="50">
        <f>+'[2]Exh A - Expenditure Forecast'!U25</f>
        <v>8076336.719333333</v>
      </c>
      <c r="C71" s="50"/>
      <c r="D71" s="50">
        <v>-4511805.8234367101</v>
      </c>
      <c r="E71" s="50">
        <f t="shared" si="10"/>
        <v>-29286</v>
      </c>
      <c r="F71" s="42">
        <f t="shared" si="11"/>
        <v>-2062785.5552823339</v>
      </c>
      <c r="G71" s="42">
        <f>SUM(C61:C71)+$C$7+$C$9+$C$11+F71+$C$29+$C$15+$C$13+$C$59+$C$45+$C$31</f>
        <v>3551347.5547176665</v>
      </c>
      <c r="H71" s="47">
        <v>9.2100000000000001E-2</v>
      </c>
      <c r="I71" s="47">
        <v>7.7600000000000002E-2</v>
      </c>
      <c r="J71" s="42">
        <f>+J70+E71</f>
        <v>-825647</v>
      </c>
    </row>
    <row r="72" spans="1:10" x14ac:dyDescent="0.2">
      <c r="A72" s="41" t="s">
        <v>28</v>
      </c>
      <c r="B72" s="50">
        <f>+'[2]Exh A - Expenditure Forecast'!V25</f>
        <v>7358685.3433333328</v>
      </c>
      <c r="C72" s="50"/>
      <c r="D72" s="50">
        <v>-5006439.1474189302</v>
      </c>
      <c r="E72" s="50">
        <f t="shared" si="10"/>
        <v>-6805</v>
      </c>
      <c r="F72" s="42">
        <f t="shared" si="11"/>
        <v>282655.64063206874</v>
      </c>
      <c r="G72" s="42">
        <f>SUM(C61:C72)+$C$7+$C$9+$C$11+F72+$C$29+$C$15+$C$13+$C$59+$C$45+$C$31</f>
        <v>5896788.7506320681</v>
      </c>
      <c r="H72" s="47">
        <v>9.2100000000000001E-2</v>
      </c>
      <c r="I72" s="47">
        <v>7.7600000000000002E-2</v>
      </c>
      <c r="J72" s="42">
        <f>+J71+E72</f>
        <v>-832452</v>
      </c>
    </row>
    <row r="73" spans="1:10" x14ac:dyDescent="0.2">
      <c r="A73" s="24" t="s">
        <v>33</v>
      </c>
      <c r="B73" s="25">
        <f>SUM(B61:B72)</f>
        <v>64937044.999999993</v>
      </c>
      <c r="C73" s="25">
        <f>SUM(C61:C72)</f>
        <v>0</v>
      </c>
      <c r="D73" s="25">
        <f>SUM(D61:D72)</f>
        <v>-41767552.940360002</v>
      </c>
      <c r="E73" s="32">
        <f>SUM(E61:E72)</f>
        <v>-476975</v>
      </c>
      <c r="F73" s="33"/>
      <c r="G73" s="33"/>
      <c r="H73" s="36"/>
      <c r="I73" s="34"/>
      <c r="J73" s="28"/>
    </row>
    <row r="74" spans="1:10" x14ac:dyDescent="0.2">
      <c r="A74" s="24"/>
      <c r="B74" s="29"/>
      <c r="C74" s="29"/>
      <c r="D74" s="29"/>
      <c r="E74" s="35"/>
      <c r="F74" s="33"/>
      <c r="G74" s="33"/>
      <c r="H74" s="36"/>
      <c r="I74" s="34"/>
      <c r="J74" s="28"/>
    </row>
    <row r="75" spans="1:10" x14ac:dyDescent="0.2">
      <c r="A75" s="41" t="s">
        <v>34</v>
      </c>
      <c r="B75" s="37"/>
      <c r="C75" s="29">
        <f>+C15+C13+C11+C9+C7+C29+C31+C45+C59+C73</f>
        <v>5614133.1099999994</v>
      </c>
      <c r="D75" s="37"/>
      <c r="E75" s="38"/>
      <c r="F75" s="38"/>
      <c r="G75" s="51"/>
      <c r="H75" s="39"/>
      <c r="I75" s="39"/>
      <c r="J75" s="38"/>
    </row>
    <row r="76" spans="1:10" x14ac:dyDescent="0.2">
      <c r="A76" s="41"/>
      <c r="B76" s="37"/>
      <c r="C76" s="29"/>
      <c r="D76" s="37"/>
      <c r="E76" s="38"/>
      <c r="F76" s="38"/>
      <c r="G76" s="51"/>
      <c r="H76" s="39"/>
      <c r="I76" s="39"/>
      <c r="J76" s="38"/>
    </row>
    <row r="77" spans="1:10" x14ac:dyDescent="0.2">
      <c r="B77" s="37"/>
      <c r="C77" s="52"/>
      <c r="D77" s="37"/>
      <c r="E77" s="38"/>
      <c r="F77" s="38"/>
      <c r="G77" s="51"/>
      <c r="H77" s="39"/>
      <c r="I77" s="39"/>
      <c r="J77" s="38"/>
    </row>
    <row r="78" spans="1:10" s="39" customFormat="1" x14ac:dyDescent="0.2">
      <c r="A78" s="53" t="s">
        <v>35</v>
      </c>
      <c r="B78" s="38"/>
      <c r="C78" s="38"/>
      <c r="D78" s="38"/>
      <c r="E78" s="38"/>
      <c r="F78" s="38"/>
      <c r="G78" s="51">
        <f>+G57</f>
        <v>-17904203.106000017</v>
      </c>
      <c r="J78" s="38"/>
    </row>
    <row r="79" spans="1:10" s="39" customFormat="1" ht="8.25" customHeight="1" x14ac:dyDescent="0.2">
      <c r="A79" s="54"/>
      <c r="B79" s="38"/>
      <c r="C79" s="38"/>
      <c r="D79" s="38"/>
      <c r="E79" s="38"/>
      <c r="F79" s="38"/>
      <c r="G79" s="51"/>
      <c r="J79" s="38"/>
    </row>
    <row r="80" spans="1:10" x14ac:dyDescent="0.2">
      <c r="A80" s="53" t="s">
        <v>36</v>
      </c>
      <c r="B80" s="38"/>
      <c r="C80" s="38"/>
      <c r="D80" s="37"/>
      <c r="E80" s="37"/>
      <c r="F80" s="37"/>
      <c r="G80" s="51">
        <f>+SUM(B58)+SUM(B61:B72)</f>
        <v>71258959.469999999</v>
      </c>
      <c r="J80" s="37"/>
    </row>
    <row r="81" spans="1:7" x14ac:dyDescent="0.2">
      <c r="A81" s="53" t="s">
        <v>37</v>
      </c>
      <c r="B81" s="38"/>
      <c r="C81" s="38"/>
      <c r="D81" s="37"/>
      <c r="E81" s="37"/>
      <c r="F81" s="37"/>
      <c r="G81" s="51">
        <f>+SUM(E58)+SUM(E61:E72)</f>
        <v>-652551</v>
      </c>
    </row>
    <row r="82" spans="1:7" x14ac:dyDescent="0.2">
      <c r="A82" s="53" t="s">
        <v>38</v>
      </c>
      <c r="B82" s="38"/>
      <c r="C82" s="38"/>
      <c r="D82" s="37"/>
      <c r="E82" s="37"/>
      <c r="F82" s="37"/>
      <c r="G82" s="55">
        <f>SUM(G80:G81)</f>
        <v>70606408.469999999</v>
      </c>
    </row>
    <row r="83" spans="1:7" ht="9" customHeight="1" x14ac:dyDescent="0.2">
      <c r="A83" s="54"/>
      <c r="B83" s="38"/>
      <c r="C83" s="38"/>
      <c r="D83" s="37"/>
      <c r="E83" s="37"/>
      <c r="F83" s="37"/>
      <c r="G83" s="51"/>
    </row>
    <row r="84" spans="1:7" x14ac:dyDescent="0.2">
      <c r="A84" s="53" t="s">
        <v>39</v>
      </c>
      <c r="B84" s="38"/>
      <c r="C84" s="38"/>
      <c r="D84" s="37"/>
      <c r="E84" s="37"/>
      <c r="F84" s="37"/>
      <c r="G84" s="51">
        <f>SUM(D58)+SUM(D61:D72)</f>
        <v>-46805416.6133679</v>
      </c>
    </row>
    <row r="85" spans="1:7" ht="9" customHeight="1" x14ac:dyDescent="0.2">
      <c r="A85" s="56"/>
      <c r="B85" s="38"/>
      <c r="C85" s="38"/>
      <c r="D85" s="37"/>
      <c r="E85" s="37"/>
      <c r="F85" s="37"/>
      <c r="G85" s="51"/>
    </row>
    <row r="86" spans="1:7" s="39" customFormat="1" ht="15" thickBot="1" x14ac:dyDescent="0.25">
      <c r="A86" s="53" t="s">
        <v>40</v>
      </c>
      <c r="B86" s="38"/>
      <c r="C86" s="38"/>
      <c r="D86" s="38"/>
      <c r="E86" s="38"/>
      <c r="F86" s="38"/>
      <c r="G86" s="57">
        <f>+G78+G82+G84</f>
        <v>5896788.7506320775</v>
      </c>
    </row>
    <row r="87" spans="1:7" ht="15" thickTop="1" x14ac:dyDescent="0.2">
      <c r="A87" s="54"/>
      <c r="B87" s="37"/>
      <c r="C87" s="37"/>
      <c r="D87" s="37"/>
      <c r="E87" s="37"/>
      <c r="F87" s="37"/>
      <c r="G87" s="58"/>
    </row>
    <row r="88" spans="1:7" x14ac:dyDescent="0.2">
      <c r="A88" s="59" t="s">
        <v>41</v>
      </c>
      <c r="B88" s="37"/>
      <c r="C88" s="37"/>
      <c r="D88" s="37"/>
      <c r="E88" s="37"/>
      <c r="F88" s="37"/>
      <c r="G88" s="58"/>
    </row>
    <row r="89" spans="1:7" x14ac:dyDescent="0.2">
      <c r="A89" s="60" t="s">
        <v>42</v>
      </c>
      <c r="B89" s="38"/>
      <c r="C89" s="38"/>
      <c r="D89" s="38"/>
      <c r="E89" s="38"/>
      <c r="F89" s="37"/>
      <c r="G89" s="58"/>
    </row>
    <row r="90" spans="1:7" ht="14.25" customHeight="1" x14ac:dyDescent="0.2">
      <c r="A90" s="60" t="s">
        <v>43</v>
      </c>
      <c r="B90" s="38"/>
      <c r="C90" s="38"/>
      <c r="D90" s="38"/>
      <c r="E90" s="38"/>
      <c r="F90" s="38"/>
      <c r="G90" s="58"/>
    </row>
    <row r="91" spans="1:7" x14ac:dyDescent="0.2">
      <c r="A91" s="60"/>
      <c r="G91" s="61"/>
    </row>
    <row r="92" spans="1:7" x14ac:dyDescent="0.2">
      <c r="G92" s="61"/>
    </row>
    <row r="93" spans="1:7" x14ac:dyDescent="0.2">
      <c r="G93" s="61"/>
    </row>
    <row r="94" spans="1:7" x14ac:dyDescent="0.2">
      <c r="G94" s="61"/>
    </row>
    <row r="95" spans="1:7" x14ac:dyDescent="0.2">
      <c r="G95" s="61"/>
    </row>
  </sheetData>
  <mergeCells count="1">
    <mergeCell ref="A3:J3"/>
  </mergeCells>
  <pageMargins left="0.7" right="0.7" top="0.75" bottom="0.75" header="0.3" footer="0.3"/>
  <pageSetup scale="64" orientation="portrait" r:id="rId1"/>
  <ignoredErrors>
    <ignoredError sqref="D11:J72 C11:C72 B9:C10 B73:C75 B11:B72 D73:E7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 C - Bal Acct with Refund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2019-12-23T19:16:47Z</dcterms:created>
  <dcterms:modified xsi:type="dcterms:W3CDTF">2019-12-30T19:11:57Z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