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90" windowHeight="7095" tabRatio="798"/>
  </bookViews>
  <sheets>
    <sheet name="CBA" sheetId="4" r:id="rId1"/>
    <sheet name="Financial Analysis" sheetId="2" r:id="rId2"/>
    <sheet name="Annual Cost Savings" sheetId="1" r:id="rId3"/>
    <sheet name="FTE Reductions" sheetId="3" r:id="rId4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W3" i="4" l="1"/>
  <c r="F4" i="1" l="1"/>
  <c r="H17" i="3"/>
  <c r="D33" i="1"/>
  <c r="D5" i="1"/>
  <c r="D6" i="1"/>
  <c r="D7" i="1"/>
  <c r="D8" i="1"/>
  <c r="D9" i="1"/>
  <c r="D10" i="1"/>
  <c r="D15" i="1"/>
  <c r="D16" i="1"/>
  <c r="D17" i="1"/>
  <c r="D18" i="1"/>
  <c r="D19" i="1"/>
  <c r="D24" i="1"/>
  <c r="D25" i="1"/>
  <c r="D26" i="1"/>
  <c r="D27" i="1"/>
  <c r="D28" i="1"/>
  <c r="D29" i="1"/>
  <c r="D30" i="1"/>
  <c r="D4" i="1"/>
  <c r="E23" i="2"/>
  <c r="F23" i="2"/>
  <c r="D23" i="2"/>
  <c r="G23" i="2" s="1"/>
  <c r="M4" i="4"/>
  <c r="N4" i="4"/>
  <c r="O4" i="4"/>
  <c r="P4" i="4"/>
  <c r="Q4" i="4"/>
  <c r="R4" i="4"/>
  <c r="S4" i="4"/>
  <c r="T4" i="4"/>
  <c r="U4" i="4"/>
  <c r="B2" i="4"/>
  <c r="W2" i="4" s="1"/>
  <c r="W6" i="4" s="1"/>
  <c r="C4" i="4"/>
  <c r="D4" i="4"/>
  <c r="E4" i="4"/>
  <c r="F4" i="4"/>
  <c r="G4" i="4"/>
  <c r="H4" i="4"/>
  <c r="I4" i="4"/>
  <c r="J4" i="4"/>
  <c r="K4" i="4"/>
  <c r="L4" i="4"/>
  <c r="E1" i="4"/>
  <c r="F1" i="4" s="1"/>
  <c r="G1" i="4" s="1"/>
  <c r="H1" i="4" s="1"/>
  <c r="I1" i="4" s="1"/>
  <c r="J1" i="4" s="1"/>
  <c r="K1" i="4" s="1"/>
  <c r="L1" i="4" s="1"/>
  <c r="M1" i="4" s="1"/>
  <c r="N1" i="4" s="1"/>
  <c r="O1" i="4" s="1"/>
  <c r="P1" i="4" s="1"/>
  <c r="Q1" i="4" s="1"/>
  <c r="R1" i="4" s="1"/>
  <c r="S1" i="4" s="1"/>
  <c r="T1" i="4" s="1"/>
  <c r="U1" i="4" s="1"/>
  <c r="D1" i="4"/>
  <c r="B4" i="4" l="1"/>
  <c r="B8" i="4" s="1"/>
  <c r="H6" i="3"/>
  <c r="H5" i="3"/>
  <c r="D6" i="3"/>
  <c r="D5" i="3"/>
  <c r="E7" i="3"/>
  <c r="F7" i="3"/>
  <c r="G7" i="3"/>
  <c r="C7" i="3"/>
  <c r="H11" i="3"/>
  <c r="C17" i="3" s="1"/>
  <c r="D7" i="3" l="1"/>
  <c r="H7" i="3" s="1"/>
  <c r="H12" i="3" l="1"/>
  <c r="C18" i="3" s="1"/>
  <c r="C16" i="3"/>
  <c r="C21" i="2"/>
  <c r="G21" i="2" s="1"/>
  <c r="G20" i="2"/>
  <c r="G19" i="2"/>
  <c r="C31" i="1" l="1"/>
  <c r="C11" i="1"/>
  <c r="C33" i="1" s="1"/>
</calcChain>
</file>

<file path=xl/sharedStrings.xml><?xml version="1.0" encoding="utf-8"?>
<sst xmlns="http://schemas.openxmlformats.org/spreadsheetml/2006/main" count="91" uniqueCount="79">
  <si>
    <t xml:space="preserve">O&amp;M Savings </t>
  </si>
  <si>
    <t xml:space="preserve">Annual Benefits </t>
  </si>
  <si>
    <t>(starting in 2023)</t>
  </si>
  <si>
    <t xml:space="preserve">Eliminate Meter Reading Operating Costs </t>
  </si>
  <si>
    <t xml:space="preserve">Eliminate Field Collection Operating Costs </t>
  </si>
  <si>
    <t xml:space="preserve">Eliminate Field Quality Specialist Operating Costs </t>
  </si>
  <si>
    <t>Billing Suspends Reduction</t>
  </si>
  <si>
    <t>O&amp;M Savings</t>
  </si>
  <si>
    <t>Annual Benefits</t>
  </si>
  <si>
    <t xml:space="preserve">Additional Revenue </t>
  </si>
  <si>
    <t>Theft Reduction</t>
  </si>
  <si>
    <t>Revenue from Added Meters with VARs</t>
  </si>
  <si>
    <t>Revenue from Added Meters with Demand</t>
  </si>
  <si>
    <t>Revenue Recovery on Unaccounted for Energy</t>
  </si>
  <si>
    <t>Reduction in Write-offs</t>
  </si>
  <si>
    <t>Additional Revenue</t>
  </si>
  <si>
    <t>Capital Cost Savings</t>
  </si>
  <si>
    <t>Avoided Meter Purchases</t>
  </si>
  <si>
    <t>Avoided Net Metering Purchases</t>
  </si>
  <si>
    <t>IT Equipment Replacement Costs</t>
  </si>
  <si>
    <t>Avoided Load Study Costs</t>
  </si>
  <si>
    <t>Avoided Handheld Replacement Costs</t>
  </si>
  <si>
    <t>Total Annual Net Benefits</t>
  </si>
  <si>
    <t xml:space="preserve">New AMI Operating Costs </t>
  </si>
  <si>
    <t>Improved Outage Detection Performance</t>
  </si>
  <si>
    <t>Avoided Outage Management Costs</t>
  </si>
  <si>
    <t>Avoided Demand Response Costs</t>
  </si>
  <si>
    <t>GENX RIVA</t>
  </si>
  <si>
    <t>Option</t>
  </si>
  <si>
    <t>Capital</t>
  </si>
  <si>
    <t>O&amp;M</t>
  </si>
  <si>
    <t>AMI Meter Count</t>
  </si>
  <si>
    <t>Net FTE Reductions</t>
  </si>
  <si>
    <t>Annual Net Benefits (2023)</t>
  </si>
  <si>
    <t>O&amp;M Net (2023)</t>
  </si>
  <si>
    <t>IRR</t>
  </si>
  <si>
    <t>NPV</t>
  </si>
  <si>
    <t>Revenue Requirement</t>
  </si>
  <si>
    <t>Payback in Years</t>
  </si>
  <si>
    <t>16.1 Years</t>
  </si>
  <si>
    <t xml:space="preserve">2017-2019 </t>
  </si>
  <si>
    <t>Total</t>
  </si>
  <si>
    <t xml:space="preserve">Utah AMI </t>
  </si>
  <si>
    <t>OMAG</t>
  </si>
  <si>
    <t>Utah AMI Project Costs by Year</t>
  </si>
  <si>
    <t>Meter Readers</t>
  </si>
  <si>
    <t>Collectors</t>
  </si>
  <si>
    <t>Meter Managers</t>
  </si>
  <si>
    <t>Clerks</t>
  </si>
  <si>
    <t>MTRMN</t>
  </si>
  <si>
    <t>Beginning Metering FTEs</t>
  </si>
  <si>
    <t xml:space="preserve">Ending Metering FTEs      </t>
  </si>
  <si>
    <t>FTE Reduction</t>
  </si>
  <si>
    <t>Field Network</t>
  </si>
  <si>
    <t>IT</t>
  </si>
  <si>
    <t>MBSS</t>
  </si>
  <si>
    <t>Grand Total</t>
  </si>
  <si>
    <t xml:space="preserve">Added FTEs      </t>
  </si>
  <si>
    <t>Net FTE Reduction</t>
  </si>
  <si>
    <t>Utah</t>
  </si>
  <si>
    <t>Totals</t>
  </si>
  <si>
    <t>Field FTE Reductions</t>
  </si>
  <si>
    <t>Office Added FTEs</t>
  </si>
  <si>
    <t>Avoided Future Hires:</t>
  </si>
  <si>
    <t>Engineer</t>
  </si>
  <si>
    <t xml:space="preserve">Meter Readers to probe private generation sites </t>
  </si>
  <si>
    <t xml:space="preserve">MARTA Analyst needed to setup and validate new private generation sites </t>
  </si>
  <si>
    <t>PVRR(d)</t>
  </si>
  <si>
    <t xml:space="preserve">Avoided Net Metering Operating Costs </t>
  </si>
  <si>
    <t>Costs</t>
  </si>
  <si>
    <t>Benefits</t>
  </si>
  <si>
    <t>Unaccounted for $$</t>
  </si>
  <si>
    <t>assumed employee cost</t>
  </si>
  <si>
    <t>$/yr</t>
  </si>
  <si>
    <t>total savings</t>
  </si>
  <si>
    <t>saved labor costs</t>
  </si>
  <si>
    <t>Net Benefits</t>
  </si>
  <si>
    <t>Interest Rate</t>
  </si>
  <si>
    <t>CB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</si>
</sst>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FFFF"/>
      <name val="Arial"/>
      <family val="2"/>
    </font>
    <font>
      <i/>
      <sz val="9"/>
      <color rgb="FFFFFFF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b/>
      <u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ill="1" applyBorder="1"/>
    <xf numFmtId="0" fontId="5" fillId="0" borderId="1" xfId="0" applyFont="1" applyBorder="1" applyAlignment="1">
      <alignment vertical="center"/>
    </xf>
    <xf numFmtId="6" fontId="5" fillId="0" borderId="2" xfId="0" applyNumberFormat="1" applyFont="1" applyBorder="1" applyAlignment="1">
      <alignment horizontal="right" vertical="center"/>
    </xf>
    <xf numFmtId="6" fontId="6" fillId="0" borderId="2" xfId="0" applyNumberFormat="1" applyFont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6" fontId="7" fillId="3" borderId="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2" fillId="0" borderId="0" xfId="0" applyFont="1" applyFill="1" applyBorder="1"/>
    <xf numFmtId="0" fontId="9" fillId="0" borderId="0" xfId="0" applyFont="1" applyFill="1" applyBorder="1" applyAlignment="1"/>
    <xf numFmtId="0" fontId="9" fillId="5" borderId="13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3" xfId="0" applyFont="1" applyFill="1" applyBorder="1"/>
    <xf numFmtId="164" fontId="10" fillId="4" borderId="14" xfId="2" applyNumberFormat="1" applyFont="1" applyFill="1" applyBorder="1"/>
    <xf numFmtId="164" fontId="10" fillId="4" borderId="15" xfId="2" applyNumberFormat="1" applyFont="1" applyFill="1" applyBorder="1"/>
    <xf numFmtId="164" fontId="10" fillId="0" borderId="0" xfId="2" applyNumberFormat="1" applyFont="1" applyFill="1" applyBorder="1"/>
    <xf numFmtId="165" fontId="10" fillId="4" borderId="15" xfId="1" applyNumberFormat="1" applyFont="1" applyFill="1" applyBorder="1"/>
    <xf numFmtId="165" fontId="10" fillId="0" borderId="0" xfId="1" applyNumberFormat="1" applyFont="1" applyFill="1" applyBorder="1"/>
    <xf numFmtId="166" fontId="10" fillId="4" borderId="15" xfId="1" applyNumberFormat="1" applyFont="1" applyFill="1" applyBorder="1"/>
    <xf numFmtId="166" fontId="10" fillId="0" borderId="0" xfId="1" applyNumberFormat="1" applyFont="1" applyFill="1" applyBorder="1"/>
    <xf numFmtId="10" fontId="10" fillId="4" borderId="15" xfId="3" applyNumberFormat="1" applyFont="1" applyFill="1" applyBorder="1"/>
    <xf numFmtId="10" fontId="10" fillId="0" borderId="0" xfId="3" applyNumberFormat="1" applyFont="1" applyFill="1" applyBorder="1"/>
    <xf numFmtId="0" fontId="6" fillId="0" borderId="16" xfId="0" applyFont="1" applyFill="1" applyBorder="1"/>
    <xf numFmtId="0" fontId="10" fillId="4" borderId="18" xfId="0" applyFont="1" applyFill="1" applyBorder="1"/>
    <xf numFmtId="0" fontId="10" fillId="0" borderId="0" xfId="0" applyFont="1" applyFill="1" applyBorder="1"/>
    <xf numFmtId="164" fontId="11" fillId="4" borderId="15" xfId="2" applyNumberFormat="1" applyFont="1" applyFill="1" applyBorder="1"/>
    <xf numFmtId="0" fontId="12" fillId="0" borderId="0" xfId="0" applyFont="1" applyFill="1" applyBorder="1"/>
    <xf numFmtId="164" fontId="10" fillId="4" borderId="17" xfId="2" applyNumberFormat="1" applyFont="1" applyFill="1" applyBorder="1"/>
    <xf numFmtId="164" fontId="11" fillId="4" borderId="18" xfId="2" applyNumberFormat="1" applyFont="1" applyFill="1" applyBorder="1"/>
    <xf numFmtId="0" fontId="13" fillId="0" borderId="0" xfId="0" applyFont="1"/>
    <xf numFmtId="0" fontId="10" fillId="0" borderId="19" xfId="0" applyFont="1" applyBorder="1" applyAlignment="1"/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0" fillId="0" borderId="22" xfId="0" applyFont="1" applyBorder="1"/>
    <xf numFmtId="167" fontId="6" fillId="0" borderId="0" xfId="0" applyNumberFormat="1" applyFont="1" applyBorder="1" applyAlignment="1">
      <alignment horizontal="center"/>
    </xf>
    <xf numFmtId="167" fontId="6" fillId="0" borderId="23" xfId="0" applyNumberFormat="1" applyFont="1" applyBorder="1" applyAlignment="1">
      <alignment horizontal="center"/>
    </xf>
    <xf numFmtId="167" fontId="6" fillId="0" borderId="24" xfId="0" applyNumberFormat="1" applyFont="1" applyBorder="1" applyAlignment="1">
      <alignment horizontal="center"/>
    </xf>
    <xf numFmtId="167" fontId="6" fillId="0" borderId="25" xfId="0" applyNumberFormat="1" applyFont="1" applyBorder="1" applyAlignment="1">
      <alignment horizontal="center"/>
    </xf>
    <xf numFmtId="0" fontId="0" fillId="0" borderId="0" xfId="0" applyBorder="1" applyAlignment="1"/>
    <xf numFmtId="167" fontId="0" fillId="0" borderId="0" xfId="0" applyNumberFormat="1" applyBorder="1" applyAlignment="1">
      <alignment horizontal="center"/>
    </xf>
    <xf numFmtId="0" fontId="0" fillId="0" borderId="19" xfId="0" applyBorder="1" applyAlignment="1"/>
    <xf numFmtId="0" fontId="14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167" fontId="6" fillId="0" borderId="0" xfId="0" applyNumberFormat="1" applyFont="1" applyBorder="1" applyAlignment="1">
      <alignment horizontal="center" vertical="center"/>
    </xf>
    <xf numFmtId="167" fontId="11" fillId="0" borderId="23" xfId="0" applyNumberFormat="1" applyFont="1" applyBorder="1" applyAlignment="1">
      <alignment horizontal="center" vertical="center"/>
    </xf>
    <xf numFmtId="167" fontId="6" fillId="0" borderId="24" xfId="0" applyNumberFormat="1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center" vertical="center"/>
    </xf>
    <xf numFmtId="0" fontId="0" fillId="6" borderId="26" xfId="0" applyFill="1" applyBorder="1" applyAlignment="1"/>
    <xf numFmtId="167" fontId="11" fillId="6" borderId="25" xfId="0" applyNumberFormat="1" applyFont="1" applyFill="1" applyBorder="1" applyAlignment="1">
      <alignment horizontal="center" vertical="center"/>
    </xf>
    <xf numFmtId="167" fontId="6" fillId="6" borderId="24" xfId="0" applyNumberFormat="1" applyFont="1" applyFill="1" applyBorder="1" applyAlignment="1">
      <alignment horizontal="center" vertical="center"/>
    </xf>
    <xf numFmtId="167" fontId="6" fillId="6" borderId="24" xfId="0" applyNumberFormat="1" applyFont="1" applyFill="1" applyBorder="1" applyAlignment="1">
      <alignment horizontal="center"/>
    </xf>
    <xf numFmtId="0" fontId="16" fillId="5" borderId="0" xfId="0" applyFont="1" applyFill="1"/>
    <xf numFmtId="0" fontId="0" fillId="5" borderId="0" xfId="0" applyFill="1"/>
    <xf numFmtId="167" fontId="0" fillId="5" borderId="0" xfId="0" applyNumberFormat="1" applyFill="1"/>
    <xf numFmtId="0" fontId="9" fillId="0" borderId="0" xfId="0" applyFont="1"/>
    <xf numFmtId="0" fontId="6" fillId="0" borderId="0" xfId="0" applyFont="1"/>
    <xf numFmtId="0" fontId="0" fillId="0" borderId="26" xfId="0" applyFill="1" applyBorder="1" applyAlignment="1"/>
    <xf numFmtId="167" fontId="6" fillId="0" borderId="24" xfId="0" applyNumberFormat="1" applyFont="1" applyFill="1" applyBorder="1" applyAlignment="1">
      <alignment horizontal="center"/>
    </xf>
    <xf numFmtId="8" fontId="0" fillId="0" borderId="0" xfId="0" applyNumberFormat="1"/>
    <xf numFmtId="9" fontId="0" fillId="0" borderId="0" xfId="3" applyFont="1"/>
    <xf numFmtId="164" fontId="0" fillId="0" borderId="0" xfId="0" applyNumberFormat="1"/>
    <xf numFmtId="0" fontId="0" fillId="6" borderId="0" xfId="0" applyFill="1" applyBorder="1"/>
    <xf numFmtId="43" fontId="0" fillId="0" borderId="0" xfId="1" applyFont="1"/>
    <xf numFmtId="0" fontId="0" fillId="0" borderId="0" xfId="0" applyAlignment="1">
      <alignment horizontal="right"/>
    </xf>
    <xf numFmtId="43" fontId="0" fillId="0" borderId="0" xfId="0" applyNumberFormat="1"/>
    <xf numFmtId="6" fontId="0" fillId="7" borderId="0" xfId="0" applyNumberFormat="1" applyFill="1" applyBorder="1"/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zoomScale="70" zoomScaleNormal="70" workbookViewId="0">
      <selection activeCell="B7" sqref="B7"/>
    </sheetView>
  </sheetViews>
  <sheetFormatPr defaultRowHeight="15" x14ac:dyDescent="0.25"/>
  <cols>
    <col min="1" max="1" width="12.85546875" bestFit="1" customWidth="1"/>
  </cols>
  <sheetData>
    <row r="1" spans="1:23" x14ac:dyDescent="0.25">
      <c r="B1">
        <v>2021</v>
      </c>
      <c r="C1">
        <v>2022</v>
      </c>
      <c r="D1">
        <f>C1+1</f>
        <v>2023</v>
      </c>
      <c r="E1">
        <f t="shared" ref="E1:U1" si="0">D1+1</f>
        <v>2024</v>
      </c>
      <c r="F1">
        <f t="shared" si="0"/>
        <v>2025</v>
      </c>
      <c r="G1">
        <f t="shared" si="0"/>
        <v>2026</v>
      </c>
      <c r="H1">
        <f t="shared" si="0"/>
        <v>2027</v>
      </c>
      <c r="I1">
        <f t="shared" si="0"/>
        <v>2028</v>
      </c>
      <c r="J1">
        <f t="shared" si="0"/>
        <v>2029</v>
      </c>
      <c r="K1">
        <f t="shared" si="0"/>
        <v>2030</v>
      </c>
      <c r="L1">
        <f t="shared" si="0"/>
        <v>2031</v>
      </c>
      <c r="M1">
        <f t="shared" si="0"/>
        <v>2032</v>
      </c>
      <c r="N1">
        <f t="shared" si="0"/>
        <v>2033</v>
      </c>
      <c r="O1">
        <f t="shared" si="0"/>
        <v>2034</v>
      </c>
      <c r="P1">
        <f t="shared" si="0"/>
        <v>2035</v>
      </c>
      <c r="Q1">
        <f t="shared" si="0"/>
        <v>2036</v>
      </c>
      <c r="R1">
        <f t="shared" si="0"/>
        <v>2037</v>
      </c>
      <c r="S1">
        <f t="shared" si="0"/>
        <v>2038</v>
      </c>
      <c r="T1">
        <f t="shared" si="0"/>
        <v>2039</v>
      </c>
      <c r="U1">
        <f t="shared" si="0"/>
        <v>2040</v>
      </c>
    </row>
    <row r="2" spans="1:23" x14ac:dyDescent="0.25">
      <c r="A2" t="s">
        <v>69</v>
      </c>
      <c r="B2">
        <f>77.9+4.3</f>
        <v>82.2</v>
      </c>
      <c r="C2">
        <v>2.8</v>
      </c>
      <c r="D2">
        <v>2.8</v>
      </c>
      <c r="E2">
        <v>2.8</v>
      </c>
      <c r="F2">
        <v>2.8</v>
      </c>
      <c r="G2">
        <v>2.8</v>
      </c>
      <c r="H2">
        <v>2.8</v>
      </c>
      <c r="I2">
        <v>2.8</v>
      </c>
      <c r="J2">
        <v>2.8</v>
      </c>
      <c r="K2">
        <v>2.8</v>
      </c>
      <c r="L2">
        <v>2.8</v>
      </c>
      <c r="M2">
        <v>2.8</v>
      </c>
      <c r="N2">
        <v>2.8</v>
      </c>
      <c r="O2">
        <v>2.8</v>
      </c>
      <c r="P2">
        <v>2.8</v>
      </c>
      <c r="Q2">
        <v>2.8</v>
      </c>
      <c r="R2">
        <v>2.8</v>
      </c>
      <c r="S2">
        <v>2.8</v>
      </c>
      <c r="T2">
        <v>2.8</v>
      </c>
      <c r="U2">
        <v>2.8</v>
      </c>
      <c r="W2" s="63">
        <f>NPV(B6,B2:U2)</f>
        <v>103.86884736408078</v>
      </c>
    </row>
    <row r="3" spans="1:23" x14ac:dyDescent="0.25">
      <c r="A3" t="s">
        <v>70</v>
      </c>
      <c r="C3">
        <v>7.8</v>
      </c>
      <c r="D3">
        <v>7.8</v>
      </c>
      <c r="E3">
        <v>7.8</v>
      </c>
      <c r="F3">
        <v>7.8</v>
      </c>
      <c r="G3">
        <v>7.8</v>
      </c>
      <c r="H3">
        <v>7.8</v>
      </c>
      <c r="I3">
        <v>7.8</v>
      </c>
      <c r="J3">
        <v>7.8</v>
      </c>
      <c r="K3">
        <v>7.8</v>
      </c>
      <c r="L3">
        <v>7.8</v>
      </c>
      <c r="M3">
        <v>7.8</v>
      </c>
      <c r="N3">
        <v>7.8</v>
      </c>
      <c r="O3">
        <v>7.8</v>
      </c>
      <c r="P3">
        <v>7.8</v>
      </c>
      <c r="Q3">
        <v>7.8</v>
      </c>
      <c r="R3">
        <v>7.8</v>
      </c>
      <c r="S3">
        <v>7.8</v>
      </c>
      <c r="T3">
        <v>7.8</v>
      </c>
      <c r="U3">
        <v>7.8</v>
      </c>
      <c r="W3" s="63">
        <f>NPV(B6,B3:U3)</f>
        <v>80.617642893077843</v>
      </c>
    </row>
    <row r="4" spans="1:23" x14ac:dyDescent="0.25">
      <c r="A4" t="s">
        <v>76</v>
      </c>
      <c r="B4">
        <f>B3-B2</f>
        <v>-82.2</v>
      </c>
      <c r="C4">
        <f t="shared" ref="C4:L4" si="1">C3-C2</f>
        <v>5</v>
      </c>
      <c r="D4">
        <f t="shared" si="1"/>
        <v>5</v>
      </c>
      <c r="E4">
        <f t="shared" si="1"/>
        <v>5</v>
      </c>
      <c r="F4">
        <f t="shared" si="1"/>
        <v>5</v>
      </c>
      <c r="G4">
        <f t="shared" si="1"/>
        <v>5</v>
      </c>
      <c r="H4">
        <f t="shared" si="1"/>
        <v>5</v>
      </c>
      <c r="I4">
        <f t="shared" si="1"/>
        <v>5</v>
      </c>
      <c r="J4">
        <f t="shared" si="1"/>
        <v>5</v>
      </c>
      <c r="K4">
        <f t="shared" si="1"/>
        <v>5</v>
      </c>
      <c r="L4">
        <f t="shared" si="1"/>
        <v>5</v>
      </c>
      <c r="M4">
        <f t="shared" ref="M4" si="2">M3-M2</f>
        <v>5</v>
      </c>
      <c r="N4">
        <f t="shared" ref="N4" si="3">N3-N2</f>
        <v>5</v>
      </c>
      <c r="O4">
        <f t="shared" ref="O4" si="4">O3-O2</f>
        <v>5</v>
      </c>
      <c r="P4">
        <f t="shared" ref="P4" si="5">P3-P2</f>
        <v>5</v>
      </c>
      <c r="Q4">
        <f t="shared" ref="Q4" si="6">Q3-Q2</f>
        <v>5</v>
      </c>
      <c r="R4">
        <f t="shared" ref="R4" si="7">R3-R2</f>
        <v>5</v>
      </c>
      <c r="S4">
        <f t="shared" ref="S4" si="8">S3-S2</f>
        <v>5</v>
      </c>
      <c r="T4">
        <f t="shared" ref="T4" si="9">T3-T2</f>
        <v>5</v>
      </c>
      <c r="U4">
        <f t="shared" ref="U4" si="10">U3-U2</f>
        <v>5</v>
      </c>
    </row>
    <row r="6" spans="1:23" x14ac:dyDescent="0.25">
      <c r="A6" t="s">
        <v>77</v>
      </c>
      <c r="B6" s="64">
        <v>7.0000000000000007E-2</v>
      </c>
      <c r="V6" t="s">
        <v>78</v>
      </c>
      <c r="W6">
        <f>W3/W2</f>
        <v>0.77614843082350882</v>
      </c>
    </row>
    <row r="8" spans="1:23" x14ac:dyDescent="0.25">
      <c r="A8" t="s">
        <v>36</v>
      </c>
      <c r="B8" s="63">
        <f>NPV(B6,B4:U4)</f>
        <v>-28.525255875222943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workbookViewId="0">
      <selection activeCell="B25" sqref="B25"/>
    </sheetView>
  </sheetViews>
  <sheetFormatPr defaultRowHeight="15" x14ac:dyDescent="0.25"/>
  <cols>
    <col min="2" max="2" width="23.5703125" bestFit="1" customWidth="1"/>
    <col min="3" max="4" width="16.7109375" customWidth="1"/>
    <col min="5" max="6" width="12.28515625" bestFit="1" customWidth="1"/>
    <col min="7" max="7" width="13.42578125" bestFit="1" customWidth="1"/>
    <col min="8" max="9" width="12.28515625" bestFit="1" customWidth="1"/>
    <col min="10" max="10" width="13.42578125" bestFit="1" customWidth="1"/>
  </cols>
  <sheetData>
    <row r="1" spans="2:4" ht="15.75" thickBot="1" x14ac:dyDescent="0.3"/>
    <row r="2" spans="2:4" x14ac:dyDescent="0.25">
      <c r="B2" s="71" t="s">
        <v>42</v>
      </c>
      <c r="C2" s="72"/>
      <c r="D2" s="12"/>
    </row>
    <row r="3" spans="2:4" x14ac:dyDescent="0.25">
      <c r="B3" s="13" t="s">
        <v>28</v>
      </c>
      <c r="C3" s="15" t="s">
        <v>27</v>
      </c>
      <c r="D3" s="16"/>
    </row>
    <row r="4" spans="2:4" x14ac:dyDescent="0.25">
      <c r="B4" s="17" t="s">
        <v>29</v>
      </c>
      <c r="C4" s="19">
        <v>77900000</v>
      </c>
      <c r="D4" s="20"/>
    </row>
    <row r="5" spans="2:4" x14ac:dyDescent="0.25">
      <c r="B5" s="17" t="s">
        <v>30</v>
      </c>
      <c r="C5" s="19">
        <v>4300000</v>
      </c>
      <c r="D5" s="20"/>
    </row>
    <row r="6" spans="2:4" x14ac:dyDescent="0.25">
      <c r="B6" s="17" t="s">
        <v>31</v>
      </c>
      <c r="C6" s="21">
        <v>175000</v>
      </c>
      <c r="D6" s="22"/>
    </row>
    <row r="7" spans="2:4" x14ac:dyDescent="0.25">
      <c r="B7" s="17" t="s">
        <v>32</v>
      </c>
      <c r="C7" s="23">
        <v>11.5</v>
      </c>
      <c r="D7" s="24"/>
    </row>
    <row r="8" spans="2:4" x14ac:dyDescent="0.25">
      <c r="B8" s="17" t="s">
        <v>33</v>
      </c>
      <c r="C8" s="19">
        <v>5000000</v>
      </c>
      <c r="D8" s="20"/>
    </row>
    <row r="9" spans="2:4" x14ac:dyDescent="0.25">
      <c r="B9" s="17" t="s">
        <v>34</v>
      </c>
      <c r="C9" s="19">
        <v>-3800000</v>
      </c>
      <c r="D9" s="20"/>
    </row>
    <row r="10" spans="2:4" x14ac:dyDescent="0.25">
      <c r="B10" s="17" t="s">
        <v>35</v>
      </c>
      <c r="C10" s="25">
        <v>8.2000000000000003E-2</v>
      </c>
      <c r="D10" s="26"/>
    </row>
    <row r="11" spans="2:4" x14ac:dyDescent="0.25">
      <c r="B11" s="17" t="s">
        <v>36</v>
      </c>
      <c r="C11" s="19">
        <v>8900000</v>
      </c>
      <c r="D11" s="20"/>
    </row>
    <row r="12" spans="2:4" x14ac:dyDescent="0.25">
      <c r="B12" s="17" t="s">
        <v>67</v>
      </c>
      <c r="C12" s="19">
        <v>-16400000</v>
      </c>
      <c r="D12" s="20"/>
    </row>
    <row r="13" spans="2:4" x14ac:dyDescent="0.25">
      <c r="B13" s="17" t="s">
        <v>37</v>
      </c>
      <c r="C13" s="19">
        <v>-162500000</v>
      </c>
      <c r="D13" s="20"/>
    </row>
    <row r="14" spans="2:4" ht="15.75" thickBot="1" x14ac:dyDescent="0.3">
      <c r="B14" s="27" t="s">
        <v>38</v>
      </c>
      <c r="C14" s="28" t="s">
        <v>39</v>
      </c>
      <c r="D14" s="29"/>
    </row>
    <row r="16" spans="2:4" ht="15.75" thickBot="1" x14ac:dyDescent="0.3"/>
    <row r="17" spans="2:7" x14ac:dyDescent="0.25">
      <c r="B17" s="73" t="s">
        <v>44</v>
      </c>
      <c r="C17" s="74"/>
      <c r="D17" s="74"/>
      <c r="E17" s="74"/>
      <c r="F17" s="74"/>
      <c r="G17" s="75"/>
    </row>
    <row r="18" spans="2:7" x14ac:dyDescent="0.25">
      <c r="B18" s="13" t="s">
        <v>28</v>
      </c>
      <c r="C18" s="14" t="s">
        <v>40</v>
      </c>
      <c r="D18" s="14">
        <v>2020</v>
      </c>
      <c r="E18" s="14">
        <v>2021</v>
      </c>
      <c r="F18" s="14">
        <v>2022</v>
      </c>
      <c r="G18" s="15" t="s">
        <v>41</v>
      </c>
    </row>
    <row r="19" spans="2:7" x14ac:dyDescent="0.25">
      <c r="B19" s="17" t="s">
        <v>29</v>
      </c>
      <c r="C19" s="18">
        <v>17800000</v>
      </c>
      <c r="D19" s="18">
        <v>6300000</v>
      </c>
      <c r="E19" s="18">
        <v>26400000</v>
      </c>
      <c r="F19" s="18">
        <v>27400000</v>
      </c>
      <c r="G19" s="30">
        <f t="shared" ref="G19:G20" si="0">SUM(C19:F19)</f>
        <v>77900000</v>
      </c>
    </row>
    <row r="20" spans="2:7" x14ac:dyDescent="0.25">
      <c r="B20" s="17" t="s">
        <v>43</v>
      </c>
      <c r="C20" s="18">
        <v>400000</v>
      </c>
      <c r="D20" s="18">
        <v>750000</v>
      </c>
      <c r="E20" s="18">
        <v>1050000</v>
      </c>
      <c r="F20" s="18">
        <v>2100000</v>
      </c>
      <c r="G20" s="30">
        <f t="shared" si="0"/>
        <v>4300000</v>
      </c>
    </row>
    <row r="21" spans="2:7" ht="15.75" thickBot="1" x14ac:dyDescent="0.3">
      <c r="B21" s="27" t="s">
        <v>41</v>
      </c>
      <c r="C21" s="32">
        <f>C19+C20</f>
        <v>18200000</v>
      </c>
      <c r="D21" s="32">
        <v>9100000</v>
      </c>
      <c r="E21" s="32">
        <v>40800000</v>
      </c>
      <c r="F21" s="32">
        <v>34850000</v>
      </c>
      <c r="G21" s="33">
        <f t="shared" ref="G21" si="1">SUM(C21:F21)</f>
        <v>102950000</v>
      </c>
    </row>
    <row r="23" spans="2:7" x14ac:dyDescent="0.25">
      <c r="B23" s="31" t="s">
        <v>71</v>
      </c>
      <c r="D23" s="65">
        <f>D21-SUM(D19:D20)</f>
        <v>2050000</v>
      </c>
      <c r="E23" s="65">
        <f t="shared" ref="E23:F23" si="2">E21-SUM(E19:E20)</f>
        <v>13350000</v>
      </c>
      <c r="F23" s="65">
        <f t="shared" si="2"/>
        <v>5350000</v>
      </c>
      <c r="G23" s="65">
        <f>SUM(D23:F23)</f>
        <v>20750000</v>
      </c>
    </row>
    <row r="25" spans="2:7" ht="65.25" customHeight="1" x14ac:dyDescent="0.25"/>
  </sheetData>
  <mergeCells count="2">
    <mergeCell ref="B2:C2"/>
    <mergeCell ref="B17:G17"/>
  </mergeCells>
  <pageMargins left="0.7" right="0.7" top="0.75" bottom="0.75" header="0.3" footer="0.3"/>
  <pageSetup orientation="portrait" r:id="rId1"/>
  <headerFooter>
    <oddHeader>&amp;LUT - 20-035-04
OCS 5.16&amp;RAttachment OCS 5.16</oddHeader>
    <oddFooter>&amp;L&amp;F&amp;CPage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topLeftCell="A11" workbookViewId="0">
      <selection activeCell="E10" sqref="E10"/>
    </sheetView>
  </sheetViews>
  <sheetFormatPr defaultColWidth="9.140625" defaultRowHeight="15" x14ac:dyDescent="0.25"/>
  <cols>
    <col min="1" max="1" width="4.5703125" style="1" customWidth="1"/>
    <col min="2" max="2" width="40.28515625" style="1" customWidth="1"/>
    <col min="3" max="3" width="21.5703125" style="1" customWidth="1"/>
    <col min="4" max="4" width="8.28515625" style="1" customWidth="1"/>
    <col min="5" max="5" width="9.140625" style="1"/>
    <col min="6" max="6" width="10.85546875" style="1" bestFit="1" customWidth="1"/>
    <col min="7" max="16384" width="9.140625" style="1"/>
  </cols>
  <sheetData>
    <row r="1" spans="2:7" ht="15.75" thickBot="1" x14ac:dyDescent="0.3"/>
    <row r="2" spans="2:7" ht="15" customHeight="1" x14ac:dyDescent="0.25">
      <c r="B2" s="76" t="s">
        <v>0</v>
      </c>
      <c r="C2" s="8" t="s">
        <v>1</v>
      </c>
    </row>
    <row r="3" spans="2:7" ht="15.75" thickBot="1" x14ac:dyDescent="0.3">
      <c r="B3" s="77"/>
      <c r="C3" s="9" t="s">
        <v>2</v>
      </c>
    </row>
    <row r="4" spans="2:7" ht="15.75" thickBot="1" x14ac:dyDescent="0.3">
      <c r="B4" s="2" t="s">
        <v>3</v>
      </c>
      <c r="C4" s="3">
        <v>355000</v>
      </c>
      <c r="D4" s="1">
        <f>IF(C4&lt;0,0,C4)</f>
        <v>355000</v>
      </c>
      <c r="F4" s="70">
        <f>SUM(C4:C6)</f>
        <v>2150000</v>
      </c>
      <c r="G4" s="1" t="s">
        <v>75</v>
      </c>
    </row>
    <row r="5" spans="2:7" ht="15.75" thickBot="1" x14ac:dyDescent="0.3">
      <c r="B5" s="2" t="s">
        <v>4</v>
      </c>
      <c r="C5" s="3">
        <v>1490000</v>
      </c>
      <c r="D5" s="1">
        <f t="shared" ref="D5:D30" si="0">IF(C5&lt;0,0,C5)</f>
        <v>1490000</v>
      </c>
    </row>
    <row r="6" spans="2:7" ht="15.75" thickBot="1" x14ac:dyDescent="0.3">
      <c r="B6" s="2" t="s">
        <v>5</v>
      </c>
      <c r="C6" s="3">
        <v>305000</v>
      </c>
      <c r="D6" s="1">
        <f t="shared" si="0"/>
        <v>305000</v>
      </c>
    </row>
    <row r="7" spans="2:7" ht="15.75" thickBot="1" x14ac:dyDescent="0.3">
      <c r="B7" s="2" t="s">
        <v>6</v>
      </c>
      <c r="C7" s="3">
        <v>5000</v>
      </c>
      <c r="D7" s="1">
        <f t="shared" si="0"/>
        <v>5000</v>
      </c>
    </row>
    <row r="8" spans="2:7" ht="15.75" thickBot="1" x14ac:dyDescent="0.3">
      <c r="B8" s="2" t="s">
        <v>24</v>
      </c>
      <c r="C8" s="3">
        <v>215000</v>
      </c>
      <c r="D8" s="1">
        <f t="shared" si="0"/>
        <v>215000</v>
      </c>
    </row>
    <row r="9" spans="2:7" ht="15.75" thickBot="1" x14ac:dyDescent="0.3">
      <c r="B9" s="2" t="s">
        <v>68</v>
      </c>
      <c r="C9" s="3">
        <v>4215000</v>
      </c>
      <c r="D9" s="1">
        <f t="shared" si="0"/>
        <v>4215000</v>
      </c>
    </row>
    <row r="10" spans="2:7" ht="15.75" thickBot="1" x14ac:dyDescent="0.3">
      <c r="B10" s="2" t="s">
        <v>23</v>
      </c>
      <c r="C10" s="3">
        <v>-2805000</v>
      </c>
      <c r="D10" s="1">
        <f t="shared" si="0"/>
        <v>0</v>
      </c>
    </row>
    <row r="11" spans="2:7" ht="15.75" thickBot="1" x14ac:dyDescent="0.3">
      <c r="B11" s="5" t="s">
        <v>7</v>
      </c>
      <c r="C11" s="6">
        <f>SUM(C4:C10)</f>
        <v>3780000</v>
      </c>
    </row>
    <row r="12" spans="2:7" ht="15.75" thickBot="1" x14ac:dyDescent="0.3">
      <c r="B12" s="7"/>
      <c r="C12" s="7"/>
    </row>
    <row r="13" spans="2:7" ht="15" customHeight="1" x14ac:dyDescent="0.25">
      <c r="B13" s="76" t="s">
        <v>9</v>
      </c>
      <c r="C13" s="8" t="s">
        <v>8</v>
      </c>
    </row>
    <row r="14" spans="2:7" ht="15.75" thickBot="1" x14ac:dyDescent="0.3">
      <c r="B14" s="77"/>
      <c r="C14" s="9" t="s">
        <v>2</v>
      </c>
    </row>
    <row r="15" spans="2:7" ht="15.75" thickBot="1" x14ac:dyDescent="0.3">
      <c r="B15" s="2" t="s">
        <v>10</v>
      </c>
      <c r="C15" s="3">
        <v>200000</v>
      </c>
      <c r="D15" s="1">
        <f t="shared" si="0"/>
        <v>200000</v>
      </c>
    </row>
    <row r="16" spans="2:7" ht="15.75" thickBot="1" x14ac:dyDescent="0.3">
      <c r="B16" s="2" t="s">
        <v>11</v>
      </c>
      <c r="C16" s="3">
        <v>295000</v>
      </c>
      <c r="D16" s="66">
        <f t="shared" si="0"/>
        <v>295000</v>
      </c>
    </row>
    <row r="17" spans="2:4" ht="15.75" thickBot="1" x14ac:dyDescent="0.3">
      <c r="B17" s="2" t="s">
        <v>12</v>
      </c>
      <c r="C17" s="3">
        <v>250000</v>
      </c>
      <c r="D17" s="66">
        <f t="shared" si="0"/>
        <v>250000</v>
      </c>
    </row>
    <row r="18" spans="2:4" ht="15.75" thickBot="1" x14ac:dyDescent="0.3">
      <c r="B18" s="2" t="s">
        <v>13</v>
      </c>
      <c r="C18" s="3">
        <v>105000</v>
      </c>
      <c r="D18" s="66">
        <f t="shared" si="0"/>
        <v>105000</v>
      </c>
    </row>
    <row r="19" spans="2:4" ht="15.75" thickBot="1" x14ac:dyDescent="0.3">
      <c r="B19" s="2" t="s">
        <v>14</v>
      </c>
      <c r="C19" s="3">
        <v>130000</v>
      </c>
      <c r="D19" s="1">
        <f t="shared" si="0"/>
        <v>130000</v>
      </c>
    </row>
    <row r="20" spans="2:4" ht="15.75" thickBot="1" x14ac:dyDescent="0.3">
      <c r="B20" s="5" t="s">
        <v>15</v>
      </c>
      <c r="C20" s="6">
        <f>SUM(C15:C19)</f>
        <v>980000</v>
      </c>
    </row>
    <row r="21" spans="2:4" ht="15.75" thickBot="1" x14ac:dyDescent="0.3"/>
    <row r="22" spans="2:4" ht="15" customHeight="1" x14ac:dyDescent="0.25">
      <c r="B22" s="76" t="s">
        <v>16</v>
      </c>
      <c r="C22" s="8" t="s">
        <v>8</v>
      </c>
    </row>
    <row r="23" spans="2:4" ht="15.75" thickBot="1" x14ac:dyDescent="0.3">
      <c r="B23" s="77"/>
      <c r="C23" s="9" t="s">
        <v>2</v>
      </c>
    </row>
    <row r="24" spans="2:4" ht="15.75" thickBot="1" x14ac:dyDescent="0.3">
      <c r="B24" s="2" t="s">
        <v>17</v>
      </c>
      <c r="C24" s="4">
        <v>-570000</v>
      </c>
      <c r="D24" s="1">
        <f t="shared" si="0"/>
        <v>0</v>
      </c>
    </row>
    <row r="25" spans="2:4" ht="15.75" thickBot="1" x14ac:dyDescent="0.3">
      <c r="B25" s="2" t="s">
        <v>18</v>
      </c>
      <c r="C25" s="3">
        <v>195000</v>
      </c>
      <c r="D25" s="1">
        <f t="shared" si="0"/>
        <v>195000</v>
      </c>
    </row>
    <row r="26" spans="2:4" ht="15.75" thickBot="1" x14ac:dyDescent="0.3">
      <c r="B26" s="2" t="s">
        <v>19</v>
      </c>
      <c r="C26" s="3">
        <v>-95000</v>
      </c>
      <c r="D26" s="1">
        <f t="shared" si="0"/>
        <v>0</v>
      </c>
    </row>
    <row r="27" spans="2:4" ht="15.75" thickBot="1" x14ac:dyDescent="0.3">
      <c r="B27" s="2" t="s">
        <v>20</v>
      </c>
      <c r="C27" s="3">
        <v>70000</v>
      </c>
      <c r="D27" s="1">
        <f t="shared" si="0"/>
        <v>70000</v>
      </c>
    </row>
    <row r="28" spans="2:4" ht="15.75" thickBot="1" x14ac:dyDescent="0.3">
      <c r="B28" s="2" t="s">
        <v>21</v>
      </c>
      <c r="C28" s="3">
        <v>45000</v>
      </c>
      <c r="D28" s="1">
        <f t="shared" si="0"/>
        <v>45000</v>
      </c>
    </row>
    <row r="29" spans="2:4" ht="15.75" thickBot="1" x14ac:dyDescent="0.3">
      <c r="B29" s="2" t="s">
        <v>25</v>
      </c>
      <c r="C29" s="3">
        <v>400000</v>
      </c>
      <c r="D29" s="1">
        <f t="shared" si="0"/>
        <v>400000</v>
      </c>
    </row>
    <row r="30" spans="2:4" ht="15.75" thickBot="1" x14ac:dyDescent="0.3">
      <c r="B30" s="2" t="s">
        <v>26</v>
      </c>
      <c r="C30" s="3">
        <v>150000</v>
      </c>
      <c r="D30" s="1">
        <f t="shared" si="0"/>
        <v>150000</v>
      </c>
    </row>
    <row r="31" spans="2:4" ht="15.75" thickBot="1" x14ac:dyDescent="0.3">
      <c r="B31" s="5" t="s">
        <v>16</v>
      </c>
      <c r="C31" s="6">
        <f>SUM(C24:C30)</f>
        <v>195000</v>
      </c>
    </row>
    <row r="32" spans="2:4" ht="15.75" thickBot="1" x14ac:dyDescent="0.3">
      <c r="B32" s="10"/>
      <c r="C32" s="10"/>
    </row>
    <row r="33" spans="2:8" ht="15.75" thickBot="1" x14ac:dyDescent="0.3">
      <c r="B33" s="5" t="s">
        <v>22</v>
      </c>
      <c r="C33" s="6">
        <f>C11+C20+C31</f>
        <v>4955000</v>
      </c>
      <c r="D33" s="1">
        <f>SUM(D2:D10,D24:D31,D15,D19)</f>
        <v>7775000</v>
      </c>
      <c r="E33" s="11"/>
    </row>
    <row r="37" spans="2:8" x14ac:dyDescent="0.25">
      <c r="H37" s="11"/>
    </row>
  </sheetData>
  <mergeCells count="3">
    <mergeCell ref="B2:B3"/>
    <mergeCell ref="B13:B14"/>
    <mergeCell ref="B22:B23"/>
  </mergeCells>
  <pageMargins left="0.7" right="0.7" top="0.75" bottom="0.75" header="0.3" footer="0.3"/>
  <pageSetup orientation="portrait" r:id="rId1"/>
  <headerFooter>
    <oddHeader>&amp;LUT - 20-035-04
OCS 5.16&amp;RAttachment OCS 5.16</oddHeader>
    <oddFooter>&amp;L&amp;F&amp;CPage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4"/>
  <sheetViews>
    <sheetView workbookViewId="0">
      <selection activeCell="F28" sqref="F28"/>
    </sheetView>
  </sheetViews>
  <sheetFormatPr defaultRowHeight="15" x14ac:dyDescent="0.25"/>
  <cols>
    <col min="1" max="1" width="5.7109375" customWidth="1"/>
    <col min="2" max="2" width="22.140625" customWidth="1"/>
    <col min="3" max="3" width="11.140625" bestFit="1" customWidth="1"/>
    <col min="5" max="5" width="12.28515625" customWidth="1"/>
    <col min="7" max="7" width="16.85546875" customWidth="1"/>
    <col min="8" max="8" width="32.140625" bestFit="1" customWidth="1"/>
  </cols>
  <sheetData>
    <row r="3" spans="2:9" ht="15.75" x14ac:dyDescent="0.25">
      <c r="B3" s="34" t="s">
        <v>59</v>
      </c>
    </row>
    <row r="4" spans="2:9" x14ac:dyDescent="0.25">
      <c r="B4" s="35"/>
      <c r="C4" s="36" t="s">
        <v>45</v>
      </c>
      <c r="D4" s="36" t="s">
        <v>46</v>
      </c>
      <c r="E4" s="36" t="s">
        <v>47</v>
      </c>
      <c r="F4" s="36" t="s">
        <v>48</v>
      </c>
      <c r="G4" s="36" t="s">
        <v>49</v>
      </c>
      <c r="H4" s="37" t="s">
        <v>41</v>
      </c>
    </row>
    <row r="5" spans="2:9" x14ac:dyDescent="0.25">
      <c r="B5" s="38" t="s">
        <v>50</v>
      </c>
      <c r="C5" s="39">
        <v>3</v>
      </c>
      <c r="D5" s="39">
        <f>47+8</f>
        <v>55</v>
      </c>
      <c r="E5" s="39">
        <v>7</v>
      </c>
      <c r="F5" s="39">
        <v>2</v>
      </c>
      <c r="G5" s="39">
        <v>26</v>
      </c>
      <c r="H5" s="40">
        <f>SUM(C5:G5)</f>
        <v>93</v>
      </c>
    </row>
    <row r="6" spans="2:9" x14ac:dyDescent="0.25">
      <c r="B6" s="38" t="s">
        <v>51</v>
      </c>
      <c r="C6" s="41">
        <v>0</v>
      </c>
      <c r="D6" s="41">
        <f>36+6</f>
        <v>42</v>
      </c>
      <c r="E6" s="41">
        <v>7</v>
      </c>
      <c r="F6" s="41">
        <v>2</v>
      </c>
      <c r="G6" s="41">
        <v>26</v>
      </c>
      <c r="H6" s="42">
        <f>SUM(C6:G6)</f>
        <v>77</v>
      </c>
    </row>
    <row r="7" spans="2:9" x14ac:dyDescent="0.25">
      <c r="B7" s="61" t="s">
        <v>52</v>
      </c>
      <c r="C7" s="62">
        <f>C5-C6</f>
        <v>3</v>
      </c>
      <c r="D7" s="62">
        <f t="shared" ref="D7:G7" si="0">D5-D6</f>
        <v>13</v>
      </c>
      <c r="E7" s="62">
        <f t="shared" si="0"/>
        <v>0</v>
      </c>
      <c r="F7" s="62">
        <f t="shared" si="0"/>
        <v>0</v>
      </c>
      <c r="G7" s="62">
        <f t="shared" si="0"/>
        <v>0</v>
      </c>
      <c r="H7" s="42">
        <f>SUM(C7:G7)</f>
        <v>16</v>
      </c>
    </row>
    <row r="8" spans="2:9" x14ac:dyDescent="0.25">
      <c r="B8" s="43"/>
      <c r="C8" s="44"/>
      <c r="D8" s="44"/>
      <c r="E8" s="44"/>
      <c r="F8" s="44"/>
      <c r="G8" s="44"/>
      <c r="H8" s="44"/>
    </row>
    <row r="9" spans="2:9" x14ac:dyDescent="0.25">
      <c r="B9" s="45"/>
      <c r="C9" s="46" t="s">
        <v>53</v>
      </c>
      <c r="D9" s="36" t="s">
        <v>54</v>
      </c>
      <c r="E9" s="36" t="s">
        <v>55</v>
      </c>
      <c r="F9" s="36" t="s">
        <v>64</v>
      </c>
      <c r="G9" s="36" t="s">
        <v>41</v>
      </c>
      <c r="H9" s="47" t="s">
        <v>56</v>
      </c>
    </row>
    <row r="10" spans="2:9" x14ac:dyDescent="0.25">
      <c r="B10" s="38" t="s">
        <v>51</v>
      </c>
      <c r="C10" s="48">
        <v>0</v>
      </c>
      <c r="D10" s="48">
        <v>0</v>
      </c>
      <c r="E10" s="39">
        <v>0</v>
      </c>
      <c r="F10" s="39">
        <v>0</v>
      </c>
      <c r="G10" s="48">
        <v>0</v>
      </c>
      <c r="H10" s="49">
        <v>77</v>
      </c>
    </row>
    <row r="11" spans="2:9" x14ac:dyDescent="0.25">
      <c r="B11" s="38" t="s">
        <v>57</v>
      </c>
      <c r="C11" s="50">
        <v>1</v>
      </c>
      <c r="D11" s="50">
        <v>2.5</v>
      </c>
      <c r="E11" s="41">
        <v>0</v>
      </c>
      <c r="F11" s="41">
        <v>1</v>
      </c>
      <c r="G11" s="50">
        <v>6</v>
      </c>
      <c r="H11" s="51">
        <f>SUM(C11:F11)</f>
        <v>4.5</v>
      </c>
    </row>
    <row r="12" spans="2:9" x14ac:dyDescent="0.25">
      <c r="B12" s="52" t="s">
        <v>58</v>
      </c>
      <c r="C12" s="54"/>
      <c r="D12" s="54"/>
      <c r="E12" s="55"/>
      <c r="F12" s="55"/>
      <c r="G12" s="54"/>
      <c r="H12" s="53">
        <f>H7-H11</f>
        <v>11.5</v>
      </c>
    </row>
    <row r="15" spans="2:9" ht="15.75" x14ac:dyDescent="0.25">
      <c r="B15" s="56" t="s">
        <v>60</v>
      </c>
      <c r="C15" s="57"/>
      <c r="G15" s="68" t="s">
        <v>72</v>
      </c>
      <c r="H15" s="67">
        <v>200000</v>
      </c>
      <c r="I15" t="s">
        <v>73</v>
      </c>
    </row>
    <row r="16" spans="2:9" x14ac:dyDescent="0.25">
      <c r="B16" s="57" t="s">
        <v>61</v>
      </c>
      <c r="C16" s="58">
        <f>H7</f>
        <v>16</v>
      </c>
    </row>
    <row r="17" spans="2:10" x14ac:dyDescent="0.25">
      <c r="B17" s="57" t="s">
        <v>62</v>
      </c>
      <c r="C17" s="58">
        <f>H11</f>
        <v>4.5</v>
      </c>
      <c r="G17" t="s">
        <v>74</v>
      </c>
      <c r="H17" s="69">
        <f>H15*H12</f>
        <v>2300000</v>
      </c>
    </row>
    <row r="18" spans="2:10" x14ac:dyDescent="0.25">
      <c r="B18" s="57" t="s">
        <v>58</v>
      </c>
      <c r="C18" s="58">
        <f>H12</f>
        <v>11.5</v>
      </c>
    </row>
    <row r="21" spans="2:10" x14ac:dyDescent="0.25">
      <c r="B21" s="59" t="s">
        <v>63</v>
      </c>
      <c r="C21" s="60"/>
      <c r="D21" s="60"/>
      <c r="E21" s="60"/>
      <c r="F21" s="60"/>
      <c r="G21" s="60"/>
      <c r="H21" s="60"/>
      <c r="I21" s="60"/>
      <c r="J21" s="60"/>
    </row>
    <row r="22" spans="2:10" x14ac:dyDescent="0.25">
      <c r="B22" s="60" t="s">
        <v>65</v>
      </c>
      <c r="C22" s="60"/>
      <c r="D22" s="60"/>
      <c r="E22" s="60"/>
      <c r="F22" s="60"/>
      <c r="G22" s="60"/>
      <c r="H22" s="60"/>
      <c r="I22" s="60"/>
      <c r="J22" s="60"/>
    </row>
    <row r="23" spans="2:10" x14ac:dyDescent="0.25">
      <c r="B23" s="60" t="s">
        <v>66</v>
      </c>
      <c r="C23" s="60"/>
      <c r="D23" s="60"/>
      <c r="E23" s="60"/>
      <c r="F23" s="60"/>
      <c r="G23" s="60"/>
      <c r="H23" s="60"/>
      <c r="I23" s="60"/>
      <c r="J23" s="60"/>
    </row>
    <row r="24" spans="2:10" x14ac:dyDescent="0.25">
      <c r="B24" s="60"/>
      <c r="C24" s="60"/>
      <c r="D24" s="60"/>
      <c r="E24" s="60"/>
      <c r="F24" s="60"/>
      <c r="G24" s="60"/>
      <c r="H24" s="60"/>
      <c r="I24" s="60"/>
      <c r="J24" s="60"/>
    </row>
  </sheetData>
  <pageMargins left="0.7" right="0.7" top="0.75" bottom="0.75" header="0.3" footer="0.3"/>
  <pageSetup orientation="portrait" r:id="rId1"/>
  <headerFooter>
    <oddHeader>&amp;LUT - 20-035-04
OCS 5.16&amp;RAttachment OCS 5.16</oddHeader>
    <oddFooter>&amp;L&amp;F&amp;CPage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C68EE4F3B370418B00221A8018CB3D" ma:contentTypeVersion="14" ma:contentTypeDescription="Create a new document." ma:contentTypeScope="" ma:versionID="2d908086d651fcb4f55ae9978fbc8dfc">
  <xsd:schema xmlns:xsd="http://www.w3.org/2001/XMLSchema" xmlns:xs="http://www.w3.org/2001/XMLSchema" xmlns:p="http://schemas.microsoft.com/office/2006/metadata/properties" xmlns:ns1="http://schemas.microsoft.com/sharepoint/v3" xmlns:ns2="729ad107-2371-48eb-8d59-a51c86e37f56" xmlns:ns3="7a4c1e6a-387f-47de-ae7e-907a344f53a1" targetNamespace="http://schemas.microsoft.com/office/2006/metadata/properties" ma:root="true" ma:fieldsID="51cf7b4b2b2b76cda3586a102d64316f" ns1:_="" ns2:_="" ns3:_="">
    <xsd:import namespace="http://schemas.microsoft.com/sharepoint/v3"/>
    <xsd:import namespace="729ad107-2371-48eb-8d59-a51c86e37f56"/>
    <xsd:import namespace="7a4c1e6a-387f-47de-ae7e-907a344f53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9ad107-2371-48eb-8d59-a51c86e37f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c1e6a-387f-47de-ae7e-907a344f53a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128792C-397B-4737-8551-3A5CA4F8D9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63A2C8-1BEE-42D0-BE35-1015942B6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29ad107-2371-48eb-8d59-a51c86e37f56"/>
    <ds:schemaRef ds:uri="7a4c1e6a-387f-47de-ae7e-907a344f53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D419AE-FE70-44E9-B430-54A9FC84DEF3}">
  <ds:schemaRefs>
    <ds:schemaRef ds:uri="http://schemas.microsoft.com/sharepoint/v3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7a4c1e6a-387f-47de-ae7e-907a344f53a1"/>
    <ds:schemaRef ds:uri="729ad107-2371-48eb-8d59-a51c86e37f5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CBA</vt:lpstr>
      <vt:lpstr>Financial Analysis</vt:lpstr>
      <vt:lpstr>Annual Cost Savings</vt:lpstr>
      <vt:lpstr>FTE Reductions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2020-06-26T18:20:00Z</dcterms:created>
  <dcterms:modified xsi:type="dcterms:W3CDTF">2020-09-15T23:22:38Z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0x0101008CC68EE4F3B370418B00221A8018CB3D</vt:lpwstr>
  </property>
</Properties>
</file>