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/>
  </bookViews>
  <sheets>
    <sheet name="TCJA Summary" sheetId="1" r:id="rId1"/>
    <sheet name="Schedule 197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'[1]Revenue-monthly'!#REF!</definedName>
    <definedName name="__123Graph_A" localSheetId="0" hidden="1">'[1]Revenue-monthly'!#REF!</definedName>
    <definedName name="__123Graph_A" hidden="1">'[1]Revenue-monthly'!#REF!</definedName>
    <definedName name="__123Graph_AB06" localSheetId="1" hidden="1">[2]WORKD!#REF!</definedName>
    <definedName name="__123Graph_AB06" localSheetId="0" hidden="1">[2]WORKD!#REF!</definedName>
    <definedName name="__123Graph_AB06" hidden="1">[2]WORKD!#REF!</definedName>
    <definedName name="__123Graph_ACEDREVGR" localSheetId="1" hidden="1">'[1]Revenue-monthly'!#REF!</definedName>
    <definedName name="__123Graph_ACEDREVGR" localSheetId="0" hidden="1">'[1]Revenue-monthly'!#REF!</definedName>
    <definedName name="__123Graph_ACEDREVGR" hidden="1">'[1]Revenue-monthly'!#REF!</definedName>
    <definedName name="__123Graph_B" localSheetId="1" hidden="1">[3]Inputs!#REF!</definedName>
    <definedName name="__123Graph_B" localSheetId="0" hidden="1">[3]Inputs!#REF!</definedName>
    <definedName name="__123Graph_B" hidden="1">[3]Inputs!#REF!</definedName>
    <definedName name="__123Graph_BCEDREVGR" localSheetId="1" hidden="1">'[1]Revenue-monthly'!#REF!</definedName>
    <definedName name="__123Graph_BCEDREVGR" localSheetId="0" hidden="1">'[1]Revenue-monthly'!#REF!</definedName>
    <definedName name="__123Graph_BCEDREVGR" hidden="1">'[1]Revenue-monthly'!#REF!</definedName>
    <definedName name="__123Graph_D" localSheetId="1" hidden="1">[3]Inputs!#REF!</definedName>
    <definedName name="__123Graph_D" localSheetId="0" hidden="1">[3]Inputs!#REF!</definedName>
    <definedName name="__123Graph_D" hidden="1">[3]Inputs!#REF!</definedName>
    <definedName name="__123Graph_E" localSheetId="1" hidden="1">'[1]Revenue-monthly'!#REF!</definedName>
    <definedName name="__123Graph_E" localSheetId="0" hidden="1">'[1]Revenue-monthly'!#REF!</definedName>
    <definedName name="__123Graph_E" hidden="1">'[1]Revenue-monthly'!#REF!</definedName>
    <definedName name="__123Graph_F" localSheetId="1" hidden="1">'[1]Revenue-monthly'!#REF!</definedName>
    <definedName name="__123Graph_F" localSheetId="0" hidden="1">'[1]Revenue-monthly'!#REF!</definedName>
    <definedName name="__123Graph_F" hidden="1">'[1]Revenue-monthly'!#REF!</definedName>
    <definedName name="__123Graph_X" hidden="1">'[1]Revenue-monthly'!$A$12:$A$23</definedName>
    <definedName name="__123Graph_XCEDREVGR" hidden="1">'[1]Revenue-monthly'!$A$12:$A$23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ofill" localSheetId="1" hidden="1">[4]A!#REF!</definedName>
    <definedName name="_nofill" localSheetId="0" hidden="1">[4]A!#REF!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localSheetId="1" hidden="1">[3]Inputs!#REF!</definedName>
    <definedName name="dsd" localSheetId="0" hidden="1">[3]Inputs!#REF!</definedName>
    <definedName name="dsd" hidden="1">[3]Inputs!#REF!</definedName>
    <definedName name="DUDE" localSheetId="1" hidden="1">#REF!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1" hidden="1">[4]A!#REF!</definedName>
    <definedName name="n" localSheetId="0" hidden="1">[4]A!#REF!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[5]Inputs!#REF!</definedName>
    <definedName name="PricingInfo" localSheetId="0" hidden="1">[5]Inputs!#REF!</definedName>
    <definedName name="PricingInfo" hidden="1">[5]Inputs!#REF!</definedName>
    <definedName name="_xlnm.Print_Area" localSheetId="1">'Schedule 197'!$A$1:$O$35</definedName>
    <definedName name="_xlnm.Print_Area" localSheetId="0">'TCJA Summary'!$B$1:$Q$53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"3X9515H6NMHHR47UHVC5TXHCB"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localSheetId="1" hidden="1">#REF!</definedName>
    <definedName name="test" localSheetId="0" hidden="1">#REF!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[6]Inputs!#REF!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4" l="1"/>
  <c r="L3" i="4"/>
  <c r="L7" i="4"/>
  <c r="M7" i="4" s="1"/>
  <c r="N7" i="4" s="1"/>
  <c r="O7" i="4" s="1"/>
  <c r="K8" i="4"/>
  <c r="L8" i="4"/>
  <c r="K9" i="4"/>
  <c r="L9" i="4"/>
  <c r="K10" i="4"/>
  <c r="L10" i="4" s="1"/>
  <c r="L13" i="4"/>
  <c r="K14" i="4"/>
  <c r="L14" i="4"/>
  <c r="K15" i="4"/>
  <c r="L15" i="4" s="1"/>
  <c r="K16" i="4" l="1"/>
  <c r="K11" i="4"/>
  <c r="E8" i="4"/>
  <c r="C7" i="4"/>
  <c r="E9" i="4" l="1"/>
  <c r="M9" i="4" s="1"/>
  <c r="N9" i="4" s="1"/>
  <c r="M8" i="4"/>
  <c r="N8" i="4" s="1"/>
  <c r="L11" i="4"/>
  <c r="K12" i="4"/>
  <c r="L12" i="4" s="1"/>
  <c r="L16" i="4"/>
  <c r="K17" i="4"/>
  <c r="G7" i="4"/>
  <c r="I7" i="4" s="1"/>
  <c r="C8" i="4" s="1"/>
  <c r="G8" i="4" s="1"/>
  <c r="I8" i="4" s="1"/>
  <c r="C9" i="4" s="1"/>
  <c r="G9" i="4" s="1"/>
  <c r="I9" i="4" s="1"/>
  <c r="C10" i="4" s="1"/>
  <c r="E10" i="4"/>
  <c r="M10" i="4" s="1"/>
  <c r="N10" i="4" s="1"/>
  <c r="L17" i="4" l="1"/>
  <c r="K18" i="4"/>
  <c r="E11" i="4"/>
  <c r="M11" i="4" s="1"/>
  <c r="N11" i="4" s="1"/>
  <c r="G10" i="4"/>
  <c r="I10" i="4" s="1"/>
  <c r="C11" i="4" s="1"/>
  <c r="L18" i="4" l="1"/>
  <c r="K21" i="4"/>
  <c r="E13" i="4"/>
  <c r="E12" i="4"/>
  <c r="M12" i="4" s="1"/>
  <c r="N12" i="4" s="1"/>
  <c r="G11" i="4"/>
  <c r="E14" i="4" l="1"/>
  <c r="M14" i="4" s="1"/>
  <c r="N14" i="4" s="1"/>
  <c r="M13" i="4"/>
  <c r="N13" i="4" s="1"/>
  <c r="L21" i="4"/>
  <c r="K22" i="4"/>
  <c r="E15" i="4"/>
  <c r="M15" i="4" s="1"/>
  <c r="N15" i="4" s="1"/>
  <c r="I11" i="4"/>
  <c r="C12" i="4" s="1"/>
  <c r="L22" i="4" l="1"/>
  <c r="K23" i="4"/>
  <c r="E16" i="4"/>
  <c r="M16" i="4" s="1"/>
  <c r="N16" i="4" s="1"/>
  <c r="G12" i="4"/>
  <c r="I12" i="4" s="1"/>
  <c r="C13" i="4" s="1"/>
  <c r="L23" i="4" l="1"/>
  <c r="K24" i="4"/>
  <c r="G13" i="4"/>
  <c r="I13" i="4" s="1"/>
  <c r="C14" i="4" s="1"/>
  <c r="E17" i="4"/>
  <c r="M17" i="4" s="1"/>
  <c r="N17" i="4" s="1"/>
  <c r="K25" i="4" l="1"/>
  <c r="L24" i="4"/>
  <c r="G14" i="4"/>
  <c r="I14" i="4" s="1"/>
  <c r="C15" i="4" s="1"/>
  <c r="E18" i="4"/>
  <c r="M18" i="4" s="1"/>
  <c r="N18" i="4" s="1"/>
  <c r="N21" i="4" l="1"/>
  <c r="L25" i="4"/>
  <c r="K26" i="4"/>
  <c r="G15" i="4"/>
  <c r="I15" i="4" s="1"/>
  <c r="C16" i="4" s="1"/>
  <c r="E19" i="4"/>
  <c r="M21" i="4" l="1"/>
  <c r="E21" i="4" s="1"/>
  <c r="O21" i="4"/>
  <c r="L26" i="4"/>
  <c r="K27" i="4"/>
  <c r="G16" i="4"/>
  <c r="I16" i="4" s="1"/>
  <c r="C17" i="4" s="1"/>
  <c r="L27" i="4" l="1"/>
  <c r="K28" i="4"/>
  <c r="G17" i="4"/>
  <c r="I17" i="4" s="1"/>
  <c r="C18" i="4" s="1"/>
  <c r="L28" i="4" l="1"/>
  <c r="K29" i="4"/>
  <c r="G18" i="4"/>
  <c r="G19" i="4" s="1"/>
  <c r="L29" i="4" l="1"/>
  <c r="K30" i="4"/>
  <c r="I18" i="4"/>
  <c r="L30" i="4" l="1"/>
  <c r="K31" i="4"/>
  <c r="C21" i="4"/>
  <c r="I19" i="4"/>
  <c r="L31" i="4" l="1"/>
  <c r="K32" i="4"/>
  <c r="L32" i="4" s="1"/>
  <c r="L28" i="1"/>
  <c r="N28" i="1" l="1"/>
  <c r="P28" i="1" s="1"/>
  <c r="N50" i="1" l="1"/>
  <c r="P49" i="1"/>
  <c r="L48" i="1"/>
  <c r="P48" i="1" s="1"/>
  <c r="L47" i="1"/>
  <c r="F12" i="1" s="1"/>
  <c r="N43" i="1"/>
  <c r="L43" i="1"/>
  <c r="J43" i="1"/>
  <c r="P42" i="1"/>
  <c r="P41" i="1"/>
  <c r="P40" i="1"/>
  <c r="J36" i="1"/>
  <c r="N36" i="1"/>
  <c r="L36" i="1"/>
  <c r="P35" i="1"/>
  <c r="P34" i="1"/>
  <c r="N29" i="1"/>
  <c r="P29" i="1" s="1"/>
  <c r="N27" i="1"/>
  <c r="P27" i="1" s="1"/>
  <c r="N26" i="1"/>
  <c r="P26" i="1" s="1"/>
  <c r="N25" i="1"/>
  <c r="P25" i="1" s="1"/>
  <c r="L24" i="1"/>
  <c r="N24" i="1" s="1"/>
  <c r="P24" i="1" s="1"/>
  <c r="N23" i="1"/>
  <c r="P23" i="1" s="1"/>
  <c r="N21" i="1"/>
  <c r="P21" i="1" s="1"/>
  <c r="P20" i="1"/>
  <c r="N20" i="1"/>
  <c r="J19" i="1"/>
  <c r="H19" i="1"/>
  <c r="N19" i="1" s="1"/>
  <c r="P19" i="1" s="1"/>
  <c r="N18" i="1"/>
  <c r="D18" i="1"/>
  <c r="P18" i="1" s="1"/>
  <c r="H15" i="1"/>
  <c r="H17" i="1" s="1"/>
  <c r="H22" i="1" s="1"/>
  <c r="H30" i="1" s="1"/>
  <c r="F14" i="1"/>
  <c r="L13" i="1"/>
  <c r="N13" i="1" s="1"/>
  <c r="F13" i="1"/>
  <c r="L11" i="1"/>
  <c r="J11" i="1"/>
  <c r="J15" i="1" s="1"/>
  <c r="J17" i="1" s="1"/>
  <c r="J22" i="1" s="1"/>
  <c r="J30" i="1" s="1"/>
  <c r="H11" i="1"/>
  <c r="N10" i="1"/>
  <c r="F10" i="1"/>
  <c r="N9" i="1"/>
  <c r="N11" i="1" s="1"/>
  <c r="P13" i="1" l="1"/>
  <c r="L14" i="1"/>
  <c r="N14" i="1" s="1"/>
  <c r="P14" i="1" s="1"/>
  <c r="P36" i="1"/>
  <c r="D9" i="1" s="1"/>
  <c r="L12" i="1"/>
  <c r="N12" i="1" s="1"/>
  <c r="P12" i="1" s="1"/>
  <c r="P43" i="1"/>
  <c r="P47" i="1"/>
  <c r="P50" i="1" s="1"/>
  <c r="L50" i="1"/>
  <c r="P10" i="1"/>
  <c r="F11" i="1"/>
  <c r="F15" i="1" s="1"/>
  <c r="F17" i="1" s="1"/>
  <c r="F22" i="1" s="1"/>
  <c r="F30" i="1" s="1"/>
  <c r="N15" i="1" l="1"/>
  <c r="N17" i="1" s="1"/>
  <c r="N22" i="1" s="1"/>
  <c r="N30" i="1" s="1"/>
  <c r="L15" i="1"/>
  <c r="L17" i="1" s="1"/>
  <c r="L22" i="1" s="1"/>
  <c r="L30" i="1" s="1"/>
  <c r="D11" i="1"/>
  <c r="P9" i="1"/>
  <c r="D15" i="1"/>
  <c r="D17" i="1" s="1"/>
  <c r="P11" i="1" l="1"/>
  <c r="P15" i="1" s="1"/>
  <c r="D22" i="1"/>
  <c r="D30" i="1" s="1"/>
  <c r="P17" i="1"/>
  <c r="P22" i="1" s="1"/>
  <c r="P30" i="1" s="1"/>
  <c r="G21" i="4" l="1"/>
  <c r="I21" i="4" s="1"/>
  <c r="C22" i="4" s="1"/>
  <c r="E22" i="4"/>
  <c r="M22" i="4" s="1"/>
  <c r="N22" i="4" s="1"/>
  <c r="E23" i="4" l="1"/>
  <c r="M23" i="4" s="1"/>
  <c r="N23" i="4" s="1"/>
  <c r="G22" i="4"/>
  <c r="I22" i="4" s="1"/>
  <c r="C23" i="4" s="1"/>
  <c r="E24" i="4" l="1"/>
  <c r="M24" i="4" s="1"/>
  <c r="N24" i="4" s="1"/>
  <c r="G23" i="4"/>
  <c r="I23" i="4" s="1"/>
  <c r="C24" i="4" s="1"/>
  <c r="E25" i="4" l="1"/>
  <c r="M25" i="4" s="1"/>
  <c r="N25" i="4" s="1"/>
  <c r="G24" i="4"/>
  <c r="I24" i="4" s="1"/>
  <c r="C25" i="4" s="1"/>
  <c r="E26" i="4" l="1"/>
  <c r="M26" i="4" s="1"/>
  <c r="N26" i="4" s="1"/>
  <c r="G25" i="4"/>
  <c r="I25" i="4" s="1"/>
  <c r="C26" i="4" s="1"/>
  <c r="E27" i="4" l="1"/>
  <c r="M27" i="4" s="1"/>
  <c r="N27" i="4" s="1"/>
  <c r="G26" i="4"/>
  <c r="I26" i="4" s="1"/>
  <c r="C27" i="4" s="1"/>
  <c r="E28" i="4" l="1"/>
  <c r="M28" i="4" s="1"/>
  <c r="N28" i="4" s="1"/>
  <c r="G27" i="4"/>
  <c r="I27" i="4" s="1"/>
  <c r="C28" i="4" s="1"/>
  <c r="E29" i="4" l="1"/>
  <c r="M29" i="4" s="1"/>
  <c r="N29" i="4" s="1"/>
  <c r="G28" i="4"/>
  <c r="I28" i="4" s="1"/>
  <c r="C29" i="4" s="1"/>
  <c r="E30" i="4" l="1"/>
  <c r="M30" i="4" s="1"/>
  <c r="N30" i="4" s="1"/>
  <c r="G29" i="4"/>
  <c r="I29" i="4" s="1"/>
  <c r="C30" i="4" s="1"/>
  <c r="E31" i="4" l="1"/>
  <c r="M31" i="4" s="1"/>
  <c r="N31" i="4" s="1"/>
  <c r="G30" i="4"/>
  <c r="I30" i="4" s="1"/>
  <c r="C31" i="4" s="1"/>
  <c r="E32" i="4" l="1"/>
  <c r="M32" i="4" s="1"/>
  <c r="N32" i="4" s="1"/>
  <c r="G31" i="4"/>
  <c r="I31" i="4" s="1"/>
  <c r="C32" i="4" s="1"/>
  <c r="E33" i="4" l="1"/>
  <c r="G32" i="4"/>
  <c r="G33" i="4" s="1"/>
  <c r="I32" i="4" l="1"/>
  <c r="I33" i="4" l="1"/>
</calcChain>
</file>

<file path=xl/sharedStrings.xml><?xml version="1.0" encoding="utf-8"?>
<sst xmlns="http://schemas.openxmlformats.org/spreadsheetml/2006/main" count="89" uniqueCount="75">
  <si>
    <t>Reconciliation of Utah Deferred Tax Reform Balances</t>
  </si>
  <si>
    <t>Non-EDIT</t>
  </si>
  <si>
    <t>Protected</t>
  </si>
  <si>
    <t>Non-Protected EDIT</t>
  </si>
  <si>
    <t>Item</t>
  </si>
  <si>
    <t>Tax Benefits</t>
  </si>
  <si>
    <t>EDIT</t>
  </si>
  <si>
    <t>Property</t>
  </si>
  <si>
    <t>Non-Property</t>
  </si>
  <si>
    <t>Def. Amort.</t>
  </si>
  <si>
    <t>Subtotal</t>
  </si>
  <si>
    <t>Total</t>
  </si>
  <si>
    <t>Utah EDIT @ 01/01/2018: 17-035-69</t>
  </si>
  <si>
    <t>Classification Correction</t>
  </si>
  <si>
    <t>Utah EDIT @ 01/01/2018: FINAL</t>
  </si>
  <si>
    <t>Deferred Amort. of Protected EDIT: 2018</t>
  </si>
  <si>
    <t>Deferred Amort. of Protected EDIT: 2019</t>
  </si>
  <si>
    <t>Deferred Amort. of Protected EDIT: 2020</t>
  </si>
  <si>
    <t>Utah EDIT @ 12/31/2020, Before Gross-Up</t>
  </si>
  <si>
    <t>Gross-Up Factor</t>
  </si>
  <si>
    <t>Utah EDIT @ 12/31/2020, Before Amounts Used</t>
  </si>
  <si>
    <t>Less:  TCJA Rate Reduction</t>
  </si>
  <si>
    <t>Less: Plant Buy-Downs - 2018</t>
  </si>
  <si>
    <t>Less: Plant Buy-Downs - 2019</t>
  </si>
  <si>
    <t>Less: Plant Buy-Downs - 2020</t>
  </si>
  <si>
    <t>Utah EDIT @ 12/31/2020, Before Proposed Use</t>
  </si>
  <si>
    <t>Less:  Dave Johnston Buy-Down</t>
  </si>
  <si>
    <t>Less:  2017 Protocol Regulatory Asset</t>
  </si>
  <si>
    <t>Less:  EIM Benefit Regulatory Asset</t>
  </si>
  <si>
    <t>Less:  Carbon Regulatory Asset</t>
  </si>
  <si>
    <t>Less:  Deer Creek Regulatory Asset</t>
  </si>
  <si>
    <t>Utah EDIT @ 12/31/2020</t>
  </si>
  <si>
    <t>TCJA Non-EDIT Tax Benefits</t>
  </si>
  <si>
    <t>2018</t>
  </si>
  <si>
    <t>2019</t>
  </si>
  <si>
    <t>2020</t>
  </si>
  <si>
    <t>Current Tax Benefit</t>
  </si>
  <si>
    <t>Accrued Interest</t>
  </si>
  <si>
    <t>Total Non-EDIT Tax Benefits</t>
  </si>
  <si>
    <t>Use of TCJA Tax Benefits</t>
  </si>
  <si>
    <t>TCJA Rate Reduction - Schedule 197</t>
  </si>
  <si>
    <t>Plant Buy-Down: Current Tax</t>
  </si>
  <si>
    <t>Plant Buy-Down: Non-protected EDIT</t>
  </si>
  <si>
    <t>Total Amounts Used</t>
  </si>
  <si>
    <t>Comparison of Protected EDIT Amortization: RSGM v ARAM</t>
  </si>
  <si>
    <t>RSGM</t>
  </si>
  <si>
    <t>ARAM</t>
  </si>
  <si>
    <t>Difference</t>
  </si>
  <si>
    <t>Protected EDIT Amortization 12/31/2018</t>
  </si>
  <si>
    <t>Protected EDIT Amortization 12/31/2019</t>
  </si>
  <si>
    <t>Protected EDIT Amortization 12/31/2020</t>
  </si>
  <si>
    <t>Rocky Mountain Power</t>
  </si>
  <si>
    <t>Utah General Rate Case</t>
  </si>
  <si>
    <t>TCJA Regulatory Liability Balances</t>
  </si>
  <si>
    <t>Less:  Electric Plant Acquisition Adj. Craig and Hayden</t>
  </si>
  <si>
    <r>
      <t>Carrying Charge Rate</t>
    </r>
    <r>
      <rPr>
        <vertAlign val="superscript"/>
        <sz val="10"/>
        <color theme="1"/>
        <rFont val="Arial"/>
        <family val="2"/>
      </rPr>
      <t>1</t>
    </r>
  </si>
  <si>
    <t>Period</t>
  </si>
  <si>
    <t>Beginning Balance</t>
  </si>
  <si>
    <t>Refund</t>
  </si>
  <si>
    <t>Carrying Charge</t>
  </si>
  <si>
    <t>Ending Balance</t>
  </si>
  <si>
    <t>(1)</t>
  </si>
  <si>
    <t>Schedule 197</t>
  </si>
  <si>
    <t>$ - Thousands</t>
  </si>
  <si>
    <t>Footnotes:</t>
  </si>
  <si>
    <t>Carrying Charge rate beginning April 1, 2020 was approved at 3.88% per Docket No. 20-035-T01.</t>
  </si>
  <si>
    <t>Step 1</t>
  </si>
  <si>
    <t>Step 2</t>
  </si>
  <si>
    <t>GRC</t>
  </si>
  <si>
    <t>Monthly GRC</t>
  </si>
  <si>
    <t>Net Rate Change - Monthly</t>
  </si>
  <si>
    <t>Net Rate Change - Annual</t>
  </si>
  <si>
    <t>% Increase</t>
  </si>
  <si>
    <r>
      <t>Less:  Proposed Amortization - $38.2m 2021, $26.8m 2022</t>
    </r>
    <r>
      <rPr>
        <vertAlign val="superscript"/>
        <sz val="10"/>
        <color theme="1"/>
        <rFont val="Arial"/>
        <family val="2"/>
      </rPr>
      <t>1</t>
    </r>
  </si>
  <si>
    <t>(1) Includes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</si>
</sst>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[$-409]mmm\-yy;@"/>
    <numFmt numFmtId="166" formatCode="_(&quot;$&quot;* #,##0_);_(&quot;$&quot;* \(#,##0\);_(&quot;$&quot;* &quot;-&quot;??_);_(@_)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b/>
      <sz val="11"/>
      <color rgb="FF0000FF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3333FF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9">
    <xf numFmtId="0" fontId="0" fillId="0" borderId="0" xfId="0"/>
    <xf numFmtId="37" fontId="1" fillId="0" borderId="0" xfId="0" applyNumberFormat="1" applyFont="1" applyBorder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"/>
    </xf>
    <xf numFmtId="37" fontId="2" fillId="0" borderId="4" xfId="0" applyNumberFormat="1" applyFont="1" applyBorder="1"/>
    <xf numFmtId="37" fontId="1" fillId="0" borderId="5" xfId="0" applyNumberFormat="1" applyFont="1" applyBorder="1"/>
    <xf numFmtId="37" fontId="2" fillId="0" borderId="5" xfId="0" applyNumberFormat="1" applyFont="1" applyBorder="1"/>
    <xf numFmtId="37" fontId="1" fillId="0" borderId="6" xfId="0" applyNumberFormat="1" applyFont="1" applyBorder="1"/>
    <xf numFmtId="37" fontId="2" fillId="0" borderId="6" xfId="0" applyNumberFormat="1" applyFont="1" applyBorder="1"/>
    <xf numFmtId="37" fontId="1" fillId="0" borderId="7" xfId="0" applyNumberFormat="1" applyFont="1" applyBorder="1"/>
    <xf numFmtId="37" fontId="2" fillId="0" borderId="7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2" borderId="5" xfId="0" applyNumberFormat="1" applyFont="1" applyFill="1" applyBorder="1"/>
    <xf numFmtId="37" fontId="2" fillId="0" borderId="4" xfId="0" applyNumberFormat="1" applyFont="1" applyFill="1" applyBorder="1"/>
    <xf numFmtId="37" fontId="2" fillId="0" borderId="0" xfId="0" applyNumberFormat="1" applyFont="1" applyFill="1" applyBorder="1"/>
    <xf numFmtId="37" fontId="1" fillId="0" borderId="0" xfId="0" applyNumberFormat="1" applyFont="1" applyFill="1" applyBorder="1"/>
    <xf numFmtId="37" fontId="2" fillId="0" borderId="1" xfId="0" applyNumberFormat="1" applyFont="1" applyBorder="1"/>
    <xf numFmtId="37" fontId="1" fillId="0" borderId="0" xfId="0" applyNumberFormat="1" applyFont="1" applyBorder="1" applyAlignment="1">
      <alignment horizontal="left"/>
    </xf>
    <xf numFmtId="37" fontId="2" fillId="0" borderId="3" xfId="0" applyNumberFormat="1" applyFont="1" applyBorder="1"/>
    <xf numFmtId="37" fontId="2" fillId="0" borderId="3" xfId="0" quotePrefix="1" applyNumberFormat="1" applyFont="1" applyBorder="1" applyAlignment="1">
      <alignment horizontal="center"/>
    </xf>
    <xf numFmtId="37" fontId="1" fillId="0" borderId="4" xfId="0" applyNumberFormat="1" applyFont="1" applyBorder="1"/>
    <xf numFmtId="37" fontId="3" fillId="0" borderId="0" xfId="0" applyNumberFormat="1" applyFont="1" applyBorder="1" applyAlignment="1">
      <alignment horizontal="left"/>
    </xf>
    <xf numFmtId="37" fontId="1" fillId="0" borderId="7" xfId="0" applyNumberFormat="1" applyFont="1" applyFill="1" applyBorder="1"/>
    <xf numFmtId="37" fontId="1" fillId="0" borderId="6" xfId="0" applyNumberFormat="1" applyFont="1" applyFill="1" applyBorder="1"/>
    <xf numFmtId="37" fontId="1" fillId="0" borderId="3" xfId="0" applyNumberFormat="1" applyFont="1" applyBorder="1"/>
    <xf numFmtId="37" fontId="1" fillId="0" borderId="1" xfId="0" applyNumberFormat="1" applyFont="1" applyBorder="1"/>
    <xf numFmtId="37" fontId="1" fillId="3" borderId="6" xfId="0" applyNumberFormat="1" applyFont="1" applyFill="1" applyBorder="1"/>
    <xf numFmtId="0" fontId="4" fillId="0" borderId="0" xfId="1"/>
    <xf numFmtId="0" fontId="5" fillId="0" borderId="0" xfId="1" applyFont="1"/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0" fontId="9" fillId="0" borderId="0" xfId="2" applyNumberFormat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/>
    <xf numFmtId="0" fontId="1" fillId="0" borderId="0" xfId="1" applyFont="1" applyAlignment="1">
      <alignment horizontal="right"/>
    </xf>
    <xf numFmtId="0" fontId="1" fillId="0" borderId="8" xfId="1" applyFont="1" applyBorder="1" applyAlignment="1">
      <alignment horizontal="centerContinuous"/>
    </xf>
    <xf numFmtId="0" fontId="1" fillId="0" borderId="0" xfId="1" applyFont="1"/>
    <xf numFmtId="0" fontId="1" fillId="0" borderId="0" xfId="1" applyFont="1" applyBorder="1" applyAlignment="1">
      <alignment wrapText="1"/>
    </xf>
    <xf numFmtId="0" fontId="1" fillId="0" borderId="0" xfId="1" applyFont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10" fontId="1" fillId="2" borderId="8" xfId="1" applyNumberFormat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Alignment="1">
      <alignment horizontal="center"/>
    </xf>
    <xf numFmtId="165" fontId="4" fillId="0" borderId="0" xfId="1" applyNumberFormat="1" applyFont="1"/>
    <xf numFmtId="166" fontId="4" fillId="0" borderId="0" xfId="3" applyNumberFormat="1" applyFont="1" applyFill="1" applyBorder="1"/>
    <xf numFmtId="0" fontId="12" fillId="0" borderId="0" xfId="1" quotePrefix="1" applyFont="1" applyBorder="1" applyAlignment="1">
      <alignment horizontal="center"/>
    </xf>
    <xf numFmtId="37" fontId="1" fillId="0" borderId="0" xfId="1" applyNumberFormat="1" applyFont="1" applyBorder="1"/>
    <xf numFmtId="167" fontId="1" fillId="0" borderId="0" xfId="4" applyNumberFormat="1" applyFont="1" applyBorder="1"/>
    <xf numFmtId="165" fontId="4" fillId="0" borderId="0" xfId="1" applyNumberFormat="1" applyFont="1" applyBorder="1"/>
    <xf numFmtId="165" fontId="13" fillId="0" borderId="0" xfId="1" applyNumberFormat="1" applyFont="1" applyBorder="1" applyAlignment="1">
      <alignment horizontal="right"/>
    </xf>
    <xf numFmtId="5" fontId="13" fillId="0" borderId="2" xfId="1" applyNumberFormat="1" applyFont="1" applyFill="1" applyBorder="1"/>
    <xf numFmtId="0" fontId="13" fillId="0" borderId="2" xfId="1" applyFont="1" applyFill="1" applyBorder="1"/>
    <xf numFmtId="166" fontId="13" fillId="0" borderId="2" xfId="3" applyNumberFormat="1" applyFont="1" applyFill="1" applyBorder="1"/>
    <xf numFmtId="0" fontId="13" fillId="0" borderId="2" xfId="1" applyFont="1" applyFill="1" applyBorder="1" applyAlignment="1">
      <alignment horizontal="right"/>
    </xf>
    <xf numFmtId="165" fontId="12" fillId="0" borderId="0" xfId="1" applyNumberFormat="1" applyFont="1" applyBorder="1"/>
    <xf numFmtId="167" fontId="4" fillId="0" borderId="0" xfId="4" applyNumberFormat="1" applyFont="1" applyFill="1" applyBorder="1" applyAlignment="1"/>
    <xf numFmtId="0" fontId="4" fillId="0" borderId="0" xfId="1" quotePrefix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/>
    <xf numFmtId="0" fontId="11" fillId="0" borderId="0" xfId="1" applyFont="1" applyBorder="1" applyAlignment="1">
      <alignment horizontal="center" wrapText="1"/>
    </xf>
    <xf numFmtId="167" fontId="1" fillId="0" borderId="0" xfId="1" applyNumberFormat="1" applyFont="1"/>
    <xf numFmtId="43" fontId="1" fillId="0" borderId="0" xfId="1" applyNumberFormat="1" applyFont="1"/>
    <xf numFmtId="167" fontId="4" fillId="0" borderId="0" xfId="1" applyNumberFormat="1"/>
    <xf numFmtId="10" fontId="1" fillId="0" borderId="0" xfId="5" applyNumberFormat="1" applyFont="1"/>
    <xf numFmtId="166" fontId="1" fillId="0" borderId="0" xfId="1" applyNumberFormat="1" applyFont="1"/>
    <xf numFmtId="0" fontId="1" fillId="0" borderId="0" xfId="1" applyFont="1" applyAlignment="1">
      <alignment horizontal="center" vertical="center" wrapText="1"/>
    </xf>
    <xf numFmtId="167" fontId="1" fillId="0" borderId="0" xfId="4" applyNumberFormat="1" applyFont="1" applyFill="1" applyBorder="1"/>
    <xf numFmtId="0" fontId="11" fillId="0" borderId="0" xfId="1" applyFont="1" applyBorder="1" applyAlignment="1">
      <alignment horizontal="center" wrapText="1"/>
    </xf>
    <xf numFmtId="0" fontId="4" fillId="0" borderId="0" xfId="1" applyAlignment="1">
      <alignment horizontal="left" vertical="top" wrapText="1"/>
    </xf>
  </cellXfs>
  <cellStyles count="6">
    <cellStyle name="Comma 3" xfId="4"/>
    <cellStyle name="Currency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view="pageLayout" topLeftCell="A55" zoomScaleNormal="100" workbookViewId="0">
      <selection activeCell="D61" sqref="D61"/>
    </sheetView>
  </sheetViews>
  <sheetFormatPr defaultColWidth="9.140625" defaultRowHeight="12.75" x14ac:dyDescent="0.2"/>
  <cols>
    <col min="1" max="1" width="2.7109375" style="2" customWidth="1"/>
    <col min="2" max="2" width="50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1" width="2.7109375" style="2" customWidth="1"/>
    <col min="12" max="12" width="15.7109375" style="2" customWidth="1"/>
    <col min="13" max="13" width="2.7109375" style="2" customWidth="1"/>
    <col min="14" max="14" width="15.7109375" style="2" customWidth="1"/>
    <col min="15" max="15" width="2.7109375" style="2" customWidth="1"/>
    <col min="16" max="16" width="15.7109375" style="2" customWidth="1"/>
    <col min="17" max="17" width="2.7109375" style="2" customWidth="1"/>
    <col min="18" max="19" width="9.140625" style="2"/>
    <col min="20" max="20" width="12.28515625" style="2" bestFit="1" customWidth="1"/>
    <col min="21" max="21" width="9.140625" style="2"/>
    <col min="22" max="22" width="11" style="2" bestFit="1" customWidth="1"/>
    <col min="23" max="16384" width="9.140625" style="2"/>
  </cols>
  <sheetData>
    <row r="1" spans="1:17" ht="15.75" customHeight="1" x14ac:dyDescent="0.3">
      <c r="A1" s="1"/>
      <c r="B1" s="4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3">
      <c r="A2" s="1"/>
      <c r="B2" s="4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3">
      <c r="A3" s="1"/>
      <c r="B3" s="4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3">
      <c r="A6" s="1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1:17" ht="15.75" customHeight="1" x14ac:dyDescent="0.3">
      <c r="A7" s="1"/>
      <c r="B7" s="4"/>
      <c r="C7" s="4"/>
      <c r="D7" s="5" t="s">
        <v>1</v>
      </c>
      <c r="E7" s="4"/>
      <c r="F7" s="6" t="s">
        <v>2</v>
      </c>
      <c r="G7" s="7"/>
      <c r="H7" s="3" t="s">
        <v>3</v>
      </c>
      <c r="I7" s="3"/>
      <c r="J7" s="3"/>
      <c r="K7" s="3"/>
      <c r="L7" s="3"/>
      <c r="M7" s="3"/>
      <c r="N7" s="3"/>
      <c r="O7" s="5"/>
      <c r="P7" s="5"/>
      <c r="Q7" s="1"/>
    </row>
    <row r="8" spans="1:17" ht="15.75" customHeight="1" x14ac:dyDescent="0.3">
      <c r="A8" s="1"/>
      <c r="B8" s="4" t="s">
        <v>4</v>
      </c>
      <c r="C8" s="4"/>
      <c r="D8" s="5" t="s">
        <v>5</v>
      </c>
      <c r="E8" s="4"/>
      <c r="F8" s="8" t="s">
        <v>6</v>
      </c>
      <c r="G8" s="5"/>
      <c r="H8" s="8" t="s">
        <v>7</v>
      </c>
      <c r="I8" s="5"/>
      <c r="J8" s="8" t="s">
        <v>8</v>
      </c>
      <c r="K8" s="5"/>
      <c r="L8" s="8" t="s">
        <v>9</v>
      </c>
      <c r="M8" s="5"/>
      <c r="N8" s="5" t="s">
        <v>10</v>
      </c>
      <c r="O8" s="5"/>
      <c r="P8" s="8" t="s">
        <v>11</v>
      </c>
      <c r="Q8" s="1"/>
    </row>
    <row r="9" spans="1:17" ht="15.75" customHeight="1" x14ac:dyDescent="0.3">
      <c r="A9" s="1"/>
      <c r="B9" s="9" t="s">
        <v>12</v>
      </c>
      <c r="C9" s="4"/>
      <c r="D9" s="9">
        <f>P36</f>
        <v>-199127901</v>
      </c>
      <c r="E9" s="4"/>
      <c r="F9" s="9">
        <v>-615974874</v>
      </c>
      <c r="G9" s="4"/>
      <c r="H9" s="9">
        <v>-104732415</v>
      </c>
      <c r="I9" s="4"/>
      <c r="J9" s="9">
        <v>-22560698</v>
      </c>
      <c r="K9" s="4"/>
      <c r="L9" s="9">
        <v>0</v>
      </c>
      <c r="M9" s="4"/>
      <c r="N9" s="9">
        <f>H9+J9+L9</f>
        <v>-127293113</v>
      </c>
      <c r="O9" s="4"/>
      <c r="P9" s="9">
        <f>D9+F9+N9</f>
        <v>-942395888</v>
      </c>
      <c r="Q9" s="1"/>
    </row>
    <row r="10" spans="1:17" ht="15.75" customHeight="1" x14ac:dyDescent="0.3">
      <c r="A10" s="1"/>
      <c r="B10" s="10" t="s">
        <v>13</v>
      </c>
      <c r="C10" s="1"/>
      <c r="D10" s="10">
        <v>0</v>
      </c>
      <c r="E10" s="1"/>
      <c r="F10" s="10">
        <f>-H10</f>
        <v>17996367</v>
      </c>
      <c r="G10" s="1"/>
      <c r="H10" s="10">
        <v>-17996367</v>
      </c>
      <c r="I10" s="1"/>
      <c r="J10" s="10">
        <v>0</v>
      </c>
      <c r="K10" s="1"/>
      <c r="L10" s="10">
        <v>0</v>
      </c>
      <c r="M10" s="1"/>
      <c r="N10" s="11">
        <f>H10+J10+L10</f>
        <v>-17996367</v>
      </c>
      <c r="O10" s="4"/>
      <c r="P10" s="11">
        <f>D10+F10+N10</f>
        <v>0</v>
      </c>
      <c r="Q10" s="1"/>
    </row>
    <row r="11" spans="1:17" ht="15.75" customHeight="1" x14ac:dyDescent="0.3">
      <c r="A11" s="1"/>
      <c r="B11" s="9" t="s">
        <v>14</v>
      </c>
      <c r="C11" s="4"/>
      <c r="D11" s="9">
        <f>SUBTOTAL(9,D9:D10)</f>
        <v>-199127901</v>
      </c>
      <c r="E11" s="4"/>
      <c r="F11" s="9">
        <f>SUBTOTAL(9,F9:F10)</f>
        <v>-597978507</v>
      </c>
      <c r="G11" s="4"/>
      <c r="H11" s="9">
        <f>SUBTOTAL(9,H9:H10)</f>
        <v>-122728782</v>
      </c>
      <c r="I11" s="4"/>
      <c r="J11" s="9">
        <f>SUBTOTAL(9,J9:J10)</f>
        <v>-22560698</v>
      </c>
      <c r="K11" s="4"/>
      <c r="L11" s="9">
        <f>SUBTOTAL(9,L9:L10)</f>
        <v>0</v>
      </c>
      <c r="M11" s="4"/>
      <c r="N11" s="9">
        <f>SUBTOTAL(9,N9:N10)</f>
        <v>-145289480</v>
      </c>
      <c r="O11" s="4"/>
      <c r="P11" s="9">
        <f>SUBTOTAL(9,P9:P10)</f>
        <v>-942395888</v>
      </c>
      <c r="Q11" s="1"/>
    </row>
    <row r="12" spans="1:17" ht="15.75" customHeight="1" x14ac:dyDescent="0.3">
      <c r="A12" s="1"/>
      <c r="B12" s="12" t="s">
        <v>15</v>
      </c>
      <c r="C12" s="1"/>
      <c r="D12" s="12">
        <v>0</v>
      </c>
      <c r="E12" s="1"/>
      <c r="F12" s="12">
        <f>-L47</f>
        <v>26227482</v>
      </c>
      <c r="G12" s="1"/>
      <c r="H12" s="12">
        <v>0</v>
      </c>
      <c r="I12" s="1"/>
      <c r="J12" s="12">
        <v>0</v>
      </c>
      <c r="K12" s="1"/>
      <c r="L12" s="12">
        <f>-F12</f>
        <v>-26227482</v>
      </c>
      <c r="M12" s="1"/>
      <c r="N12" s="13">
        <f>H12+J12+L12</f>
        <v>-26227482</v>
      </c>
      <c r="O12" s="4"/>
      <c r="P12" s="13">
        <f>D12+F12+N12</f>
        <v>0</v>
      </c>
      <c r="Q12" s="1"/>
    </row>
    <row r="13" spans="1:17" ht="15.75" customHeight="1" x14ac:dyDescent="0.3">
      <c r="A13" s="1"/>
      <c r="B13" s="12" t="s">
        <v>16</v>
      </c>
      <c r="C13" s="1"/>
      <c r="D13" s="12">
        <v>0</v>
      </c>
      <c r="E13" s="1"/>
      <c r="F13" s="12">
        <f>-L48</f>
        <v>26403073</v>
      </c>
      <c r="G13" s="1"/>
      <c r="H13" s="12">
        <v>0</v>
      </c>
      <c r="I13" s="1"/>
      <c r="J13" s="12">
        <v>0</v>
      </c>
      <c r="K13" s="1"/>
      <c r="L13" s="12">
        <f t="shared" ref="L13:L14" si="0">-F13</f>
        <v>-26403073</v>
      </c>
      <c r="M13" s="1"/>
      <c r="N13" s="13">
        <f>H13+J13+L13</f>
        <v>-26403073</v>
      </c>
      <c r="O13" s="4"/>
      <c r="P13" s="13">
        <f t="shared" ref="P13:P14" si="1">D13+F13+N13</f>
        <v>0</v>
      </c>
      <c r="Q13" s="1"/>
    </row>
    <row r="14" spans="1:17" ht="15.75" customHeight="1" x14ac:dyDescent="0.3">
      <c r="A14" s="1"/>
      <c r="B14" s="14" t="s">
        <v>17</v>
      </c>
      <c r="C14" s="1"/>
      <c r="D14" s="14">
        <v>0</v>
      </c>
      <c r="E14" s="1"/>
      <c r="F14" s="14">
        <f>-L49</f>
        <v>36883008</v>
      </c>
      <c r="G14" s="1"/>
      <c r="H14" s="14">
        <v>0</v>
      </c>
      <c r="I14" s="1"/>
      <c r="J14" s="14">
        <v>0</v>
      </c>
      <c r="K14" s="1"/>
      <c r="L14" s="14">
        <f t="shared" si="0"/>
        <v>-36883008</v>
      </c>
      <c r="M14" s="1"/>
      <c r="N14" s="15">
        <f>H14+J14+L14</f>
        <v>-36883008</v>
      </c>
      <c r="O14" s="4"/>
      <c r="P14" s="15">
        <f t="shared" si="1"/>
        <v>0</v>
      </c>
      <c r="Q14" s="1"/>
    </row>
    <row r="15" spans="1:17" ht="15.75" customHeight="1" x14ac:dyDescent="0.3">
      <c r="A15" s="1"/>
      <c r="B15" s="9" t="s">
        <v>18</v>
      </c>
      <c r="C15" s="4"/>
      <c r="D15" s="9">
        <f>SUBTOTAL(9,D9:D14)</f>
        <v>-199127901</v>
      </c>
      <c r="E15" s="4"/>
      <c r="F15" s="9">
        <f>SUBTOTAL(9,F9:F14)</f>
        <v>-508464944</v>
      </c>
      <c r="G15" s="1"/>
      <c r="H15" s="9">
        <f>SUBTOTAL(9,H9:H14)</f>
        <v>-122728782</v>
      </c>
      <c r="I15" s="1"/>
      <c r="J15" s="9">
        <f>SUBTOTAL(9,J9:J14)</f>
        <v>-22560698</v>
      </c>
      <c r="K15" s="1"/>
      <c r="L15" s="9">
        <f>SUBTOTAL(9,L9:L14)</f>
        <v>-89513563</v>
      </c>
      <c r="M15" s="1"/>
      <c r="N15" s="9">
        <f>SUBTOTAL(9,N9:N14)</f>
        <v>-234803043</v>
      </c>
      <c r="O15" s="4"/>
      <c r="P15" s="9">
        <f>SUBTOTAL(9,P9:P14)</f>
        <v>-942395888</v>
      </c>
      <c r="Q15" s="1"/>
    </row>
    <row r="16" spans="1:17" ht="15.75" customHeight="1" x14ac:dyDescent="0.25">
      <c r="A16" s="1"/>
      <c r="B16" s="10" t="s">
        <v>19</v>
      </c>
      <c r="C16" s="1"/>
      <c r="D16" s="16">
        <v>1</v>
      </c>
      <c r="E16" s="17"/>
      <c r="F16" s="16">
        <v>1.3260240000000001</v>
      </c>
      <c r="G16" s="17"/>
      <c r="H16" s="16">
        <v>1.3260240000000001</v>
      </c>
      <c r="I16" s="17"/>
      <c r="J16" s="16">
        <v>1.3260240000000001</v>
      </c>
      <c r="K16" s="17"/>
      <c r="L16" s="16">
        <v>1.3260240000000001</v>
      </c>
      <c r="M16" s="17"/>
      <c r="N16" s="16">
        <v>1.3260240000000001</v>
      </c>
      <c r="O16" s="17"/>
      <c r="P16" s="18"/>
      <c r="Q16" s="1"/>
    </row>
    <row r="17" spans="1:17" ht="15.75" customHeight="1" x14ac:dyDescent="0.3">
      <c r="A17" s="1"/>
      <c r="B17" s="9" t="s">
        <v>20</v>
      </c>
      <c r="C17" s="4"/>
      <c r="D17" s="19">
        <f>ROUND(D15*D16,0)</f>
        <v>-199127901</v>
      </c>
      <c r="E17" s="20"/>
      <c r="F17" s="19">
        <f>ROUND(F15*F16,0)</f>
        <v>-674236719</v>
      </c>
      <c r="G17" s="21"/>
      <c r="H17" s="19">
        <f>ROUND(H15*H16,0)</f>
        <v>-162741310</v>
      </c>
      <c r="I17" s="21"/>
      <c r="J17" s="19">
        <f>ROUND(J15*J16,0)</f>
        <v>-29916027</v>
      </c>
      <c r="K17" s="21"/>
      <c r="L17" s="19">
        <f>ROUND(L15*L16,0)</f>
        <v>-118697133</v>
      </c>
      <c r="M17" s="1"/>
      <c r="N17" s="9">
        <f>ROUND(N15*N16,0)</f>
        <v>-311354470</v>
      </c>
      <c r="O17" s="4"/>
      <c r="P17" s="13">
        <f>D17+F17+N17</f>
        <v>-1184719090</v>
      </c>
      <c r="Q17" s="1"/>
    </row>
    <row r="18" spans="1:17" ht="15.75" customHeight="1" x14ac:dyDescent="0.3">
      <c r="A18" s="1"/>
      <c r="B18" s="12" t="s">
        <v>21</v>
      </c>
      <c r="C18" s="1"/>
      <c r="D18" s="12">
        <f>P40</f>
        <v>183000000</v>
      </c>
      <c r="E18" s="1"/>
      <c r="F18" s="12">
        <v>0</v>
      </c>
      <c r="G18" s="1"/>
      <c r="H18" s="12">
        <v>0</v>
      </c>
      <c r="I18" s="1"/>
      <c r="J18" s="12">
        <v>0</v>
      </c>
      <c r="K18" s="1"/>
      <c r="L18" s="12">
        <v>0</v>
      </c>
      <c r="M18" s="1"/>
      <c r="N18" s="13">
        <f>H18+J18+L18</f>
        <v>0</v>
      </c>
      <c r="O18" s="4"/>
      <c r="P18" s="13">
        <f>D18+F18+N18</f>
        <v>183000000</v>
      </c>
      <c r="Q18" s="1"/>
    </row>
    <row r="19" spans="1:17" ht="15.75" customHeight="1" x14ac:dyDescent="0.3">
      <c r="A19" s="1"/>
      <c r="B19" s="12" t="s">
        <v>22</v>
      </c>
      <c r="C19" s="1"/>
      <c r="D19" s="12">
        <v>4890414</v>
      </c>
      <c r="E19" s="1"/>
      <c r="F19" s="12">
        <v>0</v>
      </c>
      <c r="G19" s="1"/>
      <c r="H19" s="12">
        <f>-ROUND(H9*H16,0)</f>
        <v>138877696</v>
      </c>
      <c r="I19" s="1"/>
      <c r="J19" s="12">
        <f>-ROUND(J9*J16,0)</f>
        <v>29916027</v>
      </c>
      <c r="K19" s="1"/>
      <c r="L19" s="12">
        <v>0</v>
      </c>
      <c r="M19" s="1"/>
      <c r="N19" s="13">
        <f>H19+J19+L19</f>
        <v>168793723</v>
      </c>
      <c r="O19" s="4"/>
      <c r="P19" s="13">
        <f>D19+F19+N19</f>
        <v>173684137</v>
      </c>
      <c r="Q19" s="1"/>
    </row>
    <row r="20" spans="1:17" ht="15.75" customHeight="1" x14ac:dyDescent="0.3">
      <c r="A20" s="1"/>
      <c r="B20" s="12" t="s">
        <v>23</v>
      </c>
      <c r="C20" s="1"/>
      <c r="D20" s="12">
        <v>4890414</v>
      </c>
      <c r="E20" s="1"/>
      <c r="F20" s="12">
        <v>0</v>
      </c>
      <c r="G20" s="1"/>
      <c r="H20" s="12">
        <v>0</v>
      </c>
      <c r="I20" s="1"/>
      <c r="J20" s="12">
        <v>0</v>
      </c>
      <c r="K20" s="1"/>
      <c r="L20" s="12">
        <v>0</v>
      </c>
      <c r="M20" s="1"/>
      <c r="N20" s="13">
        <f>H20+J20+L20</f>
        <v>0</v>
      </c>
      <c r="O20" s="4"/>
      <c r="P20" s="13">
        <f>D20+F20+N20</f>
        <v>4890414</v>
      </c>
      <c r="Q20" s="1"/>
    </row>
    <row r="21" spans="1:17" ht="15.75" customHeight="1" x14ac:dyDescent="0.3">
      <c r="A21" s="1"/>
      <c r="B21" s="12" t="s">
        <v>24</v>
      </c>
      <c r="C21" s="1"/>
      <c r="D21" s="12">
        <v>4890414</v>
      </c>
      <c r="E21" s="1"/>
      <c r="F21" s="12">
        <v>0</v>
      </c>
      <c r="G21" s="1"/>
      <c r="H21" s="12">
        <v>0</v>
      </c>
      <c r="I21" s="1"/>
      <c r="J21" s="12">
        <v>0</v>
      </c>
      <c r="K21" s="1"/>
      <c r="L21" s="12">
        <v>0</v>
      </c>
      <c r="M21" s="1"/>
      <c r="N21" s="13">
        <f>H21+J21+L21</f>
        <v>0</v>
      </c>
      <c r="O21" s="4"/>
      <c r="P21" s="13">
        <f>D21+F21+N21</f>
        <v>4890414</v>
      </c>
      <c r="Q21" s="1"/>
    </row>
    <row r="22" spans="1:17" ht="15.75" customHeight="1" x14ac:dyDescent="0.3">
      <c r="A22" s="1"/>
      <c r="B22" s="22" t="s">
        <v>25</v>
      </c>
      <c r="C22" s="4"/>
      <c r="D22" s="22">
        <f>SUM(D17:D21)</f>
        <v>-1456659</v>
      </c>
      <c r="E22" s="4"/>
      <c r="F22" s="22">
        <f>SUM(F17:F21)</f>
        <v>-674236719</v>
      </c>
      <c r="G22" s="4"/>
      <c r="H22" s="22">
        <f>SUM(H17:H21)</f>
        <v>-23863614</v>
      </c>
      <c r="I22" s="4"/>
      <c r="J22" s="22">
        <f>SUM(J17:J21)</f>
        <v>0</v>
      </c>
      <c r="K22" s="4"/>
      <c r="L22" s="22">
        <f>SUM(L17:L21)</f>
        <v>-118697133</v>
      </c>
      <c r="M22" s="4"/>
      <c r="N22" s="22">
        <f>SUM(N17:N21)</f>
        <v>-142560747</v>
      </c>
      <c r="O22" s="4"/>
      <c r="P22" s="22">
        <f>SUM(P17:P21)</f>
        <v>-818254125</v>
      </c>
      <c r="Q22" s="23"/>
    </row>
    <row r="23" spans="1:17" ht="15.75" customHeight="1" x14ac:dyDescent="0.3">
      <c r="A23" s="1"/>
      <c r="B23" s="12" t="s">
        <v>26</v>
      </c>
      <c r="C23" s="1"/>
      <c r="D23" s="12">
        <v>0</v>
      </c>
      <c r="E23" s="1"/>
      <c r="F23" s="12">
        <v>0</v>
      </c>
      <c r="G23" s="1"/>
      <c r="H23" s="12">
        <v>23863614</v>
      </c>
      <c r="I23" s="1"/>
      <c r="J23" s="12">
        <v>0</v>
      </c>
      <c r="K23" s="1"/>
      <c r="L23" s="12">
        <v>0</v>
      </c>
      <c r="M23" s="1"/>
      <c r="N23" s="13">
        <f t="shared" ref="N23:N28" si="2">H23+J23+L23</f>
        <v>23863614</v>
      </c>
      <c r="O23" s="4"/>
      <c r="P23" s="13">
        <f t="shared" ref="P23:P28" si="3">D23+F23+N23</f>
        <v>23863614</v>
      </c>
      <c r="Q23" s="1"/>
    </row>
    <row r="24" spans="1:17" ht="15.75" customHeight="1" x14ac:dyDescent="0.3">
      <c r="A24" s="1"/>
      <c r="B24" s="12" t="s">
        <v>27</v>
      </c>
      <c r="C24" s="1"/>
      <c r="D24" s="12">
        <v>1456659</v>
      </c>
      <c r="E24" s="1"/>
      <c r="F24" s="12">
        <v>0</v>
      </c>
      <c r="G24" s="1"/>
      <c r="H24" s="12">
        <v>0</v>
      </c>
      <c r="I24" s="1"/>
      <c r="J24" s="12">
        <v>0</v>
      </c>
      <c r="K24" s="1"/>
      <c r="L24" s="12">
        <f>13200000-D24</f>
        <v>11743341</v>
      </c>
      <c r="M24" s="1"/>
      <c r="N24" s="13">
        <f t="shared" si="2"/>
        <v>11743341</v>
      </c>
      <c r="O24" s="4"/>
      <c r="P24" s="13">
        <f t="shared" si="3"/>
        <v>13200000</v>
      </c>
      <c r="Q24" s="1"/>
    </row>
    <row r="25" spans="1:17" ht="15.75" customHeight="1" x14ac:dyDescent="0.3">
      <c r="A25" s="1"/>
      <c r="B25" s="12" t="s">
        <v>28</v>
      </c>
      <c r="C25" s="1"/>
      <c r="D25" s="12">
        <v>0</v>
      </c>
      <c r="E25" s="1"/>
      <c r="F25" s="12">
        <v>0</v>
      </c>
      <c r="G25" s="1"/>
      <c r="H25" s="12">
        <v>0</v>
      </c>
      <c r="I25" s="1"/>
      <c r="J25" s="12">
        <v>0</v>
      </c>
      <c r="K25" s="1"/>
      <c r="L25" s="12">
        <v>9573636</v>
      </c>
      <c r="M25" s="1"/>
      <c r="N25" s="13">
        <f t="shared" si="2"/>
        <v>9573636</v>
      </c>
      <c r="O25" s="4"/>
      <c r="P25" s="13">
        <f t="shared" si="3"/>
        <v>9573636</v>
      </c>
      <c r="Q25" s="1"/>
    </row>
    <row r="26" spans="1:17" ht="15.75" customHeight="1" x14ac:dyDescent="0.3">
      <c r="A26" s="1"/>
      <c r="B26" s="12" t="s">
        <v>29</v>
      </c>
      <c r="C26" s="1"/>
      <c r="D26" s="12">
        <v>0</v>
      </c>
      <c r="E26" s="1"/>
      <c r="F26" s="12">
        <v>0</v>
      </c>
      <c r="G26" s="1"/>
      <c r="H26" s="12">
        <v>0</v>
      </c>
      <c r="I26" s="1"/>
      <c r="J26" s="12">
        <v>0</v>
      </c>
      <c r="K26" s="1"/>
      <c r="L26" s="12">
        <v>10292396</v>
      </c>
      <c r="M26" s="1"/>
      <c r="N26" s="13">
        <f t="shared" si="2"/>
        <v>10292396</v>
      </c>
      <c r="O26" s="4"/>
      <c r="P26" s="13">
        <f t="shared" si="3"/>
        <v>10292396</v>
      </c>
      <c r="Q26" s="1"/>
    </row>
    <row r="27" spans="1:17" ht="15.75" customHeight="1" x14ac:dyDescent="0.3">
      <c r="A27" s="1"/>
      <c r="B27" s="12" t="s">
        <v>30</v>
      </c>
      <c r="C27" s="1"/>
      <c r="D27" s="12">
        <v>0</v>
      </c>
      <c r="E27" s="1"/>
      <c r="F27" s="12">
        <v>0</v>
      </c>
      <c r="G27" s="1"/>
      <c r="H27" s="12">
        <v>0</v>
      </c>
      <c r="I27" s="1"/>
      <c r="J27" s="12">
        <v>0</v>
      </c>
      <c r="K27" s="1"/>
      <c r="L27" s="32">
        <v>21679262</v>
      </c>
      <c r="M27" s="1"/>
      <c r="N27" s="13">
        <f t="shared" si="2"/>
        <v>21679262</v>
      </c>
      <c r="O27" s="4"/>
      <c r="P27" s="13">
        <f t="shared" si="3"/>
        <v>21679262</v>
      </c>
      <c r="Q27" s="1"/>
    </row>
    <row r="28" spans="1:17" ht="15.75" customHeight="1" x14ac:dyDescent="0.3">
      <c r="A28" s="1"/>
      <c r="B28" s="12" t="s">
        <v>54</v>
      </c>
      <c r="C28" s="1"/>
      <c r="D28" s="12">
        <v>0</v>
      </c>
      <c r="E28" s="1"/>
      <c r="F28" s="12">
        <v>0</v>
      </c>
      <c r="G28" s="1"/>
      <c r="H28" s="12">
        <v>0</v>
      </c>
      <c r="I28" s="1"/>
      <c r="J28" s="12">
        <v>0</v>
      </c>
      <c r="K28" s="1"/>
      <c r="L28" s="32">
        <f>6235425*43.9974981322713%</f>
        <v>2743430.9979141778</v>
      </c>
      <c r="M28" s="1"/>
      <c r="N28" s="13">
        <f t="shared" si="2"/>
        <v>2743430.9979141778</v>
      </c>
      <c r="O28" s="4"/>
      <c r="P28" s="13">
        <f t="shared" si="3"/>
        <v>2743430.9979141778</v>
      </c>
      <c r="Q28" s="1"/>
    </row>
    <row r="29" spans="1:17" ht="15.75" customHeight="1" x14ac:dyDescent="0.3">
      <c r="A29" s="1"/>
      <c r="B29" s="32" t="s">
        <v>73</v>
      </c>
      <c r="C29" s="1"/>
      <c r="D29" s="12">
        <v>0</v>
      </c>
      <c r="E29" s="1"/>
      <c r="F29" s="12">
        <v>0</v>
      </c>
      <c r="G29" s="1"/>
      <c r="H29" s="12">
        <v>0</v>
      </c>
      <c r="I29" s="1"/>
      <c r="J29" s="12">
        <v>0</v>
      </c>
      <c r="K29" s="1"/>
      <c r="L29" s="32">
        <v>62665067</v>
      </c>
      <c r="M29" s="1"/>
      <c r="N29" s="13">
        <f t="shared" ref="N29" si="4">H29+J29+L29</f>
        <v>62665067</v>
      </c>
      <c r="O29" s="4"/>
      <c r="P29" s="13">
        <f t="shared" ref="P29" si="5">D29+F29+N29</f>
        <v>62665067</v>
      </c>
      <c r="Q29" s="1"/>
    </row>
    <row r="30" spans="1:17" ht="15.75" customHeight="1" x14ac:dyDescent="0.3">
      <c r="A30" s="1"/>
      <c r="B30" s="22" t="s">
        <v>31</v>
      </c>
      <c r="C30" s="4"/>
      <c r="D30" s="22">
        <f>SUM(D22:D29)</f>
        <v>0</v>
      </c>
      <c r="E30" s="4"/>
      <c r="F30" s="22">
        <f>SUM(F22:F29)</f>
        <v>-674236719</v>
      </c>
      <c r="G30" s="4"/>
      <c r="H30" s="22">
        <f>SUM(H22:H29)</f>
        <v>0</v>
      </c>
      <c r="I30" s="4"/>
      <c r="J30" s="22">
        <f>SUM(J22:J29)</f>
        <v>0</v>
      </c>
      <c r="K30" s="4"/>
      <c r="L30" s="22">
        <f>SUM(L22:L29)</f>
        <v>-2.0858198404312134E-3</v>
      </c>
      <c r="M30" s="4"/>
      <c r="N30" s="22">
        <f>SUM(N22:N29)</f>
        <v>-2.0858198404312134E-3</v>
      </c>
      <c r="O30" s="4"/>
      <c r="P30" s="22">
        <f>SUM(P22:P29)</f>
        <v>-674236719.0020858</v>
      </c>
      <c r="Q30" s="23"/>
    </row>
    <row r="31" spans="1:1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3">
      <c r="A32" s="1"/>
      <c r="B32" s="3" t="s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5.75" customHeight="1" x14ac:dyDescent="0.3">
      <c r="A33" s="1"/>
      <c r="B33" s="24" t="s">
        <v>4</v>
      </c>
      <c r="C33" s="1"/>
      <c r="D33" s="1"/>
      <c r="E33" s="1"/>
      <c r="F33" s="1"/>
      <c r="G33" s="1"/>
      <c r="H33" s="1"/>
      <c r="I33" s="1"/>
      <c r="J33" s="25" t="s">
        <v>33</v>
      </c>
      <c r="K33" s="5"/>
      <c r="L33" s="25" t="s">
        <v>34</v>
      </c>
      <c r="M33" s="5"/>
      <c r="N33" s="25" t="s">
        <v>35</v>
      </c>
      <c r="O33" s="1"/>
      <c r="P33" s="8" t="s">
        <v>11</v>
      </c>
      <c r="Q33" s="1"/>
    </row>
    <row r="34" spans="1:17" ht="15.75" customHeight="1" x14ac:dyDescent="0.3">
      <c r="A34" s="1"/>
      <c r="B34" s="26" t="s">
        <v>36</v>
      </c>
      <c r="C34" s="26"/>
      <c r="D34" s="26"/>
      <c r="E34" s="26"/>
      <c r="F34" s="26"/>
      <c r="G34" s="26"/>
      <c r="H34" s="26"/>
      <c r="I34" s="1"/>
      <c r="J34" s="26">
        <v>-65890404</v>
      </c>
      <c r="K34" s="1"/>
      <c r="L34" s="26">
        <v>-65890404</v>
      </c>
      <c r="M34" s="1"/>
      <c r="N34" s="26">
        <v>-65890404</v>
      </c>
      <c r="O34" s="1"/>
      <c r="P34" s="9">
        <f>J34+L34+N34</f>
        <v>-197671212</v>
      </c>
      <c r="Q34" s="1"/>
    </row>
    <row r="35" spans="1:17" ht="15.75" customHeight="1" x14ac:dyDescent="0.3">
      <c r="A35" s="1"/>
      <c r="B35" s="10" t="s">
        <v>37</v>
      </c>
      <c r="C35" s="10"/>
      <c r="D35" s="10"/>
      <c r="E35" s="10"/>
      <c r="F35" s="10"/>
      <c r="G35" s="10"/>
      <c r="H35" s="10"/>
      <c r="I35" s="1"/>
      <c r="J35" s="10">
        <v>-527997</v>
      </c>
      <c r="K35" s="1"/>
      <c r="L35" s="10">
        <v>-345430</v>
      </c>
      <c r="M35" s="1"/>
      <c r="N35" s="10">
        <v>-583262</v>
      </c>
      <c r="O35" s="1"/>
      <c r="P35" s="11">
        <f t="shared" ref="P35" si="6">J35+L35+N35</f>
        <v>-1456689</v>
      </c>
      <c r="Q35" s="1"/>
    </row>
    <row r="36" spans="1:17" ht="15.75" customHeight="1" x14ac:dyDescent="0.3">
      <c r="A36" s="1"/>
      <c r="B36" s="22" t="s">
        <v>38</v>
      </c>
      <c r="C36" s="22"/>
      <c r="D36" s="22"/>
      <c r="E36" s="22"/>
      <c r="F36" s="22"/>
      <c r="G36" s="22"/>
      <c r="H36" s="22"/>
      <c r="I36" s="4"/>
      <c r="J36" s="22">
        <f>SUM(J34:J35)</f>
        <v>-66418401</v>
      </c>
      <c r="K36" s="4"/>
      <c r="L36" s="22">
        <f>SUM(L34:L35)</f>
        <v>-66235834</v>
      </c>
      <c r="M36" s="4"/>
      <c r="N36" s="22">
        <f>SUM(N34:N35)</f>
        <v>-66473666</v>
      </c>
      <c r="O36" s="4"/>
      <c r="P36" s="22">
        <f>SUM(P34:P35)</f>
        <v>-199127901</v>
      </c>
      <c r="Q36" s="27"/>
    </row>
    <row r="37" spans="1:1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3">
      <c r="A38" s="1"/>
      <c r="B38" s="3" t="s">
        <v>39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5.75" customHeight="1" x14ac:dyDescent="0.3">
      <c r="A39" s="1"/>
      <c r="B39" s="24" t="s">
        <v>4</v>
      </c>
      <c r="C39" s="24"/>
      <c r="D39" s="24"/>
      <c r="E39" s="24"/>
      <c r="F39" s="24"/>
      <c r="G39" s="24"/>
      <c r="H39" s="24"/>
      <c r="I39" s="5"/>
      <c r="J39" s="25" t="s">
        <v>33</v>
      </c>
      <c r="K39" s="5"/>
      <c r="L39" s="25" t="s">
        <v>34</v>
      </c>
      <c r="M39" s="5"/>
      <c r="N39" s="25" t="s">
        <v>35</v>
      </c>
      <c r="O39" s="5"/>
      <c r="P39" s="8" t="s">
        <v>11</v>
      </c>
      <c r="Q39" s="1"/>
    </row>
    <row r="40" spans="1:17" ht="15.75" customHeight="1" x14ac:dyDescent="0.25">
      <c r="A40" s="1"/>
      <c r="B40" s="26" t="s">
        <v>40</v>
      </c>
      <c r="C40" s="26"/>
      <c r="D40" s="26"/>
      <c r="E40" s="26"/>
      <c r="F40" s="26"/>
      <c r="G40" s="26"/>
      <c r="H40" s="26"/>
      <c r="I40" s="1"/>
      <c r="J40" s="26">
        <v>61000000</v>
      </c>
      <c r="K40" s="1"/>
      <c r="L40" s="26">
        <v>61000000</v>
      </c>
      <c r="M40" s="1"/>
      <c r="N40" s="26">
        <v>61000000</v>
      </c>
      <c r="O40" s="1"/>
      <c r="P40" s="26">
        <f>SUM(J40:N40)</f>
        <v>183000000</v>
      </c>
      <c r="Q40" s="1"/>
    </row>
    <row r="41" spans="1:17" ht="15.75" customHeight="1" x14ac:dyDescent="0.25">
      <c r="A41" s="1"/>
      <c r="B41" s="14" t="s">
        <v>41</v>
      </c>
      <c r="C41" s="14"/>
      <c r="D41" s="14"/>
      <c r="E41" s="14"/>
      <c r="F41" s="14"/>
      <c r="G41" s="14"/>
      <c r="H41" s="14"/>
      <c r="I41" s="1"/>
      <c r="J41" s="14">
        <v>4890414</v>
      </c>
      <c r="K41" s="1"/>
      <c r="L41" s="28">
        <v>4890414</v>
      </c>
      <c r="M41" s="21"/>
      <c r="N41" s="28">
        <v>4890414</v>
      </c>
      <c r="O41" s="21"/>
      <c r="P41" s="29">
        <f t="shared" ref="P41:P42" si="7">SUM(H41:N41)</f>
        <v>14671242</v>
      </c>
      <c r="Q41" s="21"/>
    </row>
    <row r="42" spans="1:17" ht="15.75" customHeight="1" x14ac:dyDescent="0.25">
      <c r="A42" s="1"/>
      <c r="B42" s="14" t="s">
        <v>42</v>
      </c>
      <c r="C42" s="14"/>
      <c r="D42" s="14"/>
      <c r="E42" s="14"/>
      <c r="F42" s="14"/>
      <c r="G42" s="14"/>
      <c r="H42" s="14"/>
      <c r="I42" s="1"/>
      <c r="J42" s="14">
        <v>168793723</v>
      </c>
      <c r="K42" s="1"/>
      <c r="L42" s="28">
        <v>0</v>
      </c>
      <c r="M42" s="21"/>
      <c r="N42" s="28">
        <v>0</v>
      </c>
      <c r="O42" s="21"/>
      <c r="P42" s="29">
        <f t="shared" si="7"/>
        <v>168793723</v>
      </c>
      <c r="Q42" s="21"/>
    </row>
    <row r="43" spans="1:17" ht="15.75" customHeight="1" x14ac:dyDescent="0.3">
      <c r="A43" s="1"/>
      <c r="B43" s="22" t="s">
        <v>43</v>
      </c>
      <c r="C43" s="22"/>
      <c r="D43" s="22"/>
      <c r="E43" s="22"/>
      <c r="F43" s="22"/>
      <c r="G43" s="22"/>
      <c r="H43" s="22"/>
      <c r="I43" s="4"/>
      <c r="J43" s="22">
        <f>SUM(J40:J42)</f>
        <v>234684137</v>
      </c>
      <c r="K43" s="4"/>
      <c r="L43" s="22">
        <f>SUM(L40:L42)</f>
        <v>65890414</v>
      </c>
      <c r="M43" s="20"/>
      <c r="N43" s="22">
        <f>SUM(N40:N42)</f>
        <v>65890414</v>
      </c>
      <c r="O43" s="20"/>
      <c r="P43" s="22">
        <f>SUM(P40:P42)</f>
        <v>366464965</v>
      </c>
      <c r="Q43" s="21"/>
    </row>
    <row r="44" spans="1:1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1"/>
      <c r="M44" s="21"/>
      <c r="N44" s="21"/>
      <c r="O44" s="21"/>
      <c r="P44" s="21"/>
      <c r="Q44" s="21"/>
    </row>
    <row r="45" spans="1:17" ht="15.75" customHeight="1" x14ac:dyDescent="0.3">
      <c r="A45" s="1"/>
      <c r="B45" s="3" t="s">
        <v>44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5.75" customHeight="1" x14ac:dyDescent="0.3">
      <c r="A46" s="1"/>
      <c r="B46" s="24" t="s">
        <v>4</v>
      </c>
      <c r="C46" s="24"/>
      <c r="D46" s="24"/>
      <c r="E46" s="24"/>
      <c r="F46" s="30"/>
      <c r="G46" s="30"/>
      <c r="H46" s="30"/>
      <c r="I46" s="30"/>
      <c r="J46" s="30"/>
      <c r="K46" s="1"/>
      <c r="L46" s="8" t="s">
        <v>45</v>
      </c>
      <c r="M46" s="5"/>
      <c r="N46" s="8" t="s">
        <v>46</v>
      </c>
      <c r="O46" s="5"/>
      <c r="P46" s="8" t="s">
        <v>47</v>
      </c>
      <c r="Q46" s="1"/>
    </row>
    <row r="47" spans="1:17" ht="15.75" customHeight="1" x14ac:dyDescent="0.25">
      <c r="A47" s="1"/>
      <c r="B47" s="26" t="s">
        <v>48</v>
      </c>
      <c r="C47" s="26"/>
      <c r="D47" s="26"/>
      <c r="E47" s="26"/>
      <c r="F47" s="26"/>
      <c r="G47" s="26"/>
      <c r="H47" s="26"/>
      <c r="I47" s="26"/>
      <c r="J47" s="26"/>
      <c r="K47" s="1"/>
      <c r="L47" s="26">
        <f>-25613546-613936</f>
        <v>-26227482</v>
      </c>
      <c r="M47" s="1"/>
      <c r="N47" s="26">
        <v>-13628800</v>
      </c>
      <c r="O47" s="1"/>
      <c r="P47" s="26">
        <f>L47-N47</f>
        <v>-12598682</v>
      </c>
      <c r="Q47" s="1"/>
    </row>
    <row r="48" spans="1:17" ht="15.75" customHeight="1" x14ac:dyDescent="0.25">
      <c r="A48" s="1"/>
      <c r="B48" s="12" t="s">
        <v>49</v>
      </c>
      <c r="C48" s="12"/>
      <c r="D48" s="12"/>
      <c r="E48" s="12"/>
      <c r="F48" s="12"/>
      <c r="G48" s="12"/>
      <c r="H48" s="12"/>
      <c r="I48" s="12"/>
      <c r="J48" s="12"/>
      <c r="K48" s="1"/>
      <c r="L48" s="12">
        <f>-25796638-606435</f>
        <v>-26403073</v>
      </c>
      <c r="M48" s="1"/>
      <c r="N48" s="12">
        <v>-12505625</v>
      </c>
      <c r="O48" s="1"/>
      <c r="P48" s="12">
        <f>L48-N48</f>
        <v>-13897448</v>
      </c>
      <c r="Q48" s="1"/>
    </row>
    <row r="49" spans="1:17" ht="15.75" customHeight="1" x14ac:dyDescent="0.25">
      <c r="A49" s="1"/>
      <c r="B49" s="10" t="s">
        <v>50</v>
      </c>
      <c r="C49" s="10"/>
      <c r="D49" s="10"/>
      <c r="E49" s="10"/>
      <c r="F49" s="10"/>
      <c r="G49" s="10"/>
      <c r="H49" s="10"/>
      <c r="I49" s="10"/>
      <c r="J49" s="10"/>
      <c r="K49" s="1"/>
      <c r="L49" s="10">
        <v>-36883008</v>
      </c>
      <c r="M49" s="1"/>
      <c r="N49" s="10">
        <v>-12329759</v>
      </c>
      <c r="O49" s="1"/>
      <c r="P49" s="10">
        <f>L49-N49</f>
        <v>-24553249</v>
      </c>
      <c r="Q49" s="1"/>
    </row>
    <row r="50" spans="1:17" ht="15.75" customHeight="1" x14ac:dyDescent="0.3">
      <c r="A50" s="1"/>
      <c r="B50" s="22" t="s">
        <v>11</v>
      </c>
      <c r="C50" s="22"/>
      <c r="D50" s="22"/>
      <c r="E50" s="22"/>
      <c r="F50" s="31"/>
      <c r="G50" s="31"/>
      <c r="H50" s="31"/>
      <c r="I50" s="31"/>
      <c r="J50" s="31"/>
      <c r="K50" s="1"/>
      <c r="L50" s="22">
        <f>SUBTOTAL(9,L47:L49)</f>
        <v>-89513563</v>
      </c>
      <c r="M50" s="1"/>
      <c r="N50" s="22">
        <f>SUBTOTAL(9,N47:N49)</f>
        <v>-38464184</v>
      </c>
      <c r="O50" s="1"/>
      <c r="P50" s="22">
        <f>SUBTOTAL(9,P47:P49)</f>
        <v>-51049379</v>
      </c>
      <c r="Q50" s="1"/>
    </row>
    <row r="51" spans="1:1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 x14ac:dyDescent="0.3">
      <c r="A52" s="1"/>
      <c r="B52" s="4" t="s">
        <v>64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6" x14ac:dyDescent="0.25"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pageMargins left="0.75" right="0.75" top="0.75" bottom="0.75" header="0.5" footer="0.5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D61" sqref="D61"/>
    </sheetView>
  </sheetViews>
  <sheetFormatPr defaultColWidth="9.140625" defaultRowHeight="14.25" outlineLevelCol="1" x14ac:dyDescent="0.2"/>
  <cols>
    <col min="1" max="1" width="9.140625" style="34"/>
    <col min="2" max="2" width="8.5703125" style="34" customWidth="1"/>
    <col min="3" max="3" width="16.42578125" style="34" customWidth="1"/>
    <col min="4" max="4" width="1.42578125" style="34" customWidth="1"/>
    <col min="5" max="5" width="20" style="34" customWidth="1"/>
    <col min="6" max="6" width="1.42578125" style="34" customWidth="1"/>
    <col min="7" max="7" width="20" style="34" customWidth="1"/>
    <col min="8" max="8" width="1.42578125" style="34" customWidth="1"/>
    <col min="9" max="9" width="16.42578125" style="34" customWidth="1"/>
    <col min="10" max="10" width="7" style="34" hidden="1" customWidth="1" outlineLevel="1"/>
    <col min="11" max="12" width="12.7109375" style="34" hidden="1" customWidth="1" outlineLevel="1"/>
    <col min="13" max="13" width="10.85546875" style="34" hidden="1" customWidth="1" outlineLevel="1"/>
    <col min="14" max="14" width="10.28515625" style="34" hidden="1" customWidth="1" outlineLevel="1"/>
    <col min="15" max="15" width="19.85546875" style="34" hidden="1" customWidth="1" outlineLevel="1"/>
    <col min="16" max="16" width="4.5703125" style="34" customWidth="1" collapsed="1"/>
    <col min="17" max="17" width="13.85546875" style="34" bestFit="1" customWidth="1"/>
    <col min="18" max="18" width="9.140625" style="34"/>
    <col min="19" max="19" width="11.85546875" style="34" bestFit="1" customWidth="1"/>
    <col min="20" max="16384" width="9.140625" style="34"/>
  </cols>
  <sheetData>
    <row r="1" spans="1:19" ht="18" x14ac:dyDescent="0.25">
      <c r="A1" s="4" t="s">
        <v>51</v>
      </c>
      <c r="B1" s="35"/>
      <c r="C1" s="36"/>
      <c r="D1" s="36"/>
      <c r="E1" s="36"/>
      <c r="F1" s="36"/>
      <c r="G1" s="36"/>
      <c r="H1" s="36"/>
      <c r="I1" s="36"/>
      <c r="J1" s="36"/>
      <c r="K1" s="37"/>
      <c r="L1" s="57">
        <v>72049907</v>
      </c>
      <c r="M1" s="34" t="s">
        <v>11</v>
      </c>
    </row>
    <row r="2" spans="1:19" ht="15" x14ac:dyDescent="0.25">
      <c r="A2" s="4" t="s">
        <v>52</v>
      </c>
      <c r="F2" s="38"/>
      <c r="G2" s="39"/>
      <c r="H2" s="38"/>
      <c r="L2" s="57">
        <v>22538254</v>
      </c>
      <c r="M2" s="34" t="s">
        <v>67</v>
      </c>
    </row>
    <row r="3" spans="1:19" ht="15" x14ac:dyDescent="0.25">
      <c r="A3" s="4" t="s">
        <v>62</v>
      </c>
      <c r="F3" s="38"/>
      <c r="G3" s="39"/>
      <c r="H3" s="38"/>
      <c r="L3" s="57">
        <f>L1-L2</f>
        <v>49511653</v>
      </c>
      <c r="M3" s="34" t="s">
        <v>66</v>
      </c>
    </row>
    <row r="4" spans="1:19" s="40" customFormat="1" x14ac:dyDescent="0.2">
      <c r="A4" s="68" t="s">
        <v>63</v>
      </c>
      <c r="C4" s="41"/>
      <c r="D4" s="42"/>
      <c r="E4" s="34"/>
      <c r="F4" s="43"/>
      <c r="G4" s="44" t="s">
        <v>55</v>
      </c>
      <c r="H4" s="43"/>
      <c r="I4" s="45"/>
      <c r="J4" s="46"/>
      <c r="O4" s="57">
        <v>2001695.9450000001</v>
      </c>
    </row>
    <row r="5" spans="1:19" s="40" customFormat="1" x14ac:dyDescent="0.2">
      <c r="B5" s="47"/>
      <c r="C5" s="48"/>
      <c r="D5" s="48"/>
      <c r="E5" s="34"/>
      <c r="F5" s="49"/>
      <c r="G5" s="50">
        <v>3.8800000000000001E-2</v>
      </c>
      <c r="H5" s="49"/>
      <c r="I5" s="48"/>
      <c r="J5" s="48"/>
    </row>
    <row r="6" spans="1:19" s="40" customFormat="1" ht="30" customHeight="1" x14ac:dyDescent="0.2">
      <c r="A6" s="77" t="s">
        <v>56</v>
      </c>
      <c r="B6" s="77"/>
      <c r="C6" s="69" t="s">
        <v>57</v>
      </c>
      <c r="D6" s="42"/>
      <c r="E6" s="69" t="s">
        <v>58</v>
      </c>
      <c r="F6" s="51"/>
      <c r="G6" s="69" t="s">
        <v>59</v>
      </c>
      <c r="H6" s="51"/>
      <c r="I6" s="69" t="s">
        <v>60</v>
      </c>
      <c r="J6" s="69"/>
      <c r="K6" s="75" t="s">
        <v>68</v>
      </c>
      <c r="L6" s="75" t="s">
        <v>69</v>
      </c>
      <c r="M6" s="75" t="s">
        <v>70</v>
      </c>
      <c r="N6" s="75" t="s">
        <v>71</v>
      </c>
      <c r="O6" s="75" t="s">
        <v>72</v>
      </c>
    </row>
    <row r="7" spans="1:19" s="45" customFormat="1" ht="12.75" x14ac:dyDescent="0.2">
      <c r="A7" s="52">
        <v>1</v>
      </c>
      <c r="B7" s="53">
        <v>44197</v>
      </c>
      <c r="C7" s="54">
        <f>'TCJA Summary'!L29/1000</f>
        <v>62665.067000000003</v>
      </c>
      <c r="D7" s="42"/>
      <c r="E7" s="54">
        <v>-2242.2171105894813</v>
      </c>
      <c r="F7" s="51"/>
      <c r="G7" s="54">
        <f t="shared" ref="G7:G18" si="0">(C7+(E7)/2)*($G$5/12)</f>
        <v>198.992132304547</v>
      </c>
      <c r="H7" s="51"/>
      <c r="I7" s="54">
        <f t="shared" ref="I7:I18" si="1">C7+E7+G7</f>
        <v>60621.842021715071</v>
      </c>
      <c r="J7" s="55"/>
      <c r="K7" s="57">
        <v>49511.652999999998</v>
      </c>
      <c r="L7" s="70">
        <f>K7/12</f>
        <v>4125.9710833333329</v>
      </c>
      <c r="M7" s="70">
        <f>L7+E7</f>
        <v>1883.7539727438516</v>
      </c>
      <c r="N7" s="70">
        <f>M7*12</f>
        <v>22605.047672926219</v>
      </c>
      <c r="O7" s="73">
        <f>(N7-N5)/$O$4</f>
        <v>1.1292947727346382E-2</v>
      </c>
      <c r="P7" s="74"/>
      <c r="Q7" s="71"/>
      <c r="R7" s="73"/>
      <c r="S7" s="73"/>
    </row>
    <row r="8" spans="1:19" s="45" customFormat="1" ht="12.75" x14ac:dyDescent="0.2">
      <c r="A8" s="52">
        <v>2</v>
      </c>
      <c r="B8" s="53">
        <v>44228</v>
      </c>
      <c r="C8" s="56">
        <f t="shared" ref="C8:C18" si="2">+I7</f>
        <v>60621.842021715071</v>
      </c>
      <c r="D8" s="42"/>
      <c r="E8" s="57">
        <f>E7</f>
        <v>-2242.2171105894813</v>
      </c>
      <c r="F8" s="51"/>
      <c r="G8" s="57">
        <f t="shared" si="0"/>
        <v>192.38570487475906</v>
      </c>
      <c r="H8" s="51"/>
      <c r="I8" s="57">
        <f t="shared" si="1"/>
        <v>58572.010616000349</v>
      </c>
      <c r="J8" s="55"/>
      <c r="K8" s="57">
        <f>K7</f>
        <v>49511.652999999998</v>
      </c>
      <c r="L8" s="70">
        <f t="shared" ref="L8:L18" si="3">K8/12</f>
        <v>4125.9710833333329</v>
      </c>
      <c r="M8" s="70">
        <f t="shared" ref="M8:M18" si="4">L8+E8</f>
        <v>1883.7539727438516</v>
      </c>
      <c r="N8" s="70">
        <f t="shared" ref="N8:N18" si="5">M8*12</f>
        <v>22605.047672926219</v>
      </c>
      <c r="O8" s="73"/>
      <c r="P8" s="74"/>
    </row>
    <row r="9" spans="1:19" s="45" customFormat="1" ht="12.75" x14ac:dyDescent="0.2">
      <c r="A9" s="52">
        <v>3</v>
      </c>
      <c r="B9" s="53">
        <v>44256</v>
      </c>
      <c r="C9" s="56">
        <f t="shared" si="2"/>
        <v>58572.010616000349</v>
      </c>
      <c r="D9" s="42"/>
      <c r="E9" s="57">
        <f t="shared" ref="E9:E12" si="6">E8</f>
        <v>-2242.2171105894813</v>
      </c>
      <c r="F9" s="51"/>
      <c r="G9" s="57">
        <f t="shared" si="0"/>
        <v>185.75791666294813</v>
      </c>
      <c r="H9" s="51"/>
      <c r="I9" s="57">
        <f t="shared" si="1"/>
        <v>56515.551422073819</v>
      </c>
      <c r="J9" s="33"/>
      <c r="K9" s="57">
        <f>K8</f>
        <v>49511.652999999998</v>
      </c>
      <c r="L9" s="70">
        <f t="shared" si="3"/>
        <v>4125.9710833333329</v>
      </c>
      <c r="M9" s="70">
        <f t="shared" si="4"/>
        <v>1883.7539727438516</v>
      </c>
      <c r="N9" s="70">
        <f t="shared" si="5"/>
        <v>22605.047672926219</v>
      </c>
      <c r="O9" s="73"/>
      <c r="P9" s="74"/>
    </row>
    <row r="10" spans="1:19" s="45" customFormat="1" ht="12.75" x14ac:dyDescent="0.2">
      <c r="A10" s="52">
        <v>4</v>
      </c>
      <c r="B10" s="53">
        <v>44287</v>
      </c>
      <c r="C10" s="56">
        <f t="shared" si="2"/>
        <v>56515.551422073819</v>
      </c>
      <c r="D10" s="42"/>
      <c r="E10" s="57">
        <f t="shared" si="6"/>
        <v>-2242.2171105894813</v>
      </c>
      <c r="F10" s="51"/>
      <c r="G10" s="57">
        <f t="shared" si="0"/>
        <v>179.10869860258569</v>
      </c>
      <c r="H10" s="51"/>
      <c r="I10" s="57">
        <f t="shared" si="1"/>
        <v>54452.443010086921</v>
      </c>
      <c r="J10" s="33"/>
      <c r="K10" s="57">
        <f>K9</f>
        <v>49511.652999999998</v>
      </c>
      <c r="L10" s="70">
        <f t="shared" si="3"/>
        <v>4125.9710833333329</v>
      </c>
      <c r="M10" s="70">
        <f t="shared" si="4"/>
        <v>1883.7539727438516</v>
      </c>
      <c r="N10" s="70">
        <f t="shared" si="5"/>
        <v>22605.047672926219</v>
      </c>
      <c r="O10" s="73"/>
      <c r="P10" s="74"/>
    </row>
    <row r="11" spans="1:19" s="45" customFormat="1" ht="12.75" x14ac:dyDescent="0.2">
      <c r="A11" s="52">
        <v>5</v>
      </c>
      <c r="B11" s="53">
        <v>44317</v>
      </c>
      <c r="C11" s="56">
        <f t="shared" si="2"/>
        <v>54452.443010086921</v>
      </c>
      <c r="D11" s="42"/>
      <c r="E11" s="57">
        <f t="shared" si="6"/>
        <v>-2242.2171105894813</v>
      </c>
      <c r="F11" s="51"/>
      <c r="G11" s="57">
        <f t="shared" si="0"/>
        <v>172.43798140382805</v>
      </c>
      <c r="H11" s="51"/>
      <c r="I11" s="57">
        <f t="shared" si="1"/>
        <v>52382.663880901266</v>
      </c>
      <c r="J11" s="33"/>
      <c r="K11" s="57">
        <f>K10</f>
        <v>49511.652999999998</v>
      </c>
      <c r="L11" s="70">
        <f t="shared" si="3"/>
        <v>4125.9710833333329</v>
      </c>
      <c r="M11" s="70">
        <f t="shared" si="4"/>
        <v>1883.7539727438516</v>
      </c>
      <c r="N11" s="70">
        <f t="shared" si="5"/>
        <v>22605.047672926219</v>
      </c>
      <c r="O11" s="73"/>
      <c r="P11" s="74"/>
    </row>
    <row r="12" spans="1:19" s="45" customFormat="1" ht="12.75" x14ac:dyDescent="0.2">
      <c r="A12" s="52">
        <v>6</v>
      </c>
      <c r="B12" s="53">
        <v>44348</v>
      </c>
      <c r="C12" s="56">
        <f t="shared" si="2"/>
        <v>52382.663880901266</v>
      </c>
      <c r="D12" s="42"/>
      <c r="E12" s="57">
        <f t="shared" si="6"/>
        <v>-2242.2171105894813</v>
      </c>
      <c r="F12" s="51"/>
      <c r="G12" s="57">
        <f t="shared" si="0"/>
        <v>165.74569555279442</v>
      </c>
      <c r="H12" s="51"/>
      <c r="I12" s="57">
        <f t="shared" si="1"/>
        <v>50306.19246586458</v>
      </c>
      <c r="J12" s="33"/>
      <c r="K12" s="57">
        <f>K11</f>
        <v>49511.652999999998</v>
      </c>
      <c r="L12" s="70">
        <f t="shared" si="3"/>
        <v>4125.9710833333329</v>
      </c>
      <c r="M12" s="70">
        <f t="shared" si="4"/>
        <v>1883.7539727438516</v>
      </c>
      <c r="N12" s="70">
        <f t="shared" si="5"/>
        <v>22605.047672926219</v>
      </c>
      <c r="O12" s="73"/>
      <c r="P12" s="74"/>
    </row>
    <row r="13" spans="1:19" s="45" customFormat="1" ht="12.75" x14ac:dyDescent="0.2">
      <c r="A13" s="52">
        <v>7</v>
      </c>
      <c r="B13" s="53">
        <v>44378</v>
      </c>
      <c r="C13" s="56">
        <f t="shared" si="2"/>
        <v>50306.19246586458</v>
      </c>
      <c r="D13" s="42"/>
      <c r="E13" s="57">
        <f>L12-L13+E7</f>
        <v>-4120.4049439228156</v>
      </c>
      <c r="F13" s="51"/>
      <c r="G13" s="57">
        <f t="shared" si="0"/>
        <v>155.99536764695358</v>
      </c>
      <c r="H13" s="51"/>
      <c r="I13" s="57">
        <f t="shared" si="1"/>
        <v>46341.782889588714</v>
      </c>
      <c r="J13" s="33"/>
      <c r="K13" s="57">
        <v>72049.907000000007</v>
      </c>
      <c r="L13" s="70">
        <f t="shared" si="3"/>
        <v>6004.1589166666672</v>
      </c>
      <c r="M13" s="70">
        <f t="shared" si="4"/>
        <v>1883.7539727438516</v>
      </c>
      <c r="N13" s="70">
        <f t="shared" si="5"/>
        <v>22605.047672926219</v>
      </c>
      <c r="O13" s="73"/>
      <c r="P13" s="74"/>
    </row>
    <row r="14" spans="1:19" s="45" customFormat="1" ht="12.75" x14ac:dyDescent="0.2">
      <c r="A14" s="52">
        <v>8</v>
      </c>
      <c r="B14" s="53">
        <v>44409</v>
      </c>
      <c r="C14" s="56">
        <f t="shared" si="2"/>
        <v>46341.782889588714</v>
      </c>
      <c r="D14" s="42"/>
      <c r="E14" s="57">
        <f t="shared" ref="E14:E18" si="7">E13</f>
        <v>-4120.4049439228156</v>
      </c>
      <c r="F14" s="51"/>
      <c r="G14" s="57">
        <f t="shared" si="0"/>
        <v>143.17711001699496</v>
      </c>
      <c r="H14" s="51"/>
      <c r="I14" s="57">
        <f t="shared" si="1"/>
        <v>42364.555055682889</v>
      </c>
      <c r="J14" s="33"/>
      <c r="K14" s="57">
        <f t="shared" ref="K14:K18" si="8">K13</f>
        <v>72049.907000000007</v>
      </c>
      <c r="L14" s="70">
        <f t="shared" si="3"/>
        <v>6004.1589166666672</v>
      </c>
      <c r="M14" s="70">
        <f t="shared" si="4"/>
        <v>1883.7539727438516</v>
      </c>
      <c r="N14" s="70">
        <f t="shared" si="5"/>
        <v>22605.047672926219</v>
      </c>
      <c r="O14" s="73"/>
      <c r="P14" s="74"/>
    </row>
    <row r="15" spans="1:19" s="45" customFormat="1" ht="12.75" x14ac:dyDescent="0.2">
      <c r="A15" s="52">
        <v>9</v>
      </c>
      <c r="B15" s="53">
        <v>44440</v>
      </c>
      <c r="C15" s="56">
        <f t="shared" si="2"/>
        <v>42364.555055682889</v>
      </c>
      <c r="D15" s="42"/>
      <c r="E15" s="57">
        <f t="shared" si="7"/>
        <v>-4120.4049439228156</v>
      </c>
      <c r="F15" s="51"/>
      <c r="G15" s="57">
        <f t="shared" si="0"/>
        <v>130.31740668736612</v>
      </c>
      <c r="H15" s="51"/>
      <c r="I15" s="57">
        <f t="shared" si="1"/>
        <v>38374.46751844744</v>
      </c>
      <c r="J15" s="33"/>
      <c r="K15" s="57">
        <f t="shared" si="8"/>
        <v>72049.907000000007</v>
      </c>
      <c r="L15" s="70">
        <f t="shared" si="3"/>
        <v>6004.1589166666672</v>
      </c>
      <c r="M15" s="70">
        <f t="shared" si="4"/>
        <v>1883.7539727438516</v>
      </c>
      <c r="N15" s="70">
        <f t="shared" si="5"/>
        <v>22605.047672926219</v>
      </c>
      <c r="O15" s="73"/>
      <c r="P15" s="74"/>
    </row>
    <row r="16" spans="1:19" s="45" customFormat="1" ht="12.75" x14ac:dyDescent="0.2">
      <c r="A16" s="52">
        <v>10</v>
      </c>
      <c r="B16" s="53">
        <v>44470</v>
      </c>
      <c r="C16" s="56">
        <f t="shared" si="2"/>
        <v>38374.46751844744</v>
      </c>
      <c r="D16" s="42"/>
      <c r="E16" s="57">
        <f t="shared" si="7"/>
        <v>-4120.4049439228156</v>
      </c>
      <c r="F16" s="51"/>
      <c r="G16" s="57">
        <f t="shared" si="0"/>
        <v>117.41612365030484</v>
      </c>
      <c r="H16" s="51"/>
      <c r="I16" s="57">
        <f t="shared" si="1"/>
        <v>34371.478698174928</v>
      </c>
      <c r="J16" s="33"/>
      <c r="K16" s="57">
        <f t="shared" si="8"/>
        <v>72049.907000000007</v>
      </c>
      <c r="L16" s="70">
        <f t="shared" si="3"/>
        <v>6004.1589166666672</v>
      </c>
      <c r="M16" s="70">
        <f t="shared" si="4"/>
        <v>1883.7539727438516</v>
      </c>
      <c r="N16" s="70">
        <f t="shared" si="5"/>
        <v>22605.047672926219</v>
      </c>
      <c r="O16" s="73"/>
      <c r="P16" s="74"/>
    </row>
    <row r="17" spans="1:18" s="45" customFormat="1" ht="12.75" x14ac:dyDescent="0.2">
      <c r="A17" s="52">
        <v>11</v>
      </c>
      <c r="B17" s="53">
        <v>44501</v>
      </c>
      <c r="C17" s="56">
        <f t="shared" si="2"/>
        <v>34371.478698174928</v>
      </c>
      <c r="D17" s="42"/>
      <c r="E17" s="57">
        <f t="shared" si="7"/>
        <v>-4120.4049439228156</v>
      </c>
      <c r="F17" s="51"/>
      <c r="G17" s="57">
        <f t="shared" si="0"/>
        <v>104.47312646475704</v>
      </c>
      <c r="H17" s="51"/>
      <c r="I17" s="57">
        <f t="shared" si="1"/>
        <v>30355.546880716869</v>
      </c>
      <c r="J17" s="33"/>
      <c r="K17" s="57">
        <f t="shared" si="8"/>
        <v>72049.907000000007</v>
      </c>
      <c r="L17" s="70">
        <f t="shared" si="3"/>
        <v>6004.1589166666672</v>
      </c>
      <c r="M17" s="70">
        <f t="shared" si="4"/>
        <v>1883.7539727438516</v>
      </c>
      <c r="N17" s="70">
        <f t="shared" si="5"/>
        <v>22605.047672926219</v>
      </c>
      <c r="O17" s="73"/>
      <c r="P17" s="74"/>
    </row>
    <row r="18" spans="1:18" s="45" customFormat="1" ht="12.75" x14ac:dyDescent="0.2">
      <c r="A18" s="52">
        <v>12</v>
      </c>
      <c r="B18" s="58">
        <v>44531</v>
      </c>
      <c r="C18" s="56">
        <f t="shared" si="2"/>
        <v>30355.546880716869</v>
      </c>
      <c r="D18" s="42"/>
      <c r="E18" s="57">
        <f t="shared" si="7"/>
        <v>-4120.4049439228156</v>
      </c>
      <c r="F18" s="51"/>
      <c r="G18" s="57">
        <f t="shared" si="0"/>
        <v>91.48828025497599</v>
      </c>
      <c r="H18" s="51"/>
      <c r="I18" s="57">
        <f t="shared" si="1"/>
        <v>26326.630217049031</v>
      </c>
      <c r="J18" s="33"/>
      <c r="K18" s="57">
        <f t="shared" si="8"/>
        <v>72049.907000000007</v>
      </c>
      <c r="L18" s="70">
        <f t="shared" si="3"/>
        <v>6004.1589166666672</v>
      </c>
      <c r="M18" s="70">
        <f t="shared" si="4"/>
        <v>1883.7539727438516</v>
      </c>
      <c r="N18" s="70">
        <f t="shared" si="5"/>
        <v>22605.047672926219</v>
      </c>
      <c r="O18" s="73"/>
      <c r="P18" s="74"/>
    </row>
    <row r="19" spans="1:18" s="45" customFormat="1" ht="12.75" x14ac:dyDescent="0.2">
      <c r="A19" s="52"/>
      <c r="B19" s="59" t="s">
        <v>11</v>
      </c>
      <c r="C19" s="60"/>
      <c r="D19" s="61"/>
      <c r="E19" s="62">
        <f>SUM(E7:E18)</f>
        <v>-38175.732327073783</v>
      </c>
      <c r="F19" s="63"/>
      <c r="G19" s="62">
        <f>SUM(G7:G18)</f>
        <v>1837.295544122815</v>
      </c>
      <c r="H19" s="63"/>
      <c r="I19" s="62">
        <f>I18</f>
        <v>26326.630217049031</v>
      </c>
      <c r="J19" s="33"/>
      <c r="K19" s="57"/>
      <c r="L19" s="72"/>
      <c r="M19" s="33"/>
      <c r="N19" s="33"/>
    </row>
    <row r="20" spans="1:18" s="45" customFormat="1" ht="12.75" x14ac:dyDescent="0.2">
      <c r="A20" s="52"/>
      <c r="B20" s="64"/>
      <c r="C20" s="56"/>
      <c r="D20" s="42"/>
      <c r="E20" s="57"/>
      <c r="F20" s="51"/>
      <c r="G20" s="65"/>
      <c r="H20" s="51"/>
      <c r="I20" s="57"/>
      <c r="J20" s="33"/>
      <c r="K20" s="57"/>
      <c r="L20" s="72"/>
      <c r="M20" s="33"/>
      <c r="N20" s="33"/>
      <c r="O20" s="70"/>
      <c r="Q20" s="70"/>
      <c r="R20" s="72"/>
    </row>
    <row r="21" spans="1:18" s="45" customFormat="1" ht="12.75" x14ac:dyDescent="0.2">
      <c r="A21" s="52">
        <v>13</v>
      </c>
      <c r="B21" s="53">
        <v>44562</v>
      </c>
      <c r="C21" s="54">
        <f>I18</f>
        <v>26326.630217049031</v>
      </c>
      <c r="D21" s="42"/>
      <c r="E21" s="54">
        <f>M21-L21</f>
        <v>-2236.650971178964</v>
      </c>
      <c r="F21" s="51"/>
      <c r="G21" s="54">
        <f t="shared" ref="G21:G32" si="9">(C21+(E21)/2)*($G$5/12)</f>
        <v>81.506851965052547</v>
      </c>
      <c r="H21" s="51"/>
      <c r="I21" s="54">
        <f t="shared" ref="I21:I32" si="10">C21+E21+G21</f>
        <v>24171.486097835121</v>
      </c>
      <c r="J21" s="33"/>
      <c r="K21" s="57">
        <f>K18</f>
        <v>72049.907000000007</v>
      </c>
      <c r="L21" s="70">
        <f>K21/12</f>
        <v>6004.1589166666672</v>
      </c>
      <c r="M21" s="70">
        <f>N21/12</f>
        <v>3767.5079454877032</v>
      </c>
      <c r="N21" s="70">
        <f>N18*2</f>
        <v>45210.095345852438</v>
      </c>
      <c r="O21" s="73">
        <f>(N21-N18)/$O$4</f>
        <v>1.1292947727346382E-2</v>
      </c>
      <c r="P21" s="74"/>
      <c r="R21" s="72"/>
    </row>
    <row r="22" spans="1:18" s="45" customFormat="1" ht="12.75" x14ac:dyDescent="0.2">
      <c r="A22" s="52">
        <v>14</v>
      </c>
      <c r="B22" s="53">
        <v>44593</v>
      </c>
      <c r="C22" s="56">
        <f t="shared" ref="C22:C32" si="11">+I21</f>
        <v>24171.486097835121</v>
      </c>
      <c r="D22" s="42"/>
      <c r="E22" s="57">
        <f>E21</f>
        <v>-2236.650971178964</v>
      </c>
      <c r="F22" s="51"/>
      <c r="G22" s="57">
        <f t="shared" si="9"/>
        <v>74.538552646260896</v>
      </c>
      <c r="H22" s="51"/>
      <c r="I22" s="57">
        <f t="shared" si="10"/>
        <v>22009.373679302418</v>
      </c>
      <c r="J22" s="33"/>
      <c r="K22" s="57">
        <f t="shared" ref="K22:K32" si="12">K21</f>
        <v>72049.907000000007</v>
      </c>
      <c r="L22" s="70">
        <f t="shared" ref="L22:L32" si="13">K22/12</f>
        <v>6004.1589166666672</v>
      </c>
      <c r="M22" s="70">
        <f t="shared" ref="M22:M32" si="14">L22+E22</f>
        <v>3767.5079454877032</v>
      </c>
      <c r="N22" s="70">
        <f t="shared" ref="N22:N32" si="15">M22*12</f>
        <v>45210.095345852438</v>
      </c>
      <c r="O22" s="73"/>
      <c r="P22" s="74"/>
    </row>
    <row r="23" spans="1:18" s="45" customFormat="1" ht="12.75" x14ac:dyDescent="0.2">
      <c r="A23" s="52">
        <v>15</v>
      </c>
      <c r="B23" s="53">
        <v>44621</v>
      </c>
      <c r="C23" s="56">
        <f t="shared" si="11"/>
        <v>22009.373679302418</v>
      </c>
      <c r="D23" s="42"/>
      <c r="E23" s="57">
        <f t="shared" ref="E23:E32" si="16">E22</f>
        <v>-2236.650971178964</v>
      </c>
      <c r="F23" s="51"/>
      <c r="G23" s="57">
        <f t="shared" si="9"/>
        <v>67.547722493005168</v>
      </c>
      <c r="H23" s="51"/>
      <c r="I23" s="57">
        <f t="shared" si="10"/>
        <v>19840.270430616456</v>
      </c>
      <c r="J23" s="33"/>
      <c r="K23" s="57">
        <f t="shared" si="12"/>
        <v>72049.907000000007</v>
      </c>
      <c r="L23" s="70">
        <f t="shared" si="13"/>
        <v>6004.1589166666672</v>
      </c>
      <c r="M23" s="70">
        <f t="shared" si="14"/>
        <v>3767.5079454877032</v>
      </c>
      <c r="N23" s="70">
        <f t="shared" si="15"/>
        <v>45210.095345852438</v>
      </c>
      <c r="O23" s="73"/>
      <c r="P23" s="74"/>
    </row>
    <row r="24" spans="1:18" s="45" customFormat="1" ht="12.75" x14ac:dyDescent="0.2">
      <c r="A24" s="52">
        <v>16</v>
      </c>
      <c r="B24" s="53">
        <v>44652</v>
      </c>
      <c r="C24" s="56">
        <f t="shared" si="11"/>
        <v>19840.270430616456</v>
      </c>
      <c r="D24" s="42"/>
      <c r="E24" s="57">
        <f t="shared" si="16"/>
        <v>-2236.650971178964</v>
      </c>
      <c r="F24" s="51"/>
      <c r="G24" s="57">
        <f t="shared" si="9"/>
        <v>60.534288655587218</v>
      </c>
      <c r="H24" s="51"/>
      <c r="I24" s="57">
        <f t="shared" si="10"/>
        <v>17664.153748093078</v>
      </c>
      <c r="J24" s="33"/>
      <c r="K24" s="57">
        <f t="shared" si="12"/>
        <v>72049.907000000007</v>
      </c>
      <c r="L24" s="70">
        <f t="shared" si="13"/>
        <v>6004.1589166666672</v>
      </c>
      <c r="M24" s="70">
        <f t="shared" si="14"/>
        <v>3767.5079454877032</v>
      </c>
      <c r="N24" s="70">
        <f t="shared" si="15"/>
        <v>45210.095345852438</v>
      </c>
      <c r="O24" s="73"/>
      <c r="P24" s="74"/>
    </row>
    <row r="25" spans="1:18" s="45" customFormat="1" ht="12.75" x14ac:dyDescent="0.2">
      <c r="A25" s="52">
        <v>17</v>
      </c>
      <c r="B25" s="53">
        <v>44682</v>
      </c>
      <c r="C25" s="56">
        <f t="shared" si="11"/>
        <v>17664.153748093078</v>
      </c>
      <c r="D25" s="42"/>
      <c r="E25" s="57">
        <f t="shared" si="16"/>
        <v>-2236.650971178964</v>
      </c>
      <c r="F25" s="51"/>
      <c r="G25" s="57">
        <f t="shared" si="9"/>
        <v>53.498178048761631</v>
      </c>
      <c r="H25" s="51"/>
      <c r="I25" s="57">
        <f t="shared" si="10"/>
        <v>15481.000954962876</v>
      </c>
      <c r="J25" s="33"/>
      <c r="K25" s="57">
        <f t="shared" si="12"/>
        <v>72049.907000000007</v>
      </c>
      <c r="L25" s="70">
        <f t="shared" si="13"/>
        <v>6004.1589166666672</v>
      </c>
      <c r="M25" s="70">
        <f t="shared" si="14"/>
        <v>3767.5079454877032</v>
      </c>
      <c r="N25" s="70">
        <f t="shared" si="15"/>
        <v>45210.095345852438</v>
      </c>
      <c r="O25" s="73"/>
      <c r="P25" s="74"/>
    </row>
    <row r="26" spans="1:18" s="45" customFormat="1" ht="12.75" x14ac:dyDescent="0.2">
      <c r="A26" s="52">
        <v>18</v>
      </c>
      <c r="B26" s="53">
        <v>44713</v>
      </c>
      <c r="C26" s="56">
        <f t="shared" si="11"/>
        <v>15481.000954962876</v>
      </c>
      <c r="D26" s="42"/>
      <c r="E26" s="57">
        <f t="shared" si="16"/>
        <v>-2236.650971178964</v>
      </c>
      <c r="F26" s="51"/>
      <c r="G26" s="57">
        <f t="shared" si="9"/>
        <v>46.439317350973973</v>
      </c>
      <c r="H26" s="51"/>
      <c r="I26" s="57">
        <f t="shared" si="10"/>
        <v>13290.789301134886</v>
      </c>
      <c r="J26" s="33"/>
      <c r="K26" s="57">
        <f t="shared" si="12"/>
        <v>72049.907000000007</v>
      </c>
      <c r="L26" s="70">
        <f t="shared" si="13"/>
        <v>6004.1589166666672</v>
      </c>
      <c r="M26" s="70">
        <f t="shared" si="14"/>
        <v>3767.5079454877032</v>
      </c>
      <c r="N26" s="70">
        <f t="shared" si="15"/>
        <v>45210.095345852438</v>
      </c>
      <c r="O26" s="73"/>
      <c r="P26" s="74"/>
    </row>
    <row r="27" spans="1:18" s="45" customFormat="1" ht="12.75" x14ac:dyDescent="0.2">
      <c r="A27" s="52">
        <v>19</v>
      </c>
      <c r="B27" s="53">
        <v>44743</v>
      </c>
      <c r="C27" s="56">
        <f t="shared" si="11"/>
        <v>13290.789301134886</v>
      </c>
      <c r="D27" s="42"/>
      <c r="E27" s="57">
        <f t="shared" si="16"/>
        <v>-2236.650971178964</v>
      </c>
      <c r="F27" s="51"/>
      <c r="G27" s="57">
        <f t="shared" si="9"/>
        <v>39.35763300359681</v>
      </c>
      <c r="H27" s="51"/>
      <c r="I27" s="57">
        <f t="shared" si="10"/>
        <v>11093.49596295952</v>
      </c>
      <c r="J27" s="33"/>
      <c r="K27" s="57">
        <f t="shared" si="12"/>
        <v>72049.907000000007</v>
      </c>
      <c r="L27" s="70">
        <f t="shared" si="13"/>
        <v>6004.1589166666672</v>
      </c>
      <c r="M27" s="70">
        <f t="shared" si="14"/>
        <v>3767.5079454877032</v>
      </c>
      <c r="N27" s="70">
        <f t="shared" si="15"/>
        <v>45210.095345852438</v>
      </c>
      <c r="O27" s="73"/>
      <c r="P27" s="74"/>
    </row>
    <row r="28" spans="1:18" s="45" customFormat="1" ht="12.75" x14ac:dyDescent="0.2">
      <c r="A28" s="52">
        <v>20</v>
      </c>
      <c r="B28" s="53">
        <v>44774</v>
      </c>
      <c r="C28" s="56">
        <f t="shared" si="11"/>
        <v>11093.49596295952</v>
      </c>
      <c r="D28" s="42"/>
      <c r="E28" s="57">
        <f t="shared" si="16"/>
        <v>-2236.650971178964</v>
      </c>
      <c r="F28" s="51"/>
      <c r="G28" s="57">
        <f t="shared" si="9"/>
        <v>32.253051210163115</v>
      </c>
      <c r="H28" s="51"/>
      <c r="I28" s="57">
        <f t="shared" si="10"/>
        <v>8889.0980429907195</v>
      </c>
      <c r="J28" s="33"/>
      <c r="K28" s="57">
        <f t="shared" si="12"/>
        <v>72049.907000000007</v>
      </c>
      <c r="L28" s="70">
        <f t="shared" si="13"/>
        <v>6004.1589166666672</v>
      </c>
      <c r="M28" s="70">
        <f t="shared" si="14"/>
        <v>3767.5079454877032</v>
      </c>
      <c r="N28" s="70">
        <f t="shared" si="15"/>
        <v>45210.095345852438</v>
      </c>
      <c r="O28" s="73"/>
      <c r="P28" s="74"/>
    </row>
    <row r="29" spans="1:18" s="45" customFormat="1" ht="12.75" x14ac:dyDescent="0.2">
      <c r="A29" s="52">
        <v>21</v>
      </c>
      <c r="B29" s="53">
        <v>44805</v>
      </c>
      <c r="C29" s="56">
        <f t="shared" si="11"/>
        <v>8889.0980429907195</v>
      </c>
      <c r="D29" s="42"/>
      <c r="E29" s="57">
        <f t="shared" si="16"/>
        <v>-2236.650971178964</v>
      </c>
      <c r="F29" s="51"/>
      <c r="G29" s="57">
        <f t="shared" si="9"/>
        <v>25.125497935597334</v>
      </c>
      <c r="H29" s="51"/>
      <c r="I29" s="57">
        <f t="shared" si="10"/>
        <v>6677.5725697473526</v>
      </c>
      <c r="J29" s="33"/>
      <c r="K29" s="57">
        <f t="shared" si="12"/>
        <v>72049.907000000007</v>
      </c>
      <c r="L29" s="70">
        <f t="shared" si="13"/>
        <v>6004.1589166666672</v>
      </c>
      <c r="M29" s="70">
        <f t="shared" si="14"/>
        <v>3767.5079454877032</v>
      </c>
      <c r="N29" s="70">
        <f t="shared" si="15"/>
        <v>45210.095345852438</v>
      </c>
      <c r="O29" s="73"/>
      <c r="P29" s="74"/>
    </row>
    <row r="30" spans="1:18" s="45" customFormat="1" ht="12.75" x14ac:dyDescent="0.2">
      <c r="A30" s="52">
        <v>22</v>
      </c>
      <c r="B30" s="53">
        <v>44835</v>
      </c>
      <c r="C30" s="56">
        <f t="shared" si="11"/>
        <v>6677.5725697473526</v>
      </c>
      <c r="D30" s="42"/>
      <c r="E30" s="57">
        <f t="shared" si="16"/>
        <v>-2236.650971178964</v>
      </c>
      <c r="F30" s="51"/>
      <c r="G30" s="57">
        <f t="shared" si="9"/>
        <v>17.97489890544378</v>
      </c>
      <c r="H30" s="51"/>
      <c r="I30" s="57">
        <f t="shared" si="10"/>
        <v>4458.8964974738328</v>
      </c>
      <c r="J30" s="33"/>
      <c r="K30" s="57">
        <f t="shared" si="12"/>
        <v>72049.907000000007</v>
      </c>
      <c r="L30" s="70">
        <f t="shared" si="13"/>
        <v>6004.1589166666672</v>
      </c>
      <c r="M30" s="70">
        <f t="shared" si="14"/>
        <v>3767.5079454877032</v>
      </c>
      <c r="N30" s="70">
        <f t="shared" si="15"/>
        <v>45210.095345852438</v>
      </c>
      <c r="O30" s="73"/>
      <c r="P30" s="74"/>
    </row>
    <row r="31" spans="1:18" s="45" customFormat="1" ht="12.75" x14ac:dyDescent="0.2">
      <c r="A31" s="52">
        <v>23</v>
      </c>
      <c r="B31" s="53">
        <v>44866</v>
      </c>
      <c r="C31" s="56">
        <f t="shared" si="11"/>
        <v>4458.8964974738328</v>
      </c>
      <c r="D31" s="42"/>
      <c r="E31" s="57">
        <f t="shared" si="16"/>
        <v>-2236.650971178964</v>
      </c>
      <c r="F31" s="51"/>
      <c r="G31" s="57">
        <f t="shared" si="9"/>
        <v>10.801179605092734</v>
      </c>
      <c r="H31" s="51"/>
      <c r="I31" s="57">
        <f t="shared" si="10"/>
        <v>2233.0467058999616</v>
      </c>
      <c r="J31" s="33"/>
      <c r="K31" s="57">
        <f t="shared" si="12"/>
        <v>72049.907000000007</v>
      </c>
      <c r="L31" s="70">
        <f t="shared" si="13"/>
        <v>6004.1589166666672</v>
      </c>
      <c r="M31" s="70">
        <f t="shared" si="14"/>
        <v>3767.5079454877032</v>
      </c>
      <c r="N31" s="70">
        <f t="shared" si="15"/>
        <v>45210.095345852438</v>
      </c>
      <c r="O31" s="73"/>
      <c r="P31" s="74"/>
    </row>
    <row r="32" spans="1:18" s="45" customFormat="1" ht="12.75" x14ac:dyDescent="0.2">
      <c r="A32" s="52">
        <v>24</v>
      </c>
      <c r="B32" s="58">
        <v>44896</v>
      </c>
      <c r="C32" s="56">
        <f t="shared" si="11"/>
        <v>2233.0467058999616</v>
      </c>
      <c r="D32" s="42"/>
      <c r="E32" s="57">
        <f t="shared" si="16"/>
        <v>-2236.650971178964</v>
      </c>
      <c r="F32" s="51"/>
      <c r="G32" s="57">
        <f t="shared" si="9"/>
        <v>3.6042652790038838</v>
      </c>
      <c r="H32" s="51"/>
      <c r="I32" s="76">
        <f t="shared" si="10"/>
        <v>1.4361845046551025E-12</v>
      </c>
      <c r="J32" s="33"/>
      <c r="K32" s="57">
        <f t="shared" si="12"/>
        <v>72049.907000000007</v>
      </c>
      <c r="L32" s="70">
        <f t="shared" si="13"/>
        <v>6004.1589166666672</v>
      </c>
      <c r="M32" s="70">
        <f t="shared" si="14"/>
        <v>3767.5079454877032</v>
      </c>
      <c r="N32" s="70">
        <f t="shared" si="15"/>
        <v>45210.095345852438</v>
      </c>
      <c r="O32" s="73"/>
      <c r="P32" s="74"/>
    </row>
    <row r="33" spans="1:20" s="45" customFormat="1" ht="12.75" x14ac:dyDescent="0.2">
      <c r="A33" s="52"/>
      <c r="B33" s="59" t="s">
        <v>11</v>
      </c>
      <c r="C33" s="60"/>
      <c r="D33" s="61"/>
      <c r="E33" s="62">
        <f>SUM(E21:E32)</f>
        <v>-26839.811654147561</v>
      </c>
      <c r="F33" s="63"/>
      <c r="G33" s="62">
        <f>SUM(G21:G32)</f>
        <v>513.18143709853905</v>
      </c>
      <c r="H33" s="63"/>
      <c r="I33" s="62">
        <f>I32</f>
        <v>1.4361845046551025E-12</v>
      </c>
      <c r="J33" s="33"/>
      <c r="K33" s="57"/>
      <c r="L33" s="72"/>
      <c r="M33" s="33"/>
    </row>
    <row r="34" spans="1:20" s="45" customFormat="1" ht="12.75" x14ac:dyDescent="0.2">
      <c r="A34" s="52"/>
      <c r="B34" s="64"/>
      <c r="C34" s="56"/>
      <c r="D34" s="42"/>
      <c r="E34" s="57"/>
      <c r="F34" s="51"/>
      <c r="G34" s="65"/>
      <c r="H34" s="51"/>
      <c r="I34" s="57"/>
      <c r="J34" s="33"/>
      <c r="K34" s="57"/>
      <c r="L34" s="72"/>
      <c r="M34" s="33"/>
      <c r="O34" s="73">
        <f>-E33/O4</f>
        <v>1.3408535757486165E-2</v>
      </c>
      <c r="P34" s="33"/>
      <c r="Q34" s="70"/>
      <c r="R34" s="33"/>
      <c r="S34" s="33"/>
      <c r="T34" s="33"/>
    </row>
    <row r="35" spans="1:20" s="33" customFormat="1" ht="12.75" x14ac:dyDescent="0.2">
      <c r="A35" s="66" t="s">
        <v>61</v>
      </c>
      <c r="B35" s="78" t="s">
        <v>65</v>
      </c>
      <c r="C35" s="78"/>
      <c r="D35" s="78"/>
      <c r="E35" s="78"/>
      <c r="F35" s="78"/>
      <c r="G35" s="78"/>
      <c r="H35" s="78"/>
      <c r="I35" s="78"/>
      <c r="K35" s="57"/>
      <c r="L35" s="72"/>
    </row>
    <row r="36" spans="1:20" s="33" customFormat="1" ht="12.75" x14ac:dyDescent="0.2">
      <c r="K36" s="57"/>
      <c r="L36" s="72"/>
    </row>
    <row r="37" spans="1:20" s="33" customFormat="1" ht="12.75" x14ac:dyDescent="0.2">
      <c r="K37" s="57"/>
      <c r="L37" s="72"/>
    </row>
    <row r="38" spans="1:20" s="33" customFormat="1" ht="12.75" x14ac:dyDescent="0.2">
      <c r="K38" s="57"/>
      <c r="L38" s="72"/>
    </row>
    <row r="39" spans="1:20" s="33" customFormat="1" ht="12.75" x14ac:dyDescent="0.2">
      <c r="K39" s="57"/>
      <c r="L39" s="72"/>
    </row>
    <row r="40" spans="1:20" s="33" customFormat="1" ht="12.75" x14ac:dyDescent="0.2">
      <c r="K40" s="57"/>
      <c r="L40" s="72"/>
    </row>
    <row r="41" spans="1:20" s="33" customFormat="1" ht="12.75" x14ac:dyDescent="0.2">
      <c r="K41" s="57"/>
      <c r="L41" s="72"/>
    </row>
    <row r="42" spans="1:20" s="33" customFormat="1" ht="12.75" x14ac:dyDescent="0.2">
      <c r="K42" s="57"/>
      <c r="L42" s="72"/>
    </row>
    <row r="43" spans="1:20" s="33" customFormat="1" ht="12.75" x14ac:dyDescent="0.2">
      <c r="K43" s="57"/>
      <c r="L43" s="72"/>
    </row>
    <row r="44" spans="1:20" s="33" customFormat="1" ht="12.75" x14ac:dyDescent="0.2">
      <c r="K44" s="57"/>
      <c r="L44" s="72"/>
    </row>
    <row r="45" spans="1:20" s="33" customFormat="1" ht="12.75" x14ac:dyDescent="0.2">
      <c r="K45" s="57"/>
      <c r="L45" s="72"/>
    </row>
    <row r="46" spans="1:20" x14ac:dyDescent="0.2">
      <c r="A46" s="67"/>
      <c r="J46" s="33"/>
      <c r="K46" s="57"/>
      <c r="L46" s="72"/>
      <c r="M46" s="33"/>
    </row>
    <row r="47" spans="1:20" x14ac:dyDescent="0.2">
      <c r="A47" s="67"/>
      <c r="J47" s="33"/>
      <c r="K47" s="57"/>
      <c r="L47" s="72"/>
      <c r="M47" s="33"/>
    </row>
    <row r="48" spans="1:20" x14ac:dyDescent="0.2">
      <c r="A48" s="67"/>
      <c r="J48" s="33"/>
      <c r="K48" s="57"/>
      <c r="L48" s="72"/>
      <c r="M48" s="33"/>
    </row>
    <row r="49" spans="1:13" x14ac:dyDescent="0.2">
      <c r="A49" s="67"/>
      <c r="J49" s="33"/>
      <c r="K49" s="57"/>
      <c r="L49" s="72"/>
      <c r="M49" s="33"/>
    </row>
    <row r="50" spans="1:13" x14ac:dyDescent="0.2">
      <c r="A50" s="67"/>
      <c r="J50" s="33"/>
      <c r="K50" s="33"/>
      <c r="L50" s="33"/>
      <c r="M50" s="33"/>
    </row>
    <row r="51" spans="1:13" x14ac:dyDescent="0.2">
      <c r="A51" s="67"/>
      <c r="J51" s="33"/>
      <c r="K51" s="33"/>
      <c r="L51" s="33"/>
      <c r="M51" s="33"/>
    </row>
    <row r="52" spans="1:13" x14ac:dyDescent="0.2">
      <c r="A52" s="67"/>
      <c r="J52" s="33"/>
      <c r="K52" s="33"/>
      <c r="L52" s="33"/>
      <c r="M52" s="33"/>
    </row>
    <row r="53" spans="1:13" x14ac:dyDescent="0.2">
      <c r="A53" s="67"/>
      <c r="J53" s="33"/>
      <c r="K53" s="33"/>
      <c r="L53" s="33"/>
      <c r="M53" s="33"/>
    </row>
    <row r="54" spans="1:13" x14ac:dyDescent="0.2">
      <c r="A54" s="67"/>
      <c r="J54" s="33"/>
      <c r="K54" s="33"/>
      <c r="L54" s="33"/>
      <c r="M54" s="33"/>
    </row>
    <row r="55" spans="1:13" x14ac:dyDescent="0.2">
      <c r="A55" s="67"/>
      <c r="J55" s="33"/>
      <c r="K55" s="33"/>
      <c r="L55" s="33"/>
      <c r="M55" s="33"/>
    </row>
    <row r="56" spans="1:13" x14ac:dyDescent="0.2">
      <c r="A56" s="67"/>
      <c r="J56" s="33"/>
      <c r="K56" s="33"/>
      <c r="L56" s="33"/>
      <c r="M56" s="33"/>
    </row>
    <row r="57" spans="1:13" x14ac:dyDescent="0.2">
      <c r="A57" s="67"/>
      <c r="J57" s="33"/>
      <c r="K57" s="33"/>
      <c r="L57" s="33"/>
      <c r="M57" s="33"/>
    </row>
    <row r="58" spans="1:13" x14ac:dyDescent="0.2">
      <c r="A58" s="67"/>
      <c r="J58" s="33"/>
      <c r="K58" s="33"/>
      <c r="L58" s="33"/>
      <c r="M58" s="33"/>
    </row>
    <row r="59" spans="1:13" x14ac:dyDescent="0.2">
      <c r="A59" s="67"/>
      <c r="J59" s="33"/>
      <c r="K59" s="33"/>
      <c r="L59" s="33"/>
      <c r="M59" s="33"/>
    </row>
  </sheetData>
  <mergeCells count="2">
    <mergeCell ref="A6:B6"/>
    <mergeCell ref="B35:I35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TCJA Summary</vt:lpstr>
      <vt:lpstr>Schedule 197</vt:lpstr>
      <vt:lpstr>'Schedule 197'!Print_Area</vt:lpstr>
      <vt:lpstr>'TCJA Summary'!Print_Area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Fred Nass</cp:lastModifiedBy>
  <cp:lastPrinted>2020-10-03T22:36:14Z</cp:lastPrinted>
  <dcterms:created xsi:type="dcterms:W3CDTF">2020-04-27T19:00:56Z</dcterms:created>
  <dcterms:modified xsi:type="dcterms:W3CDTF">2020-10-06T16:08:29Z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