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1595" tabRatio="782"/>
  </bookViews>
  <sheets>
    <sheet name="RMM-7R_pg1" sheetId="8" r:id="rId1"/>
    <sheet name="RMM-7R_pg2" sheetId="3" r:id="rId2"/>
    <sheet name="RMM-7R_pg3-4" sheetId="1" r:id="rId3"/>
    <sheet name="RMM-7R_pg5" sheetId="2" r:id="rId4"/>
    <sheet name="Not Exhibits&gt;" sheetId="19" r:id="rId5"/>
    <sheet name="COS" sheetId="18" r:id="rId6"/>
    <sheet name="AreaLightsByClass" sheetId="10" r:id="rId7"/>
  </sheets>
  <definedNames>
    <definedName name="_xlnm._FilterDatabase" localSheetId="2" hidden="1">'RMM-7R_pg3-4'!$B$9:$T$9</definedName>
    <definedName name="_xlnm.Print_Area" localSheetId="0">'RMM-7R_pg1'!$A$1:$O$56</definedName>
    <definedName name="_xlnm.Print_Area" localSheetId="1">'RMM-7R_pg2'!$A$1:$S$39</definedName>
    <definedName name="_xlnm.Print_Area" localSheetId="2">'RMM-7R_pg3-4'!$A$1:$U$145</definedName>
    <definedName name="_xlnm.Print_Area" localSheetId="3">'RMM-7R_pg5'!$A$1:$I$35</definedName>
    <definedName name="_xlnm.Print_Titles" localSheetId="0">'RMM-7R_pg1'!$3:$8</definedName>
    <definedName name="_xlnm.Print_Titles" localSheetId="2">'RMM-7R_pg3-4'!$1:$9</definedName>
  </definedNames>
  <calcPr calcId="152511" iterate="1" iterateCount="10000"/>
</workbook>
</file>

<file path=xl/calcChain.xml><?xml version="1.0" encoding="utf-8"?>
<calcChain xmlns="http://schemas.openxmlformats.org/spreadsheetml/2006/main">
  <c r="O37" i="3" l="1"/>
  <c r="P37" i="3"/>
  <c r="Q37" i="3"/>
  <c r="O34" i="3"/>
  <c r="P34" i="3"/>
  <c r="Q34" i="3"/>
  <c r="Q30" i="3"/>
  <c r="P30" i="3"/>
  <c r="O30" i="3"/>
  <c r="Q22" i="3"/>
  <c r="P22" i="3"/>
  <c r="O22" i="3"/>
  <c r="R33" i="3"/>
  <c r="R32" i="3"/>
  <c r="R31" i="3"/>
  <c r="R29" i="3"/>
  <c r="R28" i="3"/>
  <c r="R27" i="3"/>
  <c r="R26" i="3"/>
  <c r="R25" i="3"/>
  <c r="R24" i="3"/>
  <c r="R23" i="3"/>
  <c r="R21" i="3"/>
  <c r="Q33" i="3"/>
  <c r="Q32" i="3"/>
  <c r="Q31" i="3"/>
  <c r="Q29" i="3"/>
  <c r="Q28" i="3"/>
  <c r="Q27" i="3"/>
  <c r="Q26" i="3"/>
  <c r="Q25" i="3"/>
  <c r="Q24" i="3"/>
  <c r="Q23" i="3"/>
  <c r="Q21" i="3"/>
  <c r="P33" i="3"/>
  <c r="O33" i="3"/>
  <c r="P32" i="3"/>
  <c r="O32" i="3"/>
  <c r="P31" i="3"/>
  <c r="O31" i="3"/>
  <c r="P29" i="3"/>
  <c r="O29" i="3"/>
  <c r="P28" i="3"/>
  <c r="O28" i="3"/>
  <c r="P27" i="3"/>
  <c r="O27" i="3"/>
  <c r="P26" i="3"/>
  <c r="O26" i="3"/>
  <c r="P25" i="3"/>
  <c r="O25" i="3"/>
  <c r="P24" i="3"/>
  <c r="O24" i="3"/>
  <c r="P23" i="3"/>
  <c r="O23" i="3"/>
  <c r="P21" i="3"/>
  <c r="O21" i="3"/>
  <c r="R17" i="3"/>
  <c r="Q17" i="3"/>
  <c r="P17" i="3"/>
  <c r="O17" i="3"/>
  <c r="R16" i="3"/>
  <c r="Q16" i="3"/>
  <c r="P16" i="3"/>
  <c r="O16" i="3"/>
  <c r="Q15" i="3"/>
  <c r="P15" i="3"/>
  <c r="O15" i="3"/>
  <c r="R34" i="3" l="1"/>
  <c r="R30" i="3"/>
  <c r="R22" i="3"/>
  <c r="R15" i="3"/>
  <c r="K140" i="1"/>
  <c r="B27" i="3" l="1"/>
  <c r="B34" i="3" s="1"/>
  <c r="B28" i="3"/>
  <c r="B29" i="3"/>
  <c r="B30" i="3"/>
  <c r="B31" i="3"/>
  <c r="B32" i="3"/>
  <c r="B33" i="3"/>
  <c r="B15" i="3"/>
  <c r="C37" i="3" l="1"/>
  <c r="O138" i="1" l="1"/>
  <c r="O137" i="1"/>
  <c r="O136" i="1"/>
  <c r="O135" i="1"/>
  <c r="O133" i="1"/>
  <c r="O132" i="1"/>
  <c r="O131" i="1"/>
  <c r="O130" i="1"/>
  <c r="O129" i="1"/>
  <c r="O127" i="1"/>
  <c r="O126" i="1"/>
  <c r="O124" i="1"/>
  <c r="O123" i="1"/>
  <c r="O121" i="1"/>
  <c r="O119" i="1"/>
  <c r="O118" i="1"/>
  <c r="O117" i="1"/>
  <c r="O116" i="1"/>
  <c r="O115" i="1"/>
  <c r="O114" i="1"/>
  <c r="O113" i="1"/>
  <c r="O111" i="1"/>
  <c r="O110" i="1"/>
  <c r="O109" i="1"/>
  <c r="O108" i="1"/>
  <c r="O107" i="1"/>
  <c r="O106" i="1"/>
  <c r="O105" i="1"/>
  <c r="O104" i="1"/>
  <c r="O103" i="1"/>
  <c r="O102" i="1"/>
  <c r="O100" i="1"/>
  <c r="O99" i="1"/>
  <c r="O98" i="1"/>
  <c r="O96" i="1"/>
  <c r="O95" i="1"/>
  <c r="O93" i="1"/>
  <c r="O92" i="1"/>
  <c r="O91" i="1"/>
  <c r="O90" i="1"/>
  <c r="O89" i="1"/>
  <c r="O87" i="1"/>
  <c r="O86" i="1"/>
  <c r="O85" i="1"/>
  <c r="O84" i="1"/>
  <c r="O83" i="1"/>
  <c r="O81" i="1"/>
  <c r="O79" i="1"/>
  <c r="O78" i="1"/>
  <c r="O76" i="1"/>
  <c r="O75" i="1"/>
  <c r="O74" i="1"/>
  <c r="O73" i="1"/>
  <c r="O71" i="1"/>
  <c r="O70" i="1"/>
  <c r="O69" i="1"/>
  <c r="O68" i="1"/>
  <c r="O67" i="1"/>
  <c r="O66" i="1"/>
  <c r="O64" i="1"/>
  <c r="O63" i="1"/>
  <c r="O62" i="1"/>
  <c r="O61" i="1"/>
  <c r="O60" i="1"/>
  <c r="O59" i="1"/>
  <c r="O58" i="1"/>
  <c r="O57" i="1"/>
  <c r="O56" i="1"/>
  <c r="O55" i="1"/>
  <c r="O54" i="1"/>
  <c r="O53" i="1"/>
  <c r="O52" i="1"/>
  <c r="O51" i="1"/>
  <c r="O50" i="1"/>
  <c r="O48" i="1"/>
  <c r="O47" i="1"/>
  <c r="O46" i="1"/>
  <c r="O45" i="1"/>
  <c r="O44" i="1"/>
  <c r="O43" i="1"/>
  <c r="O42" i="1"/>
  <c r="O41" i="1"/>
  <c r="O39" i="1"/>
  <c r="O38" i="1"/>
  <c r="O37" i="1"/>
  <c r="O36" i="1"/>
  <c r="O35" i="1"/>
  <c r="O34" i="1"/>
  <c r="O33" i="1"/>
  <c r="O31" i="1"/>
  <c r="O30" i="1"/>
  <c r="O29" i="1"/>
  <c r="O28" i="1"/>
  <c r="O27" i="1"/>
  <c r="O26" i="1"/>
  <c r="O24" i="1"/>
  <c r="O23" i="1"/>
  <c r="O22" i="1"/>
  <c r="O21" i="1"/>
  <c r="O20" i="1"/>
  <c r="O19" i="1"/>
  <c r="O18" i="1"/>
  <c r="O17" i="1"/>
  <c r="O16" i="1"/>
  <c r="O15" i="1"/>
  <c r="O14" i="1"/>
  <c r="O12" i="1"/>
  <c r="O11" i="1"/>
  <c r="O55" i="8" l="1"/>
  <c r="N55" i="8"/>
  <c r="K55" i="8"/>
  <c r="J55" i="8"/>
  <c r="I55" i="8"/>
  <c r="H55" i="8"/>
  <c r="G55" i="8"/>
  <c r="F55" i="8"/>
  <c r="E55" i="8"/>
  <c r="O54" i="8"/>
  <c r="N54" i="8"/>
  <c r="K54" i="8"/>
  <c r="J54" i="8"/>
  <c r="I54" i="8"/>
  <c r="H54" i="8"/>
  <c r="G54" i="8"/>
  <c r="F54" i="8"/>
  <c r="E54" i="8"/>
  <c r="I107" i="1" l="1"/>
  <c r="C55" i="8"/>
  <c r="T143" i="1" l="1"/>
  <c r="G44" i="1" l="1"/>
  <c r="G42" i="1"/>
  <c r="H18" i="10"/>
  <c r="I18" i="10"/>
  <c r="H19" i="10"/>
  <c r="I19" i="10"/>
  <c r="I17" i="10"/>
  <c r="H17" i="10"/>
  <c r="I16" i="10"/>
  <c r="I15" i="10"/>
  <c r="I14" i="10"/>
  <c r="H16" i="10"/>
  <c r="H15" i="10"/>
  <c r="H14" i="10"/>
  <c r="I96" i="1" l="1"/>
  <c r="I98" i="1"/>
  <c r="I99" i="1"/>
  <c r="I100" i="1"/>
  <c r="I102" i="1"/>
  <c r="I103" i="1"/>
  <c r="I104" i="1"/>
  <c r="I105" i="1"/>
  <c r="I106" i="1"/>
  <c r="I108" i="1"/>
  <c r="I109" i="1"/>
  <c r="I110" i="1"/>
  <c r="I111" i="1"/>
  <c r="I113" i="1"/>
  <c r="I114" i="1"/>
  <c r="I115" i="1"/>
  <c r="I116" i="1"/>
  <c r="I117" i="1"/>
  <c r="I118" i="1"/>
  <c r="I119" i="1"/>
  <c r="I121" i="1"/>
  <c r="I123" i="1"/>
  <c r="I124" i="1"/>
  <c r="I126" i="1"/>
  <c r="I127" i="1"/>
  <c r="I129" i="1"/>
  <c r="I130" i="1"/>
  <c r="I131" i="1"/>
  <c r="I132" i="1"/>
  <c r="I133" i="1"/>
  <c r="I135" i="1"/>
  <c r="I136" i="1"/>
  <c r="I137" i="1"/>
  <c r="I138" i="1"/>
  <c r="I95" i="1"/>
  <c r="I84" i="1"/>
  <c r="I85" i="1"/>
  <c r="I86" i="1"/>
  <c r="I87" i="1"/>
  <c r="I89" i="1"/>
  <c r="I90" i="1"/>
  <c r="I91" i="1"/>
  <c r="I92" i="1"/>
  <c r="I83" i="1"/>
  <c r="F37" i="3"/>
  <c r="L37" i="3"/>
  <c r="L35" i="3"/>
  <c r="K37" i="3"/>
  <c r="K35" i="3"/>
  <c r="J37" i="3"/>
  <c r="J35" i="3"/>
  <c r="I37" i="3"/>
  <c r="I35" i="3"/>
  <c r="H37" i="3"/>
  <c r="H35" i="3"/>
  <c r="G37" i="3"/>
  <c r="G35" i="3"/>
  <c r="F35" i="3"/>
  <c r="E24" i="3"/>
  <c r="E27" i="3"/>
  <c r="E28" i="3"/>
  <c r="E30" i="3"/>
  <c r="E31" i="3"/>
  <c r="E33" i="3"/>
  <c r="E34" i="3"/>
  <c r="E21" i="3"/>
  <c r="E15" i="3"/>
  <c r="E16" i="3"/>
  <c r="E17" i="3"/>
  <c r="D26" i="2"/>
  <c r="D25" i="2"/>
  <c r="D23" i="2"/>
  <c r="D22" i="2"/>
  <c r="J18" i="3"/>
  <c r="I18" i="3"/>
  <c r="H18" i="3"/>
  <c r="G18" i="3"/>
  <c r="F18" i="3"/>
  <c r="L18" i="3"/>
  <c r="K18" i="3"/>
  <c r="V93" i="1" l="1"/>
  <c r="E31" i="2"/>
  <c r="X102" i="1" l="1"/>
  <c r="X110" i="1"/>
  <c r="X118" i="1"/>
  <c r="X130" i="1"/>
  <c r="X133" i="1"/>
  <c r="X95" i="1"/>
  <c r="X91" i="1"/>
  <c r="X117" i="1"/>
  <c r="X83" i="1"/>
  <c r="X106" i="1"/>
  <c r="X115" i="1"/>
  <c r="X87" i="1"/>
  <c r="X114" i="1"/>
  <c r="X90" i="1"/>
  <c r="X96" i="1"/>
  <c r="X103" i="1"/>
  <c r="X111" i="1"/>
  <c r="X119" i="1"/>
  <c r="X124" i="1"/>
  <c r="X135" i="1"/>
  <c r="X92" i="1"/>
  <c r="X99" i="1"/>
  <c r="X123" i="1"/>
  <c r="X86" i="1"/>
  <c r="X131" i="1"/>
  <c r="X84" i="1"/>
  <c r="X136" i="1"/>
  <c r="X93" i="1"/>
  <c r="X129" i="1"/>
  <c r="X98" i="1"/>
  <c r="X108" i="1"/>
  <c r="X113" i="1"/>
  <c r="X116" i="1"/>
  <c r="X121" i="1"/>
  <c r="X126" i="1"/>
  <c r="X89" i="1"/>
  <c r="X104" i="1"/>
  <c r="X85" i="1"/>
  <c r="X109" i="1"/>
  <c r="X132" i="1"/>
  <c r="X137" i="1"/>
  <c r="X105" i="1"/>
  <c r="W106" i="1"/>
  <c r="W115" i="1"/>
  <c r="W87" i="1"/>
  <c r="W83" i="1"/>
  <c r="W92" i="1"/>
  <c r="W109" i="1"/>
  <c r="W86" i="1"/>
  <c r="W130" i="1"/>
  <c r="W96" i="1"/>
  <c r="W103" i="1"/>
  <c r="W111" i="1"/>
  <c r="W119" i="1"/>
  <c r="W124" i="1"/>
  <c r="W135" i="1"/>
  <c r="W95" i="1"/>
  <c r="W117" i="1"/>
  <c r="W90" i="1"/>
  <c r="W133" i="1"/>
  <c r="W131" i="1"/>
  <c r="W84" i="1"/>
  <c r="W99" i="1"/>
  <c r="W132" i="1"/>
  <c r="W137" i="1"/>
  <c r="W98" i="1"/>
  <c r="W108" i="1"/>
  <c r="W113" i="1"/>
  <c r="W116" i="1"/>
  <c r="W121" i="1"/>
  <c r="W126" i="1"/>
  <c r="W89" i="1"/>
  <c r="W114" i="1"/>
  <c r="W105" i="1"/>
  <c r="W91" i="1"/>
  <c r="W104" i="1"/>
  <c r="W136" i="1"/>
  <c r="W85" i="1"/>
  <c r="W93" i="1"/>
  <c r="W129" i="1"/>
  <c r="W118" i="1"/>
  <c r="W123" i="1"/>
  <c r="W102" i="1"/>
  <c r="W110" i="1"/>
  <c r="R37" i="3"/>
  <c r="S93" i="1" s="1"/>
  <c r="S98" i="1" s="1"/>
  <c r="T98" i="1" s="1"/>
  <c r="H7" i="10"/>
  <c r="H6" i="10"/>
  <c r="H5" i="10"/>
  <c r="V98" i="1" l="1"/>
  <c r="F31" i="2"/>
  <c r="S104" i="1"/>
  <c r="S113" i="1"/>
  <c r="T113" i="1" s="1"/>
  <c r="S108" i="1"/>
  <c r="S89" i="1"/>
  <c r="S124" i="1"/>
  <c r="S133" i="1"/>
  <c r="T133" i="1" s="1"/>
  <c r="S105" i="1"/>
  <c r="T105" i="1" s="1"/>
  <c r="S130" i="1"/>
  <c r="T130" i="1" s="1"/>
  <c r="S86" i="1"/>
  <c r="T86" i="1" s="1"/>
  <c r="S114" i="1"/>
  <c r="T114" i="1" s="1"/>
  <c r="S116" i="1"/>
  <c r="S92" i="1"/>
  <c r="T92" i="1" s="1"/>
  <c r="S85" i="1"/>
  <c r="T85" i="1" s="1"/>
  <c r="S118" i="1"/>
  <c r="T118" i="1" s="1"/>
  <c r="S95" i="1"/>
  <c r="T95" i="1" s="1"/>
  <c r="T93" i="1"/>
  <c r="S99" i="1"/>
  <c r="T99" i="1" s="1"/>
  <c r="S136" i="1"/>
  <c r="S90" i="1"/>
  <c r="T90" i="1" s="1"/>
  <c r="S111" i="1"/>
  <c r="T111" i="1" s="1"/>
  <c r="S131" i="1"/>
  <c r="S84" i="1"/>
  <c r="T84" i="1" s="1"/>
  <c r="S87" i="1"/>
  <c r="T87" i="1" s="1"/>
  <c r="S115" i="1"/>
  <c r="S135" i="1"/>
  <c r="T135" i="1" s="1"/>
  <c r="S91" i="1"/>
  <c r="T91" i="1" s="1"/>
  <c r="S123" i="1"/>
  <c r="S126" i="1"/>
  <c r="T126" i="1" s="1"/>
  <c r="S106" i="1"/>
  <c r="T106" i="1" s="1"/>
  <c r="S137" i="1"/>
  <c r="T137" i="1" s="1"/>
  <c r="S132" i="1"/>
  <c r="S121" i="1"/>
  <c r="T121" i="1" s="1"/>
  <c r="S109" i="1"/>
  <c r="T109" i="1" s="1"/>
  <c r="S96" i="1"/>
  <c r="S110" i="1"/>
  <c r="T110" i="1" s="1"/>
  <c r="S102" i="1"/>
  <c r="T102" i="1" s="1"/>
  <c r="S119" i="1"/>
  <c r="T119" i="1" s="1"/>
  <c r="S83" i="1"/>
  <c r="S103" i="1"/>
  <c r="T103" i="1" s="1"/>
  <c r="S129" i="1"/>
  <c r="T129" i="1" s="1"/>
  <c r="S117" i="1"/>
  <c r="T117" i="1" s="1"/>
  <c r="V111" i="1" l="1"/>
  <c r="V118" i="1"/>
  <c r="V105" i="1"/>
  <c r="V133" i="1"/>
  <c r="V121" i="1"/>
  <c r="V135" i="1"/>
  <c r="T115" i="1"/>
  <c r="V115" i="1"/>
  <c r="V129" i="1"/>
  <c r="V99" i="1"/>
  <c r="V113" i="1"/>
  <c r="T132" i="1"/>
  <c r="V132" i="1"/>
  <c r="V110" i="1"/>
  <c r="V106" i="1"/>
  <c r="V87" i="1"/>
  <c r="V86" i="1"/>
  <c r="V84" i="1"/>
  <c r="V90" i="1"/>
  <c r="V85" i="1"/>
  <c r="T136" i="1"/>
  <c r="V136" i="1"/>
  <c r="T131" i="1"/>
  <c r="V131" i="1"/>
  <c r="T124" i="1"/>
  <c r="V124" i="1"/>
  <c r="V95" i="1"/>
  <c r="V119" i="1"/>
  <c r="V91" i="1"/>
  <c r="V126" i="1"/>
  <c r="T96" i="1"/>
  <c r="V96" i="1"/>
  <c r="T83" i="1"/>
  <c r="V83" i="1"/>
  <c r="T89" i="1"/>
  <c r="V89" i="1"/>
  <c r="V137" i="1"/>
  <c r="V130" i="1"/>
  <c r="V102" i="1"/>
  <c r="V103" i="1"/>
  <c r="T104" i="1"/>
  <c r="V104" i="1"/>
  <c r="T123" i="1"/>
  <c r="V123" i="1"/>
  <c r="T116" i="1"/>
  <c r="V116" i="1"/>
  <c r="T108" i="1"/>
  <c r="V108" i="1"/>
  <c r="V114" i="1"/>
  <c r="V117" i="1"/>
  <c r="V92" i="1"/>
  <c r="V109" i="1"/>
  <c r="D29" i="2"/>
  <c r="D28" i="2"/>
  <c r="H31" i="2" l="1"/>
  <c r="E18" i="3"/>
  <c r="E26" i="3" l="1"/>
  <c r="E23" i="3"/>
  <c r="G47" i="1"/>
  <c r="G43" i="1" s="1"/>
  <c r="G45" i="1"/>
  <c r="G41" i="1" s="1"/>
  <c r="D24" i="2" l="1"/>
  <c r="E29" i="3"/>
  <c r="D27" i="2"/>
  <c r="E32" i="3"/>
  <c r="E22" i="3"/>
  <c r="E25" i="3"/>
  <c r="K46" i="8"/>
  <c r="K47" i="8" s="1"/>
  <c r="K39" i="8"/>
  <c r="K40" i="8" s="1"/>
  <c r="K42" i="8" s="1"/>
  <c r="K18" i="8"/>
  <c r="K19" i="8" s="1"/>
  <c r="K21" i="8" s="1"/>
  <c r="K56" i="8" l="1"/>
  <c r="K49" i="8"/>
  <c r="K51" i="8" s="1"/>
  <c r="K52" i="8" s="1"/>
  <c r="M27" i="3" s="1"/>
  <c r="M34" i="3" s="1"/>
  <c r="N27" i="3" l="1"/>
  <c r="D19" i="2" l="1"/>
  <c r="M45" i="1"/>
  <c r="M46" i="1"/>
  <c r="M47" i="1"/>
  <c r="M48" i="1"/>
  <c r="D17" i="2" l="1"/>
  <c r="D18" i="2"/>
  <c r="D20" i="2"/>
  <c r="D21" i="2"/>
  <c r="P46" i="1" l="1"/>
  <c r="Q46" i="1" s="1"/>
  <c r="P48" i="1"/>
  <c r="Q48" i="1" s="1"/>
  <c r="P45" i="1"/>
  <c r="Q45" i="1" s="1"/>
  <c r="P47" i="1"/>
  <c r="Q47" i="1" s="1"/>
  <c r="P42" i="1" l="1"/>
  <c r="P50" i="1"/>
  <c r="P51" i="1"/>
  <c r="Q51" i="1" s="1"/>
  <c r="P52" i="1"/>
  <c r="P56" i="1"/>
  <c r="Q56" i="1" s="1"/>
  <c r="P58" i="1"/>
  <c r="P59" i="1"/>
  <c r="P63" i="1"/>
  <c r="P64" i="1"/>
  <c r="Q64" i="1" s="1"/>
  <c r="P67" i="1"/>
  <c r="Q67" i="1" s="1"/>
  <c r="P69" i="1"/>
  <c r="P70" i="1"/>
  <c r="Q70" i="1" s="1"/>
  <c r="P73" i="1"/>
  <c r="P76" i="1"/>
  <c r="P86" i="1"/>
  <c r="P89" i="1"/>
  <c r="Q89" i="1" s="1"/>
  <c r="P90" i="1"/>
  <c r="Q90" i="1" s="1"/>
  <c r="P96" i="1"/>
  <c r="P103" i="1"/>
  <c r="P105" i="1"/>
  <c r="Q105" i="1" s="1"/>
  <c r="P108" i="1"/>
  <c r="P109" i="1"/>
  <c r="Q109" i="1" s="1"/>
  <c r="P111" i="1"/>
  <c r="P113" i="1"/>
  <c r="Q113" i="1" s="1"/>
  <c r="P115" i="1"/>
  <c r="P116" i="1"/>
  <c r="Q116" i="1" s="1"/>
  <c r="P119" i="1"/>
  <c r="P126" i="1"/>
  <c r="P132" i="1"/>
  <c r="P136" i="1"/>
  <c r="P41" i="1"/>
  <c r="Q41" i="1" s="1"/>
  <c r="M43" i="1"/>
  <c r="M44" i="1"/>
  <c r="M53" i="1"/>
  <c r="M54" i="1"/>
  <c r="M55" i="1"/>
  <c r="M57" i="1"/>
  <c r="M60" i="1"/>
  <c r="M61" i="1"/>
  <c r="M62" i="1"/>
  <c r="M66" i="1"/>
  <c r="M68" i="1"/>
  <c r="M71" i="1"/>
  <c r="M74" i="1"/>
  <c r="M75" i="1"/>
  <c r="M78" i="1"/>
  <c r="M79" i="1"/>
  <c r="M81" i="1"/>
  <c r="M83" i="1"/>
  <c r="M84" i="1"/>
  <c r="M85" i="1"/>
  <c r="M87" i="1"/>
  <c r="M91" i="1"/>
  <c r="M92" i="1"/>
  <c r="P93" i="1"/>
  <c r="M95" i="1"/>
  <c r="M98" i="1"/>
  <c r="M99" i="1"/>
  <c r="M100" i="1"/>
  <c r="M102" i="1"/>
  <c r="M104" i="1"/>
  <c r="M106" i="1"/>
  <c r="M107" i="1"/>
  <c r="M110" i="1"/>
  <c r="M114" i="1"/>
  <c r="M117" i="1"/>
  <c r="M118" i="1"/>
  <c r="M121" i="1"/>
  <c r="M123" i="1"/>
  <c r="M124" i="1"/>
  <c r="M129" i="1"/>
  <c r="M130" i="1"/>
  <c r="M131" i="1"/>
  <c r="M133" i="1"/>
  <c r="M135" i="1"/>
  <c r="M137" i="1"/>
  <c r="M138" i="1"/>
  <c r="M11" i="1"/>
  <c r="P135" i="1" l="1"/>
  <c r="Q135" i="1" s="1"/>
  <c r="M105" i="1"/>
  <c r="M67" i="1"/>
  <c r="P127" i="1"/>
  <c r="Q127" i="1" s="1"/>
  <c r="M103" i="1"/>
  <c r="M59" i="1"/>
  <c r="P118" i="1"/>
  <c r="Q118" i="1" s="1"/>
  <c r="P81" i="1"/>
  <c r="Q81" i="1" s="1"/>
  <c r="P66" i="1"/>
  <c r="Q66" i="1" s="1"/>
  <c r="Q59" i="1"/>
  <c r="M127" i="1"/>
  <c r="M96" i="1"/>
  <c r="M51" i="1"/>
  <c r="P124" i="1"/>
  <c r="Q124" i="1" s="1"/>
  <c r="M126" i="1"/>
  <c r="M90" i="1"/>
  <c r="P131" i="1"/>
  <c r="Q131" i="1" s="1"/>
  <c r="P75" i="1"/>
  <c r="Q75" i="1" s="1"/>
  <c r="P44" i="1"/>
  <c r="Q44" i="1" s="1"/>
  <c r="M113" i="1"/>
  <c r="M111" i="1"/>
  <c r="P104" i="1"/>
  <c r="Q104" i="1" s="1"/>
  <c r="Q52" i="1"/>
  <c r="Q108" i="1"/>
  <c r="Q63" i="1"/>
  <c r="Q86" i="1"/>
  <c r="Q115" i="1"/>
  <c r="P71" i="1"/>
  <c r="Q71" i="1" s="1"/>
  <c r="Q69" i="1"/>
  <c r="M89" i="1"/>
  <c r="M76" i="1"/>
  <c r="M58" i="1"/>
  <c r="M50" i="1"/>
  <c r="P138" i="1"/>
  <c r="Q138" i="1" s="1"/>
  <c r="P114" i="1"/>
  <c r="Q114" i="1" s="1"/>
  <c r="Q111" i="1"/>
  <c r="P107" i="1"/>
  <c r="Q107" i="1" s="1"/>
  <c r="P100" i="1"/>
  <c r="Q100" i="1" s="1"/>
  <c r="P79" i="1"/>
  <c r="Q79" i="1" s="1"/>
  <c r="P62" i="1"/>
  <c r="Q62" i="1" s="1"/>
  <c r="P55" i="1"/>
  <c r="Q55" i="1" s="1"/>
  <c r="M132" i="1"/>
  <c r="M119" i="1"/>
  <c r="P117" i="1"/>
  <c r="Q117" i="1" s="1"/>
  <c r="P110" i="1"/>
  <c r="Q110" i="1" s="1"/>
  <c r="P92" i="1"/>
  <c r="Q92" i="1" s="1"/>
  <c r="P85" i="1"/>
  <c r="Q85" i="1" s="1"/>
  <c r="M41" i="1"/>
  <c r="M64" i="1"/>
  <c r="M56" i="1"/>
  <c r="P130" i="1"/>
  <c r="Q130" i="1" s="1"/>
  <c r="P123" i="1"/>
  <c r="Q123" i="1" s="1"/>
  <c r="P106" i="1"/>
  <c r="Q106" i="1" s="1"/>
  <c r="Q103" i="1"/>
  <c r="P99" i="1"/>
  <c r="Q99" i="1" s="1"/>
  <c r="P74" i="1"/>
  <c r="Q74" i="1" s="1"/>
  <c r="P68" i="1"/>
  <c r="Q68" i="1" s="1"/>
  <c r="P61" i="1"/>
  <c r="Q61" i="1" s="1"/>
  <c r="Q58" i="1"/>
  <c r="P54" i="1"/>
  <c r="Q54" i="1" s="1"/>
  <c r="P43" i="1"/>
  <c r="Q43" i="1" s="1"/>
  <c r="M109" i="1"/>
  <c r="M86" i="1"/>
  <c r="M70" i="1"/>
  <c r="M63" i="1"/>
  <c r="P137" i="1"/>
  <c r="Q137" i="1" s="1"/>
  <c r="P133" i="1"/>
  <c r="Q133" i="1" s="1"/>
  <c r="P102" i="1"/>
  <c r="Q102" i="1" s="1"/>
  <c r="P91" i="1"/>
  <c r="Q91" i="1" s="1"/>
  <c r="P84" i="1"/>
  <c r="Q84" i="1" s="1"/>
  <c r="P57" i="1"/>
  <c r="Q57" i="1" s="1"/>
  <c r="M116" i="1"/>
  <c r="M108" i="1"/>
  <c r="M93" i="1"/>
  <c r="M73" i="1"/>
  <c r="M69" i="1"/>
  <c r="M42" i="1"/>
  <c r="P129" i="1"/>
  <c r="Q129" i="1" s="1"/>
  <c r="Q126" i="1"/>
  <c r="P98" i="1"/>
  <c r="Q98" i="1" s="1"/>
  <c r="Q96" i="1"/>
  <c r="P87" i="1"/>
  <c r="Q87" i="1" s="1"/>
  <c r="P78" i="1"/>
  <c r="Q78" i="1" s="1"/>
  <c r="Q76" i="1"/>
  <c r="P60" i="1"/>
  <c r="Q60" i="1" s="1"/>
  <c r="P53" i="1"/>
  <c r="Q53" i="1" s="1"/>
  <c r="Q50" i="1"/>
  <c r="M136" i="1"/>
  <c r="M115" i="1"/>
  <c r="Q132" i="1"/>
  <c r="P95" i="1"/>
  <c r="Q95" i="1" s="1"/>
  <c r="P83" i="1"/>
  <c r="Q83" i="1" s="1"/>
  <c r="Q73" i="1"/>
  <c r="Q42" i="1"/>
  <c r="M52" i="1"/>
  <c r="Q136" i="1"/>
  <c r="P121" i="1"/>
  <c r="Q121" i="1" s="1"/>
  <c r="Q119" i="1"/>
  <c r="Q93" i="1"/>
  <c r="P39" i="1"/>
  <c r="Q39" i="1" s="1"/>
  <c r="P24" i="1"/>
  <c r="Q24" i="1" s="1"/>
  <c r="P16" i="1"/>
  <c r="Q16" i="1" s="1"/>
  <c r="P36" i="1"/>
  <c r="Q36" i="1" s="1"/>
  <c r="P29" i="1"/>
  <c r="Q29" i="1" s="1"/>
  <c r="P21" i="1"/>
  <c r="Q21" i="1" s="1"/>
  <c r="P35" i="1"/>
  <c r="Q35" i="1" s="1"/>
  <c r="P28" i="1"/>
  <c r="Q28" i="1" s="1"/>
  <c r="P20" i="1"/>
  <c r="Q20" i="1" s="1"/>
  <c r="P12" i="1"/>
  <c r="Q12" i="1" s="1"/>
  <c r="P38" i="1"/>
  <c r="Q38" i="1" s="1"/>
  <c r="P31" i="1"/>
  <c r="Q31" i="1" s="1"/>
  <c r="P23" i="1"/>
  <c r="Q23" i="1" s="1"/>
  <c r="P15" i="1"/>
  <c r="Q15" i="1" s="1"/>
  <c r="P37" i="1"/>
  <c r="Q37" i="1" s="1"/>
  <c r="P30" i="1"/>
  <c r="Q30" i="1" s="1"/>
  <c r="P22" i="1"/>
  <c r="Q22" i="1" s="1"/>
  <c r="P14" i="1"/>
  <c r="Q14" i="1" s="1"/>
  <c r="P27" i="1"/>
  <c r="Q27" i="1" s="1"/>
  <c r="P19" i="1"/>
  <c r="Q19" i="1" s="1"/>
  <c r="P34" i="1"/>
  <c r="Q34" i="1" s="1"/>
  <c r="P33" i="1"/>
  <c r="Q33" i="1" s="1"/>
  <c r="P26" i="1"/>
  <c r="Q26" i="1" s="1"/>
  <c r="P18" i="1"/>
  <c r="Q18" i="1" s="1"/>
  <c r="P17" i="1"/>
  <c r="Q17" i="1" s="1"/>
  <c r="P11" i="1"/>
  <c r="Q11" i="1" s="1"/>
  <c r="M12" i="1"/>
  <c r="M14" i="1" l="1"/>
  <c r="M15" i="1" l="1"/>
  <c r="M16" i="1" l="1"/>
  <c r="M17" i="1" l="1"/>
  <c r="M18" i="1" l="1"/>
  <c r="M19" i="1" l="1"/>
  <c r="M20" i="1" l="1"/>
  <c r="M21" i="1" l="1"/>
  <c r="M22" i="1" l="1"/>
  <c r="M23" i="1" l="1"/>
  <c r="M24" i="1" l="1"/>
  <c r="M26" i="1" l="1"/>
  <c r="M27" i="1" l="1"/>
  <c r="M28" i="1" l="1"/>
  <c r="M29" i="1" l="1"/>
  <c r="M30" i="1" l="1"/>
  <c r="M31" i="1" l="1"/>
  <c r="M33" i="1" l="1"/>
  <c r="M34" i="1" l="1"/>
  <c r="M35" i="1" l="1"/>
  <c r="M36" i="1" l="1"/>
  <c r="M37" i="1" l="1"/>
  <c r="M39" i="1" l="1"/>
  <c r="M38" i="1"/>
  <c r="E35" i="3" l="1"/>
  <c r="F22" i="2" l="1"/>
  <c r="H22" i="2" s="1"/>
  <c r="F29" i="2" l="1"/>
  <c r="H29" i="2" s="1"/>
  <c r="S57" i="1"/>
  <c r="T57" i="1" s="1"/>
  <c r="S58" i="1"/>
  <c r="T58" i="1" s="1"/>
  <c r="S69" i="1"/>
  <c r="T69" i="1" s="1"/>
  <c r="S53" i="1"/>
  <c r="T53" i="1" s="1"/>
  <c r="S61" i="1"/>
  <c r="T61" i="1" s="1"/>
  <c r="S71" i="1"/>
  <c r="T71" i="1" s="1"/>
  <c r="S54" i="1"/>
  <c r="T54" i="1" s="1"/>
  <c r="S67" i="1"/>
  <c r="T67" i="1" s="1"/>
  <c r="S66" i="1"/>
  <c r="T66" i="1" s="1"/>
  <c r="N32" i="8" l="1"/>
  <c r="N33" i="8" s="1"/>
  <c r="N35" i="8" s="1"/>
  <c r="M32" i="8"/>
  <c r="M33" i="8" s="1"/>
  <c r="M35" i="8" s="1"/>
  <c r="O32" i="8"/>
  <c r="O33" i="8" s="1"/>
  <c r="O35" i="8" s="1"/>
  <c r="O11" i="8"/>
  <c r="O12" i="8" s="1"/>
  <c r="O14" i="8" s="1"/>
  <c r="N11" i="8"/>
  <c r="N12" i="8" s="1"/>
  <c r="N14" i="8" s="1"/>
  <c r="M11" i="8"/>
  <c r="M12" i="8" s="1"/>
  <c r="M14" i="8" s="1"/>
  <c r="N46" i="8"/>
  <c r="N47" i="8" s="1"/>
  <c r="O46" i="8"/>
  <c r="O47" i="8" s="1"/>
  <c r="M46" i="8"/>
  <c r="N39" i="8"/>
  <c r="N40" i="8" s="1"/>
  <c r="N42" i="8" s="1"/>
  <c r="M39" i="8"/>
  <c r="M40" i="8" s="1"/>
  <c r="M42" i="8" s="1"/>
  <c r="O39" i="8"/>
  <c r="O40" i="8" s="1"/>
  <c r="O42" i="8" s="1"/>
  <c r="J46" i="8"/>
  <c r="J47" i="8" s="1"/>
  <c r="J56" i="8" s="1"/>
  <c r="I46" i="8"/>
  <c r="I47" i="8" s="1"/>
  <c r="I56" i="8" s="1"/>
  <c r="H46" i="8"/>
  <c r="H47" i="8" s="1"/>
  <c r="H56" i="8" s="1"/>
  <c r="G46" i="8"/>
  <c r="G47" i="8" s="1"/>
  <c r="F46" i="8"/>
  <c r="F47" i="8" s="1"/>
  <c r="E46" i="8"/>
  <c r="E47" i="8" s="1"/>
  <c r="J39" i="8"/>
  <c r="J40" i="8" s="1"/>
  <c r="I39" i="8"/>
  <c r="I40" i="8" s="1"/>
  <c r="H39" i="8"/>
  <c r="H40" i="8" s="1"/>
  <c r="G39" i="8"/>
  <c r="G40" i="8" s="1"/>
  <c r="F39" i="8"/>
  <c r="F40" i="8" s="1"/>
  <c r="E39" i="8"/>
  <c r="E40" i="8" s="1"/>
  <c r="J32" i="8"/>
  <c r="J33" i="8" s="1"/>
  <c r="I32" i="8"/>
  <c r="I33" i="8" s="1"/>
  <c r="H32" i="8"/>
  <c r="H33" i="8" s="1"/>
  <c r="G32" i="8"/>
  <c r="G33" i="8" s="1"/>
  <c r="F32" i="8"/>
  <c r="F33" i="8" s="1"/>
  <c r="E32" i="8"/>
  <c r="E33" i="8" s="1"/>
  <c r="J25" i="8"/>
  <c r="J26" i="8" s="1"/>
  <c r="I25" i="8"/>
  <c r="I26" i="8" s="1"/>
  <c r="H25" i="8"/>
  <c r="H26" i="8" s="1"/>
  <c r="G25" i="8"/>
  <c r="G26" i="8" s="1"/>
  <c r="F25" i="8"/>
  <c r="F26" i="8" s="1"/>
  <c r="E25" i="8"/>
  <c r="E26" i="8" s="1"/>
  <c r="J18" i="8"/>
  <c r="J19" i="8" s="1"/>
  <c r="I18" i="8"/>
  <c r="I19" i="8" s="1"/>
  <c r="H18" i="8"/>
  <c r="H19" i="8" s="1"/>
  <c r="G18" i="8"/>
  <c r="G19" i="8" s="1"/>
  <c r="F18" i="8"/>
  <c r="F19" i="8" s="1"/>
  <c r="E18" i="8"/>
  <c r="E19" i="8" s="1"/>
  <c r="J11" i="8"/>
  <c r="J12" i="8" s="1"/>
  <c r="I11" i="8"/>
  <c r="I12" i="8" s="1"/>
  <c r="H11" i="8"/>
  <c r="H12" i="8" s="1"/>
  <c r="G11" i="8"/>
  <c r="G12" i="8" s="1"/>
  <c r="F11" i="8"/>
  <c r="F12" i="8" s="1"/>
  <c r="E11" i="8"/>
  <c r="E12" i="8" s="1"/>
  <c r="G56" i="8" l="1"/>
  <c r="N49" i="8"/>
  <c r="N56" i="8"/>
  <c r="O49" i="8"/>
  <c r="O56" i="8"/>
  <c r="E56" i="8"/>
  <c r="F56" i="8"/>
  <c r="D16" i="2"/>
  <c r="D13" i="2"/>
  <c r="D12" i="2"/>
  <c r="D11" i="2"/>
  <c r="I13" i="10" l="1"/>
  <c r="H13" i="10"/>
  <c r="I12" i="10"/>
  <c r="H12" i="10"/>
  <c r="I11" i="10"/>
  <c r="H11" i="10"/>
  <c r="I10" i="10"/>
  <c r="H10" i="10"/>
  <c r="I9" i="10"/>
  <c r="H9" i="10"/>
  <c r="I8" i="10"/>
  <c r="H8" i="10"/>
  <c r="I7" i="10"/>
  <c r="I6" i="10"/>
  <c r="I5" i="10"/>
  <c r="J18" i="10" l="1"/>
  <c r="J19" i="10"/>
  <c r="J17" i="10"/>
  <c r="M45" i="8" l="1"/>
  <c r="M47" i="8" s="1"/>
  <c r="M54" i="8" s="1"/>
  <c r="M55" i="8" s="1"/>
  <c r="M49" i="8" l="1"/>
  <c r="M56" i="8"/>
  <c r="N51" i="8"/>
  <c r="N52" i="8" s="1"/>
  <c r="M16" i="3" s="1"/>
  <c r="M51" i="8" l="1"/>
  <c r="M52" i="8" s="1"/>
  <c r="M15" i="3" s="1"/>
  <c r="N16" i="3"/>
  <c r="F12" i="2" s="1"/>
  <c r="H12" i="2" s="1"/>
  <c r="N15" i="3"/>
  <c r="N17" i="3"/>
  <c r="O51" i="8"/>
  <c r="O52" i="8" s="1"/>
  <c r="M17" i="3" s="1"/>
  <c r="F13" i="2" s="1"/>
  <c r="H13" i="2" s="1"/>
  <c r="F11" i="2" l="1"/>
  <c r="S21" i="1"/>
  <c r="T21" i="1" s="1"/>
  <c r="S30" i="1"/>
  <c r="T30" i="1" s="1"/>
  <c r="S39" i="1"/>
  <c r="T39" i="1" s="1"/>
  <c r="S22" i="1"/>
  <c r="T22" i="1" s="1"/>
  <c r="S31" i="1"/>
  <c r="T31" i="1" s="1"/>
  <c r="S23" i="1"/>
  <c r="T23" i="1" s="1"/>
  <c r="S24" i="1"/>
  <c r="T24" i="1" s="1"/>
  <c r="S36" i="1"/>
  <c r="T36" i="1" s="1"/>
  <c r="S29" i="1"/>
  <c r="T29" i="1" s="1"/>
  <c r="S28" i="1"/>
  <c r="T28" i="1" s="1"/>
  <c r="S37" i="1"/>
  <c r="T37" i="1" s="1"/>
  <c r="S38" i="1"/>
  <c r="T38" i="1" s="1"/>
  <c r="S12" i="1"/>
  <c r="T12" i="1" s="1"/>
  <c r="S26" i="1"/>
  <c r="T26" i="1" s="1"/>
  <c r="S35" i="1"/>
  <c r="T35" i="1" s="1"/>
  <c r="S33" i="1"/>
  <c r="T33" i="1" s="1"/>
  <c r="S34" i="1"/>
  <c r="T34" i="1" s="1"/>
  <c r="S18" i="1"/>
  <c r="T18" i="1" s="1"/>
  <c r="S27" i="1"/>
  <c r="T27" i="1" s="1"/>
  <c r="S19" i="1"/>
  <c r="T19" i="1" s="1"/>
  <c r="S20" i="1"/>
  <c r="T20" i="1" s="1"/>
  <c r="J35" i="8"/>
  <c r="I35" i="8"/>
  <c r="H35" i="8"/>
  <c r="G35" i="8"/>
  <c r="F35" i="8"/>
  <c r="E35" i="8"/>
  <c r="J28" i="8"/>
  <c r="I28" i="8"/>
  <c r="H28" i="8"/>
  <c r="G28" i="8"/>
  <c r="F28" i="8"/>
  <c r="E28" i="8"/>
  <c r="J21" i="8"/>
  <c r="I21" i="8"/>
  <c r="H21" i="8"/>
  <c r="G21" i="8"/>
  <c r="F21" i="8"/>
  <c r="E21" i="8"/>
  <c r="J14" i="8"/>
  <c r="I14" i="8"/>
  <c r="H14" i="8"/>
  <c r="G14" i="8"/>
  <c r="F14" i="8"/>
  <c r="E14" i="8"/>
  <c r="H11" i="2" l="1"/>
  <c r="S14" i="1"/>
  <c r="T14" i="1" s="1"/>
  <c r="S17" i="1"/>
  <c r="T17" i="1" s="1"/>
  <c r="S11" i="1"/>
  <c r="T11" i="1" s="1"/>
  <c r="S16" i="1"/>
  <c r="T16" i="1" s="1"/>
  <c r="S15" i="1"/>
  <c r="T15" i="1" s="1"/>
  <c r="N26" i="3"/>
  <c r="N25" i="3"/>
  <c r="N24" i="3"/>
  <c r="N23" i="3"/>
  <c r="N22" i="3"/>
  <c r="N21" i="3"/>
  <c r="F49" i="8" l="1"/>
  <c r="G49" i="8"/>
  <c r="H49" i="8"/>
  <c r="I49" i="8"/>
  <c r="J49" i="8"/>
  <c r="F42" i="8"/>
  <c r="G42" i="8"/>
  <c r="F51" i="8" l="1"/>
  <c r="F52" i="8" s="1"/>
  <c r="M22" i="3" s="1"/>
  <c r="F17" i="2" s="1"/>
  <c r="H17" i="2" s="1"/>
  <c r="G51" i="8"/>
  <c r="G52" i="8" s="1"/>
  <c r="M23" i="3" s="1"/>
  <c r="E49" i="8"/>
  <c r="J42" i="8"/>
  <c r="J51" i="8" s="1"/>
  <c r="J52" i="8" s="1"/>
  <c r="M26" i="3" s="1"/>
  <c r="F21" i="2" s="1"/>
  <c r="H21" i="2" s="1"/>
  <c r="I42" i="8"/>
  <c r="I51" i="8" s="1"/>
  <c r="I52" i="8" s="1"/>
  <c r="M25" i="3" s="1"/>
  <c r="F20" i="2" s="1"/>
  <c r="H20" i="2" s="1"/>
  <c r="H42" i="8"/>
  <c r="H51" i="8" s="1"/>
  <c r="H52" i="8" s="1"/>
  <c r="M24" i="3" s="1"/>
  <c r="F19" i="2" s="1"/>
  <c r="H19" i="2" s="1"/>
  <c r="E42" i="8"/>
  <c r="S59" i="1" l="1"/>
  <c r="T59" i="1" s="1"/>
  <c r="S43" i="1"/>
  <c r="T43" i="1" s="1"/>
  <c r="S60" i="1"/>
  <c r="T60" i="1" s="1"/>
  <c r="S44" i="1"/>
  <c r="T44" i="1" s="1"/>
  <c r="S63" i="1"/>
  <c r="T63" i="1" s="1"/>
  <c r="S70" i="1"/>
  <c r="T70" i="1" s="1"/>
  <c r="S81" i="1"/>
  <c r="T81" i="1" s="1"/>
  <c r="S76" i="1"/>
  <c r="T76" i="1" s="1"/>
  <c r="S41" i="1"/>
  <c r="T41" i="1" s="1"/>
  <c r="S51" i="1"/>
  <c r="T51" i="1" s="1"/>
  <c r="S52" i="1"/>
  <c r="T52" i="1" s="1"/>
  <c r="S75" i="1"/>
  <c r="T75" i="1" s="1"/>
  <c r="M31" i="3"/>
  <c r="M32" i="3"/>
  <c r="M33" i="3"/>
  <c r="F28" i="2" s="1"/>
  <c r="H28" i="2" s="1"/>
  <c r="M30" i="3"/>
  <c r="F25" i="2" s="1"/>
  <c r="H25" i="2" s="1"/>
  <c r="M29" i="3"/>
  <c r="F24" i="2" s="1"/>
  <c r="H24" i="2" s="1"/>
  <c r="E51" i="8"/>
  <c r="E52" i="8" s="1"/>
  <c r="M21" i="3" s="1"/>
  <c r="F16" i="2" s="1"/>
  <c r="F18" i="2" l="1"/>
  <c r="H18" i="2" s="1"/>
  <c r="S56" i="1"/>
  <c r="T56" i="1" s="1"/>
  <c r="S42" i="1"/>
  <c r="T42" i="1" s="1"/>
  <c r="S68" i="1"/>
  <c r="T68" i="1" s="1"/>
  <c r="S55" i="1"/>
  <c r="T55" i="1" s="1"/>
  <c r="F27" i="2"/>
  <c r="H27" i="2" s="1"/>
  <c r="F26" i="2"/>
  <c r="H26" i="2" s="1"/>
  <c r="H16" i="2"/>
  <c r="S48" i="1"/>
  <c r="T48" i="1" s="1"/>
  <c r="S78" i="1"/>
  <c r="T78" i="1" s="1"/>
  <c r="S50" i="1"/>
  <c r="T50" i="1" s="1"/>
  <c r="S79" i="1"/>
  <c r="T79" i="1" s="1"/>
  <c r="S73" i="1"/>
  <c r="T73" i="1" s="1"/>
  <c r="S74" i="1"/>
  <c r="T74" i="1" s="1"/>
  <c r="S45" i="1"/>
  <c r="T45" i="1" s="1"/>
  <c r="S46" i="1"/>
  <c r="T46" i="1" s="1"/>
  <c r="M28" i="3"/>
  <c r="S47" i="1" l="1"/>
  <c r="T47" i="1" s="1"/>
  <c r="F23" i="2"/>
  <c r="F35" i="2" s="1"/>
  <c r="Q139" i="1"/>
  <c r="H23" i="2" l="1"/>
  <c r="H34" i="2" s="1"/>
  <c r="T139" i="1"/>
  <c r="T144" i="1" s="1"/>
  <c r="T146" i="1" s="1"/>
</calcChain>
</file>

<file path=xl/sharedStrings.xml><?xml version="1.0" encoding="utf-8"?>
<sst xmlns="http://schemas.openxmlformats.org/spreadsheetml/2006/main" count="952" uniqueCount="254">
  <si>
    <t>Description</t>
  </si>
  <si>
    <t>Sch No.</t>
  </si>
  <si>
    <t>Revenue</t>
  </si>
  <si>
    <t>Proposed</t>
  </si>
  <si>
    <t>Units</t>
  </si>
  <si>
    <t>Price</t>
  </si>
  <si>
    <t>kWh</t>
  </si>
  <si>
    <t>Level 1 (0-3,500 LED Equivalent Lumens)</t>
  </si>
  <si>
    <t>Level 2 (3,501-5,500 LED Equivalent Lumens)</t>
  </si>
  <si>
    <t>Level 4 (8,001-12,000 LED Equivalent Lumens)</t>
  </si>
  <si>
    <t>Level 5 (12,001-15,500 LED Equivalent Lumens)</t>
  </si>
  <si>
    <t>Level 6 (15,501 and Greater LED Equivalent Lumens)</t>
  </si>
  <si>
    <t>Present</t>
  </si>
  <si>
    <t>Customer</t>
  </si>
  <si>
    <t>Count</t>
  </si>
  <si>
    <t>Installation Cost</t>
  </si>
  <si>
    <t>Residential</t>
  </si>
  <si>
    <t>Revenue Requirement</t>
  </si>
  <si>
    <t>Per KWH</t>
  </si>
  <si>
    <t>Per Customer</t>
  </si>
  <si>
    <t>TRANSMISSION-TOTAL</t>
  </si>
  <si>
    <t>DISTRIBUTION-TOTAL</t>
  </si>
  <si>
    <t>DISTRIBUTION-SUBSTATION</t>
  </si>
  <si>
    <t>DISTRIBUTION- P &amp; C</t>
  </si>
  <si>
    <t>DISTRIBUTION-TRANSFORMER</t>
  </si>
  <si>
    <t>DISTRIBUTION-METER</t>
  </si>
  <si>
    <t>DISTRIBUTION-SERVICE</t>
  </si>
  <si>
    <t>RETAIL-TOTAL</t>
  </si>
  <si>
    <t>MISC - Total</t>
  </si>
  <si>
    <t>Total</t>
  </si>
  <si>
    <t>Difference</t>
  </si>
  <si>
    <t>Adjustment Factor</t>
  </si>
  <si>
    <t>Hours</t>
  </si>
  <si>
    <t>Rate</t>
  </si>
  <si>
    <t xml:space="preserve">  Material Cost</t>
  </si>
  <si>
    <t>Total Cost</t>
  </si>
  <si>
    <t>Annual Frequency</t>
  </si>
  <si>
    <t>Annual Cost</t>
  </si>
  <si>
    <t xml:space="preserve">  Labor</t>
  </si>
  <si>
    <t xml:space="preserve">Replace Photo Cell </t>
  </si>
  <si>
    <t>Replace Luminaire</t>
  </si>
  <si>
    <t>Level</t>
  </si>
  <si>
    <t>Total Annual Maintenance</t>
  </si>
  <si>
    <t>Replace Pole (wood)</t>
  </si>
  <si>
    <t>Replace Pole and arm (metal)</t>
  </si>
  <si>
    <t>Replace Fiberglass Pole</t>
  </si>
  <si>
    <t>Replace Mast Arm</t>
  </si>
  <si>
    <t>Total Monthly Maintenance</t>
  </si>
  <si>
    <t>Annualization @</t>
  </si>
  <si>
    <t>Average Monthly Revenue Requirement</t>
  </si>
  <si>
    <t>Level 1 (0-5,500 LED Equivalent Lumens)</t>
  </si>
  <si>
    <t>Level 2 (5,501-12,000 LED Equivalent Lumens)</t>
  </si>
  <si>
    <t>Level 3 (12,001 and Greater LED Equivalent Lumens)</t>
  </si>
  <si>
    <t>Class</t>
  </si>
  <si>
    <t>Unit Count</t>
  </si>
  <si>
    <t>Commercial</t>
  </si>
  <si>
    <t>Industrial</t>
  </si>
  <si>
    <t>Overall</t>
  </si>
  <si>
    <t>2 man</t>
  </si>
  <si>
    <t>30'</t>
  </si>
  <si>
    <t>35'</t>
  </si>
  <si>
    <t>40'</t>
  </si>
  <si>
    <t>25'</t>
  </si>
  <si>
    <t>Single man</t>
  </si>
  <si>
    <t>Ownership</t>
  </si>
  <si>
    <t>Company</t>
  </si>
  <si>
    <t>Rocky Mountain Power</t>
  </si>
  <si>
    <t>Fixed Usg</t>
  </si>
  <si>
    <t>Present and Proposed Lighting Revenue by Lamp Type</t>
  </si>
  <si>
    <t>Consolidated Proposed Lighting Revenue by Lamp Type</t>
  </si>
  <si>
    <t>Base</t>
  </si>
  <si>
    <t>TAA</t>
  </si>
  <si>
    <t>Level 3 (5,501-8,000 LED Equivalent Lumens)</t>
  </si>
  <si>
    <t>Installation</t>
  </si>
  <si>
    <t>Billing Determinants</t>
  </si>
  <si>
    <t>Forecast Test Period 12 Months Ended December 2021</t>
  </si>
  <si>
    <t>PTDRM TOTAL</t>
  </si>
  <si>
    <t>Per NCP kW</t>
  </si>
  <si>
    <t>PRODUCTION-TOTAL</t>
  </si>
  <si>
    <t>State of Utah</t>
  </si>
  <si>
    <t>Historic Test Period 12 Months Ended December 2019</t>
  </si>
  <si>
    <t>None</t>
  </si>
  <si>
    <t>Partial</t>
  </si>
  <si>
    <t>Full</t>
  </si>
  <si>
    <t>Lamp Units</t>
  </si>
  <si>
    <t xml:space="preserve">     7,000 Lumen</t>
  </si>
  <si>
    <t xml:space="preserve">     20,000 Lumen</t>
  </si>
  <si>
    <t xml:space="preserve">     5,600 Lumen New Pole</t>
  </si>
  <si>
    <t xml:space="preserve">     5,600 Lumen No New Pole</t>
  </si>
  <si>
    <t xml:space="preserve">     9,500 Lumen New Pole</t>
  </si>
  <si>
    <t xml:space="preserve">     9,500 Lumen No New Pole</t>
  </si>
  <si>
    <t xml:space="preserve">     16,000 Lumen New Pole</t>
  </si>
  <si>
    <t xml:space="preserve">     16,000 Lumen No New Pole</t>
  </si>
  <si>
    <t xml:space="preserve">     22,000 Lumen</t>
  </si>
  <si>
    <t xml:space="preserve">     27,500 Lumen New Pole</t>
  </si>
  <si>
    <t xml:space="preserve">     27,500 Lumen No New Pole</t>
  </si>
  <si>
    <t xml:space="preserve">     50,000 Lumen New Pole</t>
  </si>
  <si>
    <t xml:space="preserve">     50,000 Lumen No New Pole</t>
  </si>
  <si>
    <t xml:space="preserve">     12,000 Lumen No New Pole</t>
  </si>
  <si>
    <t xml:space="preserve">     19,500 Lumen New Pole</t>
  </si>
  <si>
    <t xml:space="preserve">     19,500 Lumen No New Pole</t>
  </si>
  <si>
    <t xml:space="preserve">     32,000 Lumen New Pole</t>
  </si>
  <si>
    <t xml:space="preserve">     32,000 Lumen No New Pole</t>
  </si>
  <si>
    <t xml:space="preserve">     107,000 Lumen New Pole</t>
  </si>
  <si>
    <t xml:space="preserve">     107,000 Lumen No New Pole</t>
  </si>
  <si>
    <t xml:space="preserve">     4,000 Lumen - Functional</t>
  </si>
  <si>
    <t xml:space="preserve">     6,200 Lumen - Functional</t>
  </si>
  <si>
    <t xml:space="preserve">     13,000 Lumen - Functional</t>
  </si>
  <si>
    <t xml:space="preserve">     16,800 Lumen - Functional</t>
  </si>
  <si>
    <t xml:space="preserve">     5,600 Lumen - Functional</t>
  </si>
  <si>
    <t xml:space="preserve">     9,500 Lumen - Functional</t>
  </si>
  <si>
    <t xml:space="preserve">     9,500 Lumen - Decorative S1</t>
  </si>
  <si>
    <t xml:space="preserve">     9,500 Lumen - Decorative S2</t>
  </si>
  <si>
    <t xml:space="preserve">     16,000 Lumen - Functional</t>
  </si>
  <si>
    <t xml:space="preserve">     16,000 Lumen - Decorative S1</t>
  </si>
  <si>
    <t xml:space="preserve">     16,000 Lumen - Decorative S2</t>
  </si>
  <si>
    <t xml:space="preserve">     27,500 Lumen - Functional</t>
  </si>
  <si>
    <t xml:space="preserve">     27,500 Lumen - Decorative S1</t>
  </si>
  <si>
    <t xml:space="preserve">     27,500 Lumen - Decorative S2</t>
  </si>
  <si>
    <t xml:space="preserve">     50,000 Lumen - Functional</t>
  </si>
  <si>
    <t xml:space="preserve">     125,000 Lumen</t>
  </si>
  <si>
    <t xml:space="preserve">     9,000 Lumen - Decorative S1</t>
  </si>
  <si>
    <t xml:space="preserve">     9,000 Lumen - Decorative S2</t>
  </si>
  <si>
    <t xml:space="preserve">     12,000 Lumen - Functional</t>
  </si>
  <si>
    <t xml:space="preserve">     12,000 Lumen - Decorative S2</t>
  </si>
  <si>
    <t xml:space="preserve">     19,500 Lumen - Functional</t>
  </si>
  <si>
    <t xml:space="preserve">     19,500 Lumen - Decorative S2</t>
  </si>
  <si>
    <t xml:space="preserve">     4,000 Lumen</t>
  </si>
  <si>
    <t xml:space="preserve">     10,000 Lumen</t>
  </si>
  <si>
    <t xml:space="preserve">     600 Lumen</t>
  </si>
  <si>
    <t xml:space="preserve">     21,000 Lumen</t>
  </si>
  <si>
    <t xml:space="preserve">     5,600 Lumen</t>
  </si>
  <si>
    <t xml:space="preserve">     9,500 Lumen</t>
  </si>
  <si>
    <t xml:space="preserve">     16,000 Lumen</t>
  </si>
  <si>
    <t xml:space="preserve">     27,500 Lumen</t>
  </si>
  <si>
    <t xml:space="preserve">     50,000 Lumen</t>
  </si>
  <si>
    <t xml:space="preserve">     9,000 Lumen</t>
  </si>
  <si>
    <t xml:space="preserve">     12,000 Lumen</t>
  </si>
  <si>
    <t xml:space="preserve">     19,500 Lumen</t>
  </si>
  <si>
    <t xml:space="preserve">     32,000 Lumen</t>
  </si>
  <si>
    <t xml:space="preserve">     2,500 Lumen or Less</t>
  </si>
  <si>
    <t xml:space="preserve">     54,000 Lumen</t>
  </si>
  <si>
    <t xml:space="preserve">     9,500 Lumen - Decorative</t>
  </si>
  <si>
    <t xml:space="preserve">     16,000 Lumen - Decorative</t>
  </si>
  <si>
    <t xml:space="preserve">     22,000 Lumen </t>
  </si>
  <si>
    <t xml:space="preserve">     27,500 Lumen - Decorative</t>
  </si>
  <si>
    <t xml:space="preserve">     50,000 Lumen - Decorative</t>
  </si>
  <si>
    <t xml:space="preserve">     9,000 Lumen - Decorative</t>
  </si>
  <si>
    <t xml:space="preserve">     12,000 Lumen - Decorative</t>
  </si>
  <si>
    <t xml:space="preserve">     19,500 Lumen - Decorative</t>
  </si>
  <si>
    <t xml:space="preserve">     32,000 Lumen - Decorative</t>
  </si>
  <si>
    <t xml:space="preserve">     21,800 Lumen</t>
  </si>
  <si>
    <t xml:space="preserve">     6,000 Lumen</t>
  </si>
  <si>
    <t xml:space="preserve">     107,000 Lumen </t>
  </si>
  <si>
    <t>Light-Emitting Diode (LED)</t>
  </si>
  <si>
    <t>High Pressure Sodium Vapor</t>
  </si>
  <si>
    <t>High Pressures Sodium Vapor</t>
  </si>
  <si>
    <t>Metal Halide</t>
  </si>
  <si>
    <t>Non-listed Luminaries kWh</t>
  </si>
  <si>
    <t>Dec. Series Level 3 (5,501-8,000 LED Equivalent Lumens)</t>
  </si>
  <si>
    <t>Security Area Lighting</t>
  </si>
  <si>
    <t>Street Lighting</t>
  </si>
  <si>
    <t>Schedule</t>
  </si>
  <si>
    <t>Number</t>
  </si>
  <si>
    <t>Lamp Description</t>
  </si>
  <si>
    <t>Lamp</t>
  </si>
  <si>
    <t>Title</t>
  </si>
  <si>
    <t>Maint.</t>
  </si>
  <si>
    <t>Schedule 7 - Security Area Lighting</t>
  </si>
  <si>
    <t>Schedule 11 - Street Lighting Service - Company-Owned System</t>
  </si>
  <si>
    <t>Total Schedule 7</t>
  </si>
  <si>
    <t>Total Schedule 11</t>
  </si>
  <si>
    <t>Schedules 12 - Street Lighting Service - Customer-Owned System</t>
  </si>
  <si>
    <t>Street Lighting - Company-Owned System</t>
  </si>
  <si>
    <t>Street Lighting - Customer-Owned System</t>
  </si>
  <si>
    <t>Closed</t>
  </si>
  <si>
    <t>PRODUCTION-DEMAND VARIABLE</t>
  </si>
  <si>
    <t>PRODUCTION-ENERGY VARIABLE</t>
  </si>
  <si>
    <t>PRODUCTION-DEMAND FIXED</t>
  </si>
  <si>
    <t>PRODUCTION-ENERGY FIXED</t>
  </si>
  <si>
    <t>TRANSMISSION-DEMAND VARIABLE</t>
  </si>
  <si>
    <t>TRANSMISSION-ENERGY VARIABLE</t>
  </si>
  <si>
    <t>TRANSMISSION-DEMAND FIXED</t>
  </si>
  <si>
    <t>TRANSMISSION-ENERGY FIXED</t>
  </si>
  <si>
    <t>Street &amp; Area Lighting</t>
  </si>
  <si>
    <t>Schs. 7,11,12</t>
  </si>
  <si>
    <t>Fixed</t>
  </si>
  <si>
    <t>Variable</t>
  </si>
  <si>
    <t>Delivery</t>
  </si>
  <si>
    <t>Area Light Composition by Class - Residential, Commercial, and Industrial</t>
  </si>
  <si>
    <t>Barn Style</t>
  </si>
  <si>
    <t>Percent</t>
  </si>
  <si>
    <t>Flood Style</t>
  </si>
  <si>
    <t>Estimated Unit Count</t>
  </si>
  <si>
    <t xml:space="preserve">Flood Style </t>
  </si>
  <si>
    <t>Barn Style / Total</t>
  </si>
  <si>
    <t>Function</t>
  </si>
  <si>
    <t>&lt; to get "No Fixtures" values, select all tabs and 0-out FERC Accts 403 (only for Inst Cust Premises &amp; Street Lighting), 585, 596, 371, 373, 108371, and 108373</t>
  </si>
  <si>
    <t>Proposed Rev Req</t>
  </si>
  <si>
    <t xml:space="preserve"> and Units Costs</t>
  </si>
  <si>
    <t>(No Fixtures)</t>
  </si>
  <si>
    <t>(Actual)</t>
  </si>
  <si>
    <t>Retail</t>
  </si>
  <si>
    <t>Supply</t>
  </si>
  <si>
    <t>Unbundled</t>
  </si>
  <si>
    <t>$/mo</t>
  </si>
  <si>
    <t>$/kWh</t>
  </si>
  <si>
    <t>PSH</t>
  </si>
  <si>
    <t xml:space="preserve">     Closed</t>
  </si>
  <si>
    <t>Price Units</t>
  </si>
  <si>
    <t>Embedded Cost of Service for Lighting Class</t>
  </si>
  <si>
    <t>Total Present Revenue</t>
  </si>
  <si>
    <t>Total Proposed Revenue</t>
  </si>
  <si>
    <t>Company-</t>
  </si>
  <si>
    <t>Prod., Transm., and Dist. ($/kWh)</t>
  </si>
  <si>
    <t>Cust. ($/cust-mo)</t>
  </si>
  <si>
    <t>Owned Lighting ($/mo)</t>
  </si>
  <si>
    <t>Dist.</t>
  </si>
  <si>
    <t>*No New Service</t>
  </si>
  <si>
    <t>Mercury Vapor Lamps*</t>
  </si>
  <si>
    <t>Sodium Vapor Lamps*</t>
  </si>
  <si>
    <t>Sodium Vapor Flood Lamps*</t>
  </si>
  <si>
    <t>Metal Halide Lamps*</t>
  </si>
  <si>
    <t>Metal Halide*</t>
  </si>
  <si>
    <t>Mercury Vapor*</t>
  </si>
  <si>
    <t>Incandescent*</t>
  </si>
  <si>
    <t>Fluorescent*</t>
  </si>
  <si>
    <t>High Pressure Sodium Vapor*</t>
  </si>
  <si>
    <t>Cust. Funded Conv. - Level 1 (0-3,500 LED Equivalent Lumens)</t>
  </si>
  <si>
    <t>Cust. Funded Conv. - Level 2 (3,501-5,500 LED Equivalent Lumens)</t>
  </si>
  <si>
    <t>Cust. Funded Conv. - Level 3 (5,501-8,000 LED Equivalent Lumens)</t>
  </si>
  <si>
    <t>Cust. Funded Conv. - Level 4 (8,001-12,000 LED Equivalent Lumens)</t>
  </si>
  <si>
    <t>Cust. Funded Conv. - Level 5 (12,001-15,500 LED Equivalent Lumens)</t>
  </si>
  <si>
    <t>Cust. Funded Conv. - Level 6 (15,501 and Greater LED Equivalent Lumens)</t>
  </si>
  <si>
    <t>Cust. Funded Conv. - Dec. Series Level 3 (5,501-8,000 LED Equivalent Lumens)</t>
  </si>
  <si>
    <t xml:space="preserve">     4,000 Lumen - Functional - Cust. Funded Conv.</t>
  </si>
  <si>
    <t xml:space="preserve">     6,200 Lumen - Functional - Cust. Funded Conv.</t>
  </si>
  <si>
    <t xml:space="preserve">     13,000 Lumen - Functional - Cust. Funded Conv.</t>
  </si>
  <si>
    <t xml:space="preserve">     16,800 Lumen - Functional - Cust. Funded Conv.</t>
  </si>
  <si>
    <t xml:space="preserve">     9,500 Lumen - Functional @ 90%*</t>
  </si>
  <si>
    <t xml:space="preserve">     16,000 Lumen - Functional @ 90%*</t>
  </si>
  <si>
    <t xml:space="preserve">     27,500 Lumen - Functional @ 90%*</t>
  </si>
  <si>
    <t>Misc.</t>
  </si>
  <si>
    <t>Prod.</t>
  </si>
  <si>
    <t>Transm.</t>
  </si>
  <si>
    <t>Total Schedules 7, 11, 12</t>
  </si>
  <si>
    <t>Functionalized Unit Costs</t>
  </si>
  <si>
    <t>Lighting Maintenance and Installation Costs</t>
  </si>
  <si>
    <t>Annual kWh</t>
  </si>
  <si>
    <t>per Lamp</t>
  </si>
  <si>
    <t>Based on Cost of New Service for Lighting Schedules</t>
  </si>
  <si>
    <t>Proposed Lighting Prices</t>
  </si>
  <si>
    <t>Total Unique Price Count (Company-Owned System)</t>
  </si>
  <si>
    <t>Unbundled Price (Customer-Owned)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</si>
</sst>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.00"/>
    <numFmt numFmtId="166" formatCode="&quot;$&quot;#,##0"/>
    <numFmt numFmtId="167" formatCode="&quot;$&quot;#,##0.00000"/>
    <numFmt numFmtId="168" formatCode="_(* #,##0.00000_);_(* \(#,##0.00000\);_(* &quot;-&quot;??_);_(@_)"/>
    <numFmt numFmtId="169" formatCode="0.00000"/>
    <numFmt numFmtId="170" formatCode="0.000"/>
    <numFmt numFmtId="171" formatCode="#,##0.000"/>
    <numFmt numFmtId="172" formatCode="0.0%"/>
    <numFmt numFmtId="173" formatCode="General_)"/>
    <numFmt numFmtId="174" formatCode="&quot;$&quot;#,##0.000000_);\(&quot;$&quot;#,##0.000000\)"/>
    <numFmt numFmtId="175" formatCode="&quot;$&quot;#,##0.000"/>
    <numFmt numFmtId="176" formatCode="_(* #,##0.000000_);_(* \(#,##0.000000\);_(* &quot;-&quot;??_);_(@_)"/>
    <numFmt numFmtId="177" formatCode="&quot;$&quot;#,##0.000000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SWISS"/>
    </font>
    <font>
      <sz val="10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sz val="10"/>
      <name val="MS Sans Serif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indexed="8"/>
      <name val="Times New Roman"/>
      <family val="1"/>
    </font>
    <font>
      <u/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2"/>
      <color rgb="FF0000FF"/>
      <name val="Times New Roman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8">
    <xf numFmtId="0" fontId="0" fillId="0" borderId="0"/>
    <xf numFmtId="43" fontId="1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4" fillId="0" borderId="0"/>
    <xf numFmtId="0" fontId="3" fillId="0" borderId="0"/>
    <xf numFmtId="0" fontId="5" fillId="0" borderId="0"/>
    <xf numFmtId="9" fontId="1" fillId="0" borderId="0" applyFont="0" applyFill="0" applyBorder="0" applyAlignment="0" applyProtection="0"/>
    <xf numFmtId="0" fontId="3" fillId="0" borderId="0"/>
    <xf numFmtId="0" fontId="6" fillId="0" borderId="0"/>
    <xf numFmtId="0" fontId="1" fillId="0" borderId="0"/>
    <xf numFmtId="0" fontId="3" fillId="0" borderId="0">
      <alignment wrapText="1"/>
    </xf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3" fontId="4" fillId="0" borderId="0"/>
    <xf numFmtId="173" fontId="4" fillId="0" borderId="0"/>
  </cellStyleXfs>
  <cellXfs count="211">
    <xf numFmtId="0" fontId="0" fillId="0" borderId="0" xfId="0"/>
    <xf numFmtId="0" fontId="8" fillId="0" borderId="0" xfId="0" applyFont="1" applyAlignment="1">
      <alignment horizontal="centerContinuous"/>
    </xf>
    <xf numFmtId="0" fontId="8" fillId="0" borderId="0" xfId="0" applyFont="1"/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1" xfId="0" applyFont="1" applyBorder="1" applyAlignment="1">
      <alignment horizontal="center"/>
    </xf>
    <xf numFmtId="0" fontId="8" fillId="0" borderId="1" xfId="0" applyFont="1" applyBorder="1"/>
    <xf numFmtId="0" fontId="8" fillId="0" borderId="1" xfId="0" applyFont="1" applyBorder="1" applyAlignment="1">
      <alignment horizontal="center"/>
    </xf>
    <xf numFmtId="164" fontId="8" fillId="0" borderId="0" xfId="1" applyNumberFormat="1" applyFont="1" applyAlignment="1">
      <alignment horizontal="center"/>
    </xf>
    <xf numFmtId="0" fontId="8" fillId="0" borderId="1" xfId="0" applyFont="1" applyBorder="1" applyAlignment="1">
      <alignment horizontal="left" indent="2"/>
    </xf>
    <xf numFmtId="165" fontId="8" fillId="0" borderId="0" xfId="0" applyNumberFormat="1" applyFont="1" applyAlignment="1">
      <alignment horizontal="right"/>
    </xf>
    <xf numFmtId="166" fontId="8" fillId="0" borderId="0" xfId="0" applyNumberFormat="1" applyFont="1" applyAlignment="1">
      <alignment horizontal="right"/>
    </xf>
    <xf numFmtId="0" fontId="8" fillId="0" borderId="1" xfId="0" applyFont="1" applyBorder="1" applyAlignment="1">
      <alignment horizontal="left"/>
    </xf>
    <xf numFmtId="167" fontId="8" fillId="0" borderId="0" xfId="0" applyNumberFormat="1" applyFont="1" applyAlignment="1">
      <alignment horizontal="right"/>
    </xf>
    <xf numFmtId="0" fontId="8" fillId="0" borderId="0" xfId="0" applyFont="1" applyBorder="1"/>
    <xf numFmtId="0" fontId="8" fillId="0" borderId="0" xfId="0" applyFont="1" applyBorder="1" applyAlignment="1">
      <alignment horizontal="left"/>
    </xf>
    <xf numFmtId="164" fontId="8" fillId="0" borderId="1" xfId="1" applyNumberFormat="1" applyFont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Border="1" applyAlignment="1">
      <alignment horizontal="centerContinuous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164" fontId="8" fillId="0" borderId="0" xfId="1" applyNumberFormat="1" applyFont="1"/>
    <xf numFmtId="165" fontId="8" fillId="0" borderId="0" xfId="0" applyNumberFormat="1" applyFont="1"/>
    <xf numFmtId="166" fontId="8" fillId="0" borderId="0" xfId="0" applyNumberFormat="1" applyFont="1"/>
    <xf numFmtId="0" fontId="8" fillId="0" borderId="6" xfId="0" applyFont="1" applyBorder="1" applyAlignment="1">
      <alignment horizontal="centerContinuous"/>
    </xf>
    <xf numFmtId="0" fontId="8" fillId="0" borderId="5" xfId="0" applyFont="1" applyBorder="1" applyAlignment="1">
      <alignment horizontal="centerContinuous"/>
    </xf>
    <xf numFmtId="0" fontId="7" fillId="0" borderId="6" xfId="0" applyFont="1" applyBorder="1" applyAlignment="1">
      <alignment horizontal="centerContinuous"/>
    </xf>
    <xf numFmtId="0" fontId="7" fillId="0" borderId="7" xfId="0" applyFont="1" applyBorder="1" applyAlignment="1">
      <alignment horizontal="centerContinuous"/>
    </xf>
    <xf numFmtId="0" fontId="8" fillId="0" borderId="3" xfId="0" applyFont="1" applyBorder="1" applyAlignment="1">
      <alignment horizontal="centerContinuous"/>
    </xf>
    <xf numFmtId="0" fontId="8" fillId="0" borderId="9" xfId="0" applyFont="1" applyBorder="1"/>
    <xf numFmtId="164" fontId="8" fillId="0" borderId="0" xfId="1" applyNumberFormat="1" applyFont="1" applyBorder="1"/>
    <xf numFmtId="43" fontId="8" fillId="0" borderId="0" xfId="0" applyNumberFormat="1" applyFont="1" applyBorder="1"/>
    <xf numFmtId="164" fontId="8" fillId="0" borderId="0" xfId="1" applyNumberFormat="1" applyFont="1" applyBorder="1" applyAlignment="1">
      <alignment horizontal="left" indent="2"/>
    </xf>
    <xf numFmtId="168" fontId="8" fillId="0" borderId="0" xfId="1" applyNumberFormat="1" applyFont="1" applyBorder="1"/>
    <xf numFmtId="164" fontId="8" fillId="0" borderId="0" xfId="1" applyNumberFormat="1" applyFont="1" applyBorder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quotePrefix="1" applyFont="1" applyBorder="1"/>
    <xf numFmtId="0" fontId="8" fillId="0" borderId="0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168" fontId="8" fillId="0" borderId="1" xfId="1" applyNumberFormat="1" applyFont="1" applyBorder="1"/>
    <xf numFmtId="43" fontId="8" fillId="0" borderId="1" xfId="0" applyNumberFormat="1" applyFont="1" applyFill="1" applyBorder="1"/>
    <xf numFmtId="164" fontId="8" fillId="0" borderId="1" xfId="1" applyNumberFormat="1" applyFont="1" applyBorder="1" applyAlignment="1">
      <alignment horizontal="left" indent="2"/>
    </xf>
    <xf numFmtId="43" fontId="8" fillId="0" borderId="0" xfId="1" applyNumberFormat="1" applyFont="1" applyFill="1" applyBorder="1"/>
    <xf numFmtId="43" fontId="8" fillId="0" borderId="0" xfId="0" applyNumberFormat="1" applyFont="1" applyFill="1" applyBorder="1"/>
    <xf numFmtId="43" fontId="8" fillId="0" borderId="1" xfId="1" applyNumberFormat="1" applyFont="1" applyFill="1" applyBorder="1"/>
    <xf numFmtId="43" fontId="8" fillId="0" borderId="1" xfId="0" applyNumberFormat="1" applyFont="1" applyBorder="1"/>
    <xf numFmtId="169" fontId="8" fillId="0" borderId="0" xfId="0" applyNumberFormat="1" applyFont="1"/>
    <xf numFmtId="1" fontId="8" fillId="0" borderId="0" xfId="0" applyNumberFormat="1" applyFont="1" applyAlignment="1">
      <alignment horizontal="center"/>
    </xf>
    <xf numFmtId="164" fontId="8" fillId="0" borderId="0" xfId="0" applyNumberFormat="1" applyFont="1"/>
    <xf numFmtId="0" fontId="8" fillId="0" borderId="1" xfId="0" applyFont="1" applyBorder="1" applyAlignment="1">
      <alignment horizontal="centerContinuous"/>
    </xf>
    <xf numFmtId="0" fontId="8" fillId="0" borderId="5" xfId="0" applyFont="1" applyBorder="1"/>
    <xf numFmtId="0" fontId="8" fillId="0" borderId="6" xfId="0" applyFont="1" applyBorder="1"/>
    <xf numFmtId="165" fontId="8" fillId="0" borderId="6" xfId="0" applyNumberFormat="1" applyFont="1" applyBorder="1"/>
    <xf numFmtId="164" fontId="8" fillId="0" borderId="6" xfId="1" applyNumberFormat="1" applyFont="1" applyBorder="1" applyAlignment="1">
      <alignment horizontal="center"/>
    </xf>
    <xf numFmtId="0" fontId="8" fillId="0" borderId="5" xfId="0" applyFont="1" applyBorder="1" applyAlignment="1">
      <alignment horizontal="left" indent="2"/>
    </xf>
    <xf numFmtId="165" fontId="8" fillId="0" borderId="6" xfId="0" applyNumberFormat="1" applyFont="1" applyBorder="1" applyAlignment="1">
      <alignment horizontal="right"/>
    </xf>
    <xf numFmtId="166" fontId="8" fillId="0" borderId="7" xfId="0" applyNumberFormat="1" applyFont="1" applyBorder="1" applyAlignment="1">
      <alignment horizontal="right"/>
    </xf>
    <xf numFmtId="0" fontId="8" fillId="0" borderId="1" xfId="0" applyFont="1" applyFill="1" applyBorder="1"/>
    <xf numFmtId="0" fontId="8" fillId="0" borderId="0" xfId="0" applyFont="1" applyFill="1"/>
    <xf numFmtId="166" fontId="8" fillId="0" borderId="0" xfId="0" applyNumberFormat="1" applyFont="1" applyBorder="1" applyAlignment="1">
      <alignment horizontal="right"/>
    </xf>
    <xf numFmtId="0" fontId="4" fillId="0" borderId="0" xfId="7" applyFont="1" applyFill="1" applyBorder="1"/>
    <xf numFmtId="0" fontId="4" fillId="0" borderId="0" xfId="8" applyFont="1" applyFill="1" applyBorder="1"/>
    <xf numFmtId="0" fontId="4" fillId="0" borderId="0" xfId="8" applyFont="1" applyFill="1" applyBorder="1" applyAlignment="1">
      <alignment horizontal="center"/>
    </xf>
    <xf numFmtId="165" fontId="4" fillId="0" borderId="0" xfId="10" applyNumberFormat="1" applyFont="1" applyFill="1" applyBorder="1"/>
    <xf numFmtId="165" fontId="4" fillId="0" borderId="0" xfId="8" applyNumberFormat="1" applyFont="1" applyFill="1" applyBorder="1"/>
    <xf numFmtId="0" fontId="4" fillId="0" borderId="0" xfId="10" applyFont="1" applyFill="1" applyBorder="1"/>
    <xf numFmtId="171" fontId="4" fillId="0" borderId="0" xfId="5" applyNumberFormat="1" applyFont="1" applyFill="1" applyBorder="1"/>
    <xf numFmtId="170" fontId="4" fillId="0" borderId="0" xfId="10" applyNumberFormat="1" applyFont="1" applyFill="1" applyBorder="1"/>
    <xf numFmtId="0" fontId="4" fillId="0" borderId="0" xfId="0" applyFont="1" applyFill="1" applyBorder="1"/>
    <xf numFmtId="0" fontId="8" fillId="0" borderId="0" xfId="0" applyFont="1" applyFill="1" applyBorder="1" applyAlignment="1">
      <alignment horizontal="right"/>
    </xf>
    <xf numFmtId="0" fontId="8" fillId="0" borderId="9" xfId="0" applyFont="1" applyBorder="1" applyAlignment="1">
      <alignment horizontal="left"/>
    </xf>
    <xf numFmtId="43" fontId="8" fillId="0" borderId="5" xfId="0" applyNumberFormat="1" applyFont="1" applyFill="1" applyBorder="1"/>
    <xf numFmtId="43" fontId="8" fillId="0" borderId="11" xfId="0" applyNumberFormat="1" applyFont="1" applyFill="1" applyBorder="1"/>
    <xf numFmtId="43" fontId="8" fillId="0" borderId="6" xfId="1" applyNumberFormat="1" applyFont="1" applyFill="1" applyBorder="1"/>
    <xf numFmtId="43" fontId="8" fillId="0" borderId="4" xfId="0" applyNumberFormat="1" applyFont="1" applyFill="1" applyBorder="1"/>
    <xf numFmtId="164" fontId="8" fillId="0" borderId="6" xfId="1" applyNumberFormat="1" applyFont="1" applyBorder="1" applyAlignment="1">
      <alignment horizontal="left" indent="2"/>
    </xf>
    <xf numFmtId="168" fontId="8" fillId="0" borderId="5" xfId="1" applyNumberFormat="1" applyFont="1" applyBorder="1"/>
    <xf numFmtId="168" fontId="8" fillId="0" borderId="6" xfId="1" applyNumberFormat="1" applyFont="1" applyBorder="1"/>
    <xf numFmtId="43" fontId="8" fillId="0" borderId="5" xfId="0" applyNumberFormat="1" applyFont="1" applyBorder="1"/>
    <xf numFmtId="43" fontId="8" fillId="0" borderId="6" xfId="0" applyNumberFormat="1" applyFont="1" applyBorder="1"/>
    <xf numFmtId="173" fontId="9" fillId="0" borderId="1" xfId="16" applyFont="1" applyFill="1" applyBorder="1" applyAlignment="1">
      <alignment horizontal="left"/>
    </xf>
    <xf numFmtId="10" fontId="8" fillId="0" borderId="0" xfId="9" applyNumberFormat="1" applyFont="1" applyAlignment="1">
      <alignment horizontal="right"/>
    </xf>
    <xf numFmtId="5" fontId="4" fillId="0" borderId="0" xfId="16" applyNumberFormat="1" applyFill="1" applyProtection="1"/>
    <xf numFmtId="0" fontId="8" fillId="0" borderId="1" xfId="0" applyFont="1" applyBorder="1" applyAlignment="1"/>
    <xf numFmtId="7" fontId="4" fillId="0" borderId="0" xfId="16" applyNumberFormat="1" applyFill="1" applyProtection="1"/>
    <xf numFmtId="174" fontId="4" fillId="0" borderId="0" xfId="16" applyNumberFormat="1" applyFill="1" applyProtection="1"/>
    <xf numFmtId="7" fontId="9" fillId="0" borderId="0" xfId="16" applyNumberFormat="1" applyFont="1" applyFill="1" applyProtection="1">
      <protection locked="0"/>
    </xf>
    <xf numFmtId="7" fontId="9" fillId="0" borderId="0" xfId="16" applyNumberFormat="1" applyFont="1" applyFill="1" applyBorder="1" applyProtection="1">
      <protection locked="0"/>
    </xf>
    <xf numFmtId="173" fontId="9" fillId="0" borderId="0" xfId="16" applyFont="1" applyFill="1"/>
    <xf numFmtId="7" fontId="9" fillId="0" borderId="0" xfId="16" applyNumberFormat="1" applyFont="1" applyFill="1" applyProtection="1"/>
    <xf numFmtId="173" fontId="9" fillId="0" borderId="1" xfId="17" applyFont="1" applyFill="1" applyBorder="1" applyAlignment="1">
      <alignment horizontal="left"/>
    </xf>
    <xf numFmtId="0" fontId="8" fillId="0" borderId="5" xfId="0" applyFont="1" applyBorder="1" applyAlignment="1"/>
    <xf numFmtId="0" fontId="8" fillId="0" borderId="11" xfId="0" applyFont="1" applyBorder="1" applyAlignment="1">
      <alignment horizontal="centerContinuous"/>
    </xf>
    <xf numFmtId="173" fontId="9" fillId="0" borderId="5" xfId="16" applyFont="1" applyFill="1" applyBorder="1" applyAlignment="1">
      <alignment horizontal="left"/>
    </xf>
    <xf numFmtId="7" fontId="4" fillId="0" borderId="6" xfId="16" applyNumberFormat="1" applyFill="1" applyBorder="1" applyProtection="1"/>
    <xf numFmtId="10" fontId="8" fillId="0" borderId="6" xfId="9" applyNumberFormat="1" applyFont="1" applyBorder="1" applyAlignment="1">
      <alignment horizontal="right"/>
    </xf>
    <xf numFmtId="167" fontId="8" fillId="0" borderId="6" xfId="0" applyNumberFormat="1" applyFont="1" applyBorder="1" applyAlignment="1">
      <alignment horizontal="right"/>
    </xf>
    <xf numFmtId="5" fontId="4" fillId="0" borderId="6" xfId="16" applyNumberFormat="1" applyFill="1" applyBorder="1" applyProtection="1"/>
    <xf numFmtId="7" fontId="9" fillId="0" borderId="6" xfId="16" applyNumberFormat="1" applyFont="1" applyFill="1" applyBorder="1" applyProtection="1">
      <protection locked="0"/>
    </xf>
    <xf numFmtId="164" fontId="8" fillId="0" borderId="0" xfId="1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64" fontId="8" fillId="0" borderId="4" xfId="1" applyNumberFormat="1" applyFont="1" applyBorder="1" applyAlignment="1">
      <alignment horizontal="left" indent="2"/>
    </xf>
    <xf numFmtId="164" fontId="8" fillId="0" borderId="11" xfId="1" applyNumberFormat="1" applyFont="1" applyBorder="1" applyAlignment="1">
      <alignment horizontal="left" indent="2"/>
    </xf>
    <xf numFmtId="43" fontId="8" fillId="0" borderId="11" xfId="0" applyNumberFormat="1" applyFont="1" applyBorder="1"/>
    <xf numFmtId="43" fontId="8" fillId="0" borderId="4" xfId="0" applyNumberFormat="1" applyFont="1" applyBorder="1"/>
    <xf numFmtId="43" fontId="7" fillId="0" borderId="0" xfId="0" applyNumberFormat="1" applyFont="1" applyBorder="1" applyAlignment="1">
      <alignment horizontal="center"/>
    </xf>
    <xf numFmtId="0" fontId="4" fillId="0" borderId="0" xfId="7" applyFont="1" applyFill="1" applyBorder="1" applyAlignment="1">
      <alignment horizontal="centerContinuous"/>
    </xf>
    <xf numFmtId="0" fontId="4" fillId="0" borderId="0" xfId="7" applyFont="1" applyFill="1" applyBorder="1" applyAlignment="1">
      <alignment horizontal="center"/>
    </xf>
    <xf numFmtId="0" fontId="4" fillId="0" borderId="0" xfId="7" applyFont="1" applyFill="1" applyBorder="1" applyAlignment="1">
      <alignment horizontal="left"/>
    </xf>
    <xf numFmtId="2" fontId="4" fillId="0" borderId="0" xfId="10" applyNumberFormat="1" applyFont="1" applyFill="1" applyBorder="1" applyAlignment="1">
      <alignment horizontal="center"/>
    </xf>
    <xf numFmtId="165" fontId="4" fillId="0" borderId="0" xfId="7" applyNumberFormat="1" applyFont="1" applyFill="1" applyBorder="1" applyAlignment="1">
      <alignment horizontal="center"/>
    </xf>
    <xf numFmtId="165" fontId="4" fillId="0" borderId="0" xfId="10" applyNumberFormat="1" applyFont="1" applyFill="1" applyBorder="1" applyAlignment="1">
      <alignment horizontal="center"/>
    </xf>
    <xf numFmtId="0" fontId="4" fillId="0" borderId="0" xfId="10" applyFont="1" applyFill="1" applyBorder="1" applyAlignment="1">
      <alignment horizontal="center"/>
    </xf>
    <xf numFmtId="2" fontId="4" fillId="0" borderId="0" xfId="7" applyNumberFormat="1" applyFont="1" applyFill="1" applyBorder="1" applyAlignment="1">
      <alignment horizontal="center"/>
    </xf>
    <xf numFmtId="165" fontId="4" fillId="0" borderId="0" xfId="7" applyNumberFormat="1" applyFont="1" applyFill="1" applyBorder="1"/>
    <xf numFmtId="165" fontId="4" fillId="0" borderId="0" xfId="0" applyNumberFormat="1" applyFont="1" applyFill="1" applyBorder="1"/>
    <xf numFmtId="0" fontId="8" fillId="0" borderId="1" xfId="0" quotePrefix="1" applyFont="1" applyBorder="1"/>
    <xf numFmtId="172" fontId="8" fillId="0" borderId="0" xfId="9" applyNumberFormat="1" applyFont="1" applyBorder="1" applyAlignment="1">
      <alignment horizontal="center"/>
    </xf>
    <xf numFmtId="0" fontId="10" fillId="0" borderId="0" xfId="0" applyFont="1"/>
    <xf numFmtId="0" fontId="4" fillId="0" borderId="0" xfId="7" applyFont="1" applyFill="1" applyBorder="1" applyAlignment="1">
      <alignment horizontal="right"/>
    </xf>
    <xf numFmtId="165" fontId="8" fillId="0" borderId="0" xfId="0" applyNumberFormat="1" applyFont="1" applyFill="1" applyBorder="1"/>
    <xf numFmtId="10" fontId="8" fillId="0" borderId="0" xfId="9" applyNumberFormat="1" applyFont="1" applyFill="1" applyBorder="1"/>
    <xf numFmtId="165" fontId="8" fillId="0" borderId="0" xfId="0" applyNumberFormat="1" applyFont="1" applyBorder="1"/>
    <xf numFmtId="0" fontId="4" fillId="0" borderId="6" xfId="7" applyFont="1" applyFill="1" applyBorder="1" applyAlignment="1">
      <alignment horizontal="centerContinuous"/>
    </xf>
    <xf numFmtId="0" fontId="4" fillId="0" borderId="0" xfId="8" applyFont="1" applyFill="1" applyBorder="1" applyAlignment="1">
      <alignment horizontal="left"/>
    </xf>
    <xf numFmtId="165" fontId="4" fillId="0" borderId="0" xfId="8" applyNumberFormat="1" applyFont="1" applyFill="1" applyBorder="1" applyAlignment="1">
      <alignment horizontal="left"/>
    </xf>
    <xf numFmtId="171" fontId="4" fillId="0" borderId="0" xfId="5" applyNumberFormat="1" applyFont="1" applyFill="1" applyBorder="1" applyAlignment="1">
      <alignment horizontal="left"/>
    </xf>
    <xf numFmtId="165" fontId="4" fillId="0" borderId="0" xfId="10" applyNumberFormat="1" applyFont="1" applyFill="1" applyBorder="1" applyAlignment="1">
      <alignment horizontal="left"/>
    </xf>
    <xf numFmtId="0" fontId="4" fillId="0" borderId="0" xfId="10" applyFont="1" applyFill="1" applyBorder="1" applyAlignment="1">
      <alignment horizontal="left"/>
    </xf>
    <xf numFmtId="170" fontId="4" fillId="0" borderId="0" xfId="10" applyNumberFormat="1" applyFont="1" applyFill="1" applyBorder="1" applyAlignment="1">
      <alignment horizontal="left"/>
    </xf>
    <xf numFmtId="165" fontId="4" fillId="0" borderId="0" xfId="7" applyNumberFormat="1" applyFont="1" applyFill="1" applyBorder="1" applyAlignment="1">
      <alignment horizontal="left"/>
    </xf>
    <xf numFmtId="165" fontId="4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8" fillId="0" borderId="1" xfId="0" applyFont="1" applyFill="1" applyBorder="1" applyAlignment="1">
      <alignment horizontal="center"/>
    </xf>
    <xf numFmtId="164" fontId="8" fillId="0" borderId="0" xfId="1" applyNumberFormat="1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"/>
    </xf>
    <xf numFmtId="164" fontId="8" fillId="0" borderId="0" xfId="1" applyNumberFormat="1" applyFont="1" applyFill="1" applyAlignment="1">
      <alignment horizontal="center"/>
    </xf>
    <xf numFmtId="10" fontId="8" fillId="0" borderId="0" xfId="9" applyNumberFormat="1" applyFont="1" applyFill="1" applyAlignment="1">
      <alignment horizontal="right"/>
    </xf>
    <xf numFmtId="167" fontId="8" fillId="0" borderId="0" xfId="0" applyNumberFormat="1" applyFont="1" applyFill="1" applyAlignment="1">
      <alignment horizontal="right"/>
    </xf>
    <xf numFmtId="0" fontId="8" fillId="0" borderId="1" xfId="0" applyFont="1" applyFill="1" applyBorder="1" applyAlignment="1"/>
    <xf numFmtId="165" fontId="8" fillId="0" borderId="0" xfId="0" applyNumberFormat="1" applyFont="1" applyFill="1" applyAlignment="1">
      <alignment horizontal="right"/>
    </xf>
    <xf numFmtId="166" fontId="8" fillId="0" borderId="0" xfId="0" applyNumberFormat="1" applyFont="1" applyFill="1" applyAlignment="1">
      <alignment horizontal="right"/>
    </xf>
    <xf numFmtId="43" fontId="8" fillId="0" borderId="0" xfId="0" applyNumberFormat="1" applyFont="1" applyFill="1" applyAlignment="1">
      <alignment horizontal="center"/>
    </xf>
    <xf numFmtId="43" fontId="8" fillId="0" borderId="0" xfId="1" applyNumberFormat="1" applyFont="1"/>
    <xf numFmtId="0" fontId="8" fillId="0" borderId="0" xfId="0" applyFont="1" applyBorder="1" applyAlignment="1"/>
    <xf numFmtId="9" fontId="8" fillId="0" borderId="0" xfId="9" applyFont="1" applyAlignment="1">
      <alignment horizontal="center"/>
    </xf>
    <xf numFmtId="0" fontId="8" fillId="0" borderId="6" xfId="0" applyFont="1" applyBorder="1" applyAlignment="1">
      <alignment horizontal="center" wrapText="1"/>
    </xf>
    <xf numFmtId="0" fontId="8" fillId="0" borderId="0" xfId="0" applyFont="1" applyAlignment="1">
      <alignment wrapText="1"/>
    </xf>
    <xf numFmtId="164" fontId="8" fillId="0" borderId="6" xfId="1" applyNumberFormat="1" applyFont="1" applyBorder="1"/>
    <xf numFmtId="9" fontId="8" fillId="0" borderId="6" xfId="9" applyFont="1" applyBorder="1" applyAlignment="1">
      <alignment horizontal="center"/>
    </xf>
    <xf numFmtId="164" fontId="8" fillId="0" borderId="6" xfId="0" applyNumberFormat="1" applyFont="1" applyBorder="1"/>
    <xf numFmtId="9" fontId="8" fillId="0" borderId="0" xfId="9" applyNumberFormat="1" applyFont="1" applyBorder="1" applyAlignment="1">
      <alignment horizontal="center"/>
    </xf>
    <xf numFmtId="0" fontId="11" fillId="0" borderId="0" xfId="0" applyFont="1"/>
    <xf numFmtId="164" fontId="8" fillId="0" borderId="0" xfId="1" applyNumberFormat="1" applyFont="1" applyAlignment="1">
      <alignment horizontal="centerContinuous"/>
    </xf>
    <xf numFmtId="10" fontId="12" fillId="0" borderId="0" xfId="9" applyNumberFormat="1" applyFont="1"/>
    <xf numFmtId="166" fontId="12" fillId="0" borderId="0" xfId="1" applyNumberFormat="1" applyFont="1"/>
    <xf numFmtId="165" fontId="12" fillId="0" borderId="0" xfId="1" applyNumberFormat="1" applyFont="1"/>
    <xf numFmtId="175" fontId="12" fillId="0" borderId="0" xfId="1" applyNumberFormat="1" applyFont="1"/>
    <xf numFmtId="164" fontId="12" fillId="0" borderId="0" xfId="1" applyNumberFormat="1" applyFont="1"/>
    <xf numFmtId="164" fontId="8" fillId="0" borderId="0" xfId="1" applyNumberFormat="1" applyFont="1" applyAlignment="1">
      <alignment horizontal="left"/>
    </xf>
    <xf numFmtId="0" fontId="8" fillId="0" borderId="9" xfId="0" applyFont="1" applyBorder="1" applyAlignment="1">
      <alignment horizontal="center"/>
    </xf>
    <xf numFmtId="0" fontId="8" fillId="0" borderId="4" xfId="0" applyFont="1" applyBorder="1" applyAlignment="1">
      <alignment horizontal="centerContinuous"/>
    </xf>
    <xf numFmtId="164" fontId="8" fillId="0" borderId="0" xfId="0" applyNumberFormat="1" applyFont="1" applyBorder="1"/>
    <xf numFmtId="0" fontId="8" fillId="0" borderId="4" xfId="0" applyFont="1" applyBorder="1" applyAlignment="1">
      <alignment horizontal="left"/>
    </xf>
    <xf numFmtId="164" fontId="8" fillId="0" borderId="2" xfId="1" applyNumberFormat="1" applyFont="1" applyBorder="1" applyAlignment="1">
      <alignment horizontal="left" indent="2"/>
    </xf>
    <xf numFmtId="164" fontId="8" fillId="0" borderId="7" xfId="1" applyNumberFormat="1" applyFont="1" applyBorder="1" applyAlignment="1">
      <alignment horizontal="left" indent="2"/>
    </xf>
    <xf numFmtId="43" fontId="8" fillId="0" borderId="9" xfId="0" applyNumberFormat="1" applyFont="1" applyBorder="1"/>
    <xf numFmtId="6" fontId="8" fillId="0" borderId="9" xfId="0" quotePrefix="1" applyNumberFormat="1" applyFont="1" applyBorder="1"/>
    <xf numFmtId="43" fontId="8" fillId="0" borderId="9" xfId="1" applyNumberFormat="1" applyFont="1" applyBorder="1"/>
    <xf numFmtId="43" fontId="8" fillId="0" borderId="8" xfId="0" applyNumberFormat="1" applyFont="1" applyBorder="1"/>
    <xf numFmtId="168" fontId="8" fillId="0" borderId="7" xfId="1" applyNumberFormat="1" applyFont="1" applyBorder="1"/>
    <xf numFmtId="168" fontId="8" fillId="0" borderId="4" xfId="1" applyNumberFormat="1" applyFont="1" applyBorder="1"/>
    <xf numFmtId="168" fontId="8" fillId="0" borderId="11" xfId="1" applyNumberFormat="1" applyFont="1" applyBorder="1"/>
    <xf numFmtId="43" fontId="8" fillId="0" borderId="8" xfId="1" applyNumberFormat="1" applyFont="1" applyBorder="1"/>
    <xf numFmtId="43" fontId="8" fillId="0" borderId="9" xfId="1" applyNumberFormat="1" applyFont="1" applyBorder="1" applyAlignment="1">
      <alignment horizontal="center"/>
    </xf>
    <xf numFmtId="43" fontId="8" fillId="0" borderId="9" xfId="0" applyNumberFormat="1" applyFont="1" applyBorder="1" applyAlignment="1">
      <alignment horizontal="center"/>
    </xf>
    <xf numFmtId="176" fontId="8" fillId="0" borderId="9" xfId="0" applyNumberFormat="1" applyFont="1" applyBorder="1"/>
    <xf numFmtId="9" fontId="8" fillId="0" borderId="0" xfId="9" applyFont="1" applyBorder="1" applyAlignment="1">
      <alignment horizontal="center"/>
    </xf>
    <xf numFmtId="177" fontId="8" fillId="0" borderId="0" xfId="0" applyNumberFormat="1" applyFont="1" applyFill="1" applyAlignment="1">
      <alignment horizontal="right"/>
    </xf>
    <xf numFmtId="165" fontId="8" fillId="0" borderId="6" xfId="0" applyNumberFormat="1" applyFont="1" applyFill="1" applyBorder="1" applyAlignment="1">
      <alignment horizontal="right"/>
    </xf>
    <xf numFmtId="166" fontId="8" fillId="0" borderId="7" xfId="0" applyNumberFormat="1" applyFont="1" applyFill="1" applyBorder="1" applyAlignment="1">
      <alignment horizontal="right"/>
    </xf>
    <xf numFmtId="176" fontId="8" fillId="0" borderId="0" xfId="1" applyNumberFormat="1" applyFont="1"/>
    <xf numFmtId="43" fontId="8" fillId="0" borderId="0" xfId="1" applyNumberFormat="1" applyFont="1" applyAlignment="1">
      <alignment horizontal="center"/>
    </xf>
    <xf numFmtId="43" fontId="8" fillId="0" borderId="0" xfId="0" applyNumberFormat="1" applyFont="1" applyFill="1" applyBorder="1" applyAlignment="1">
      <alignment horizontal="right"/>
    </xf>
    <xf numFmtId="0" fontId="8" fillId="0" borderId="10" xfId="0" applyFont="1" applyBorder="1" applyAlignment="1">
      <alignment horizontal="center"/>
    </xf>
    <xf numFmtId="0" fontId="4" fillId="0" borderId="6" xfId="7" applyFont="1" applyFill="1" applyBorder="1" applyAlignment="1">
      <alignment horizontal="left"/>
    </xf>
    <xf numFmtId="0" fontId="4" fillId="0" borderId="6" xfId="7" applyFont="1" applyFill="1" applyBorder="1" applyAlignment="1">
      <alignment horizontal="center"/>
    </xf>
    <xf numFmtId="0" fontId="4" fillId="0" borderId="6" xfId="7" applyFont="1" applyFill="1" applyBorder="1"/>
    <xf numFmtId="0" fontId="4" fillId="0" borderId="6" xfId="7" applyFont="1" applyFill="1" applyBorder="1" applyAlignment="1">
      <alignment horizontal="centerContinuous" wrapText="1"/>
    </xf>
    <xf numFmtId="0" fontId="4" fillId="0" borderId="6" xfId="7" applyFont="1" applyFill="1" applyBorder="1" applyAlignment="1">
      <alignment horizontal="left" wrapText="1"/>
    </xf>
    <xf numFmtId="0" fontId="4" fillId="0" borderId="6" xfId="0" applyFont="1" applyFill="1" applyBorder="1"/>
    <xf numFmtId="0" fontId="4" fillId="0" borderId="6" xfId="0" applyFont="1" applyFill="1" applyBorder="1" applyAlignment="1">
      <alignment horizontal="left"/>
    </xf>
    <xf numFmtId="164" fontId="8" fillId="0" borderId="1" xfId="1" applyNumberFormat="1" applyFont="1" applyFill="1" applyBorder="1"/>
    <xf numFmtId="164" fontId="8" fillId="0" borderId="5" xfId="1" applyNumberFormat="1" applyFont="1" applyFill="1" applyBorder="1"/>
    <xf numFmtId="0" fontId="8" fillId="0" borderId="2" xfId="0" applyFont="1" applyBorder="1" applyAlignment="1">
      <alignment horizontal="center"/>
    </xf>
    <xf numFmtId="165" fontId="8" fillId="0" borderId="0" xfId="0" applyNumberFormat="1" applyFont="1" applyFill="1"/>
    <xf numFmtId="177" fontId="8" fillId="0" borderId="0" xfId="0" applyNumberFormat="1" applyFont="1" applyFill="1"/>
    <xf numFmtId="10" fontId="8" fillId="0" borderId="0" xfId="9" applyNumberFormat="1" applyFont="1"/>
    <xf numFmtId="0" fontId="8" fillId="0" borderId="1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Continuous"/>
    </xf>
    <xf numFmtId="0" fontId="8" fillId="0" borderId="5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6" fontId="8" fillId="0" borderId="1" xfId="0" quotePrefix="1" applyNumberFormat="1" applyFont="1" applyFill="1" applyBorder="1"/>
    <xf numFmtId="6" fontId="8" fillId="0" borderId="0" xfId="0" quotePrefix="1" applyNumberFormat="1" applyFont="1" applyFill="1" applyBorder="1"/>
    <xf numFmtId="0" fontId="8" fillId="0" borderId="0" xfId="0" applyFont="1" applyFill="1" applyBorder="1"/>
    <xf numFmtId="43" fontId="8" fillId="0" borderId="5" xfId="1" applyNumberFormat="1" applyFont="1" applyFill="1" applyBorder="1"/>
    <xf numFmtId="43" fontId="8" fillId="0" borderId="7" xfId="1" applyNumberFormat="1" applyFont="1" applyFill="1" applyBorder="1"/>
    <xf numFmtId="176" fontId="8" fillId="0" borderId="1" xfId="0" applyNumberFormat="1" applyFont="1" applyFill="1" applyBorder="1"/>
    <xf numFmtId="176" fontId="8" fillId="0" borderId="0" xfId="0" applyNumberFormat="1" applyFont="1" applyFill="1" applyBorder="1"/>
  </cellXfs>
  <cellStyles count="18">
    <cellStyle name="Comma" xfId="1" builtinId="3"/>
    <cellStyle name="Comma 11" xfId="15"/>
    <cellStyle name="Comma 2" xfId="3"/>
    <cellStyle name="Currency 2" xfId="5"/>
    <cellStyle name="Normal" xfId="0" builtinId="0"/>
    <cellStyle name="Normal 2" xfId="7"/>
    <cellStyle name="Normal 2 2" xfId="10"/>
    <cellStyle name="Normal 3" xfId="8"/>
    <cellStyle name="Normal 3 2" xfId="11"/>
    <cellStyle name="Normal 4" xfId="2"/>
    <cellStyle name="Normal 5" xfId="12"/>
    <cellStyle name="Normal 6" xfId="13"/>
    <cellStyle name="Normal 7" xfId="6"/>
    <cellStyle name="Normal_Blocking 09-00" xfId="16"/>
    <cellStyle name="Normal_Blocking 09-00 2" xfId="17"/>
    <cellStyle name="Percent" xfId="9" builtinId="5"/>
    <cellStyle name="Percent 10" xfId="14"/>
    <cellStyle name="Percent 2" xfId="4"/>
  </cellStyles>
  <dxfs count="0"/>
  <tableStyles count="0" defaultTableStyle="TableStyleMedium2" defaultPivotStyle="PivotStyleMedium9"/>
  <colors>
    <mruColors>
      <color rgb="FF0000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6"/>
  <sheetViews>
    <sheetView tabSelected="1" view="pageBreakPreview" zoomScale="70" zoomScaleNormal="100" zoomScaleSheetLayoutView="70" workbookViewId="0">
      <pane ySplit="6" topLeftCell="A7" activePane="bottomLeft" state="frozen"/>
      <selection pane="bottomLeft"/>
    </sheetView>
  </sheetViews>
  <sheetFormatPr defaultColWidth="9.140625" defaultRowHeight="15.75"/>
  <cols>
    <col min="1" max="1" width="29.7109375" style="69" bestFit="1" customWidth="1"/>
    <col min="2" max="3" width="16.7109375" style="69" customWidth="1"/>
    <col min="4" max="4" width="1.7109375" style="69" customWidth="1"/>
    <col min="5" max="11" width="16.7109375" style="69" customWidth="1"/>
    <col min="12" max="12" width="1.7109375" style="133" customWidth="1"/>
    <col min="13" max="24" width="16.7109375" style="69" customWidth="1"/>
    <col min="25" max="16384" width="9.140625" style="69"/>
  </cols>
  <sheetData>
    <row r="1" spans="1:18" s="2" customFormat="1">
      <c r="A1" s="1" t="s">
        <v>66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7"/>
      <c r="Q1" s="1"/>
      <c r="R1" s="1"/>
    </row>
    <row r="2" spans="1:18" s="2" customFormat="1">
      <c r="A2" s="1" t="s">
        <v>79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7"/>
      <c r="Q2" s="1"/>
      <c r="R2" s="1"/>
    </row>
    <row r="3" spans="1:18">
      <c r="A3" s="107" t="s">
        <v>247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</row>
    <row r="4" spans="1:18">
      <c r="A4" s="107"/>
      <c r="B4" s="107"/>
      <c r="C4" s="107"/>
      <c r="D4" s="107"/>
      <c r="E4" s="108"/>
      <c r="F4" s="108"/>
      <c r="G4" s="108"/>
      <c r="H4" s="108"/>
      <c r="I4" s="107"/>
      <c r="J4" s="107"/>
      <c r="K4" s="107"/>
      <c r="L4" s="109"/>
      <c r="M4" s="107"/>
      <c r="N4" s="107"/>
      <c r="O4" s="61"/>
    </row>
    <row r="5" spans="1:18">
      <c r="A5" s="109"/>
      <c r="B5" s="108"/>
      <c r="C5" s="61"/>
      <c r="D5" s="61"/>
      <c r="E5" s="124" t="s">
        <v>161</v>
      </c>
      <c r="F5" s="124"/>
      <c r="G5" s="124"/>
      <c r="H5" s="124"/>
      <c r="I5" s="124"/>
      <c r="J5" s="124"/>
      <c r="K5" s="124"/>
      <c r="L5" s="109"/>
      <c r="M5" s="124" t="s">
        <v>160</v>
      </c>
      <c r="N5" s="124"/>
      <c r="O5" s="124"/>
    </row>
    <row r="6" spans="1:18" ht="63">
      <c r="A6" s="187"/>
      <c r="B6" s="188"/>
      <c r="C6" s="189"/>
      <c r="D6" s="189"/>
      <c r="E6" s="190" t="s">
        <v>7</v>
      </c>
      <c r="F6" s="190" t="s">
        <v>8</v>
      </c>
      <c r="G6" s="190" t="s">
        <v>72</v>
      </c>
      <c r="H6" s="190" t="s">
        <v>9</v>
      </c>
      <c r="I6" s="190" t="s">
        <v>10</v>
      </c>
      <c r="J6" s="190" t="s">
        <v>11</v>
      </c>
      <c r="K6" s="190" t="s">
        <v>159</v>
      </c>
      <c r="L6" s="191"/>
      <c r="M6" s="190" t="s">
        <v>50</v>
      </c>
      <c r="N6" s="190" t="s">
        <v>51</v>
      </c>
      <c r="O6" s="190" t="s">
        <v>52</v>
      </c>
    </row>
    <row r="7" spans="1:18">
      <c r="A7" s="61"/>
      <c r="B7" s="61"/>
      <c r="C7" s="61"/>
      <c r="D7" s="61"/>
      <c r="E7" s="61"/>
      <c r="F7" s="61"/>
      <c r="G7" s="61"/>
      <c r="H7" s="61"/>
      <c r="I7" s="61"/>
      <c r="J7" s="61"/>
      <c r="K7" s="61"/>
      <c r="L7" s="109"/>
      <c r="M7" s="61"/>
      <c r="N7" s="61"/>
    </row>
    <row r="8" spans="1:18">
      <c r="A8" s="61"/>
      <c r="B8" s="108" t="s">
        <v>32</v>
      </c>
      <c r="C8" s="108" t="s">
        <v>33</v>
      </c>
      <c r="D8" s="108"/>
      <c r="E8" s="108"/>
      <c r="F8" s="108"/>
      <c r="G8" s="108"/>
      <c r="H8" s="108"/>
      <c r="I8" s="61"/>
      <c r="J8" s="61"/>
      <c r="K8" s="61"/>
      <c r="L8" s="109"/>
      <c r="M8" s="61"/>
      <c r="N8" s="61"/>
    </row>
    <row r="9" spans="1:18">
      <c r="A9" s="66" t="s">
        <v>43</v>
      </c>
      <c r="B9" s="110"/>
      <c r="C9" s="111">
        <v>183.56123999999997</v>
      </c>
      <c r="D9" s="111"/>
      <c r="E9" s="63" t="s">
        <v>59</v>
      </c>
      <c r="F9" s="63" t="s">
        <v>59</v>
      </c>
      <c r="G9" s="63" t="s">
        <v>59</v>
      </c>
      <c r="H9" s="63" t="s">
        <v>59</v>
      </c>
      <c r="I9" s="63" t="s">
        <v>60</v>
      </c>
      <c r="J9" s="63" t="s">
        <v>61</v>
      </c>
      <c r="K9" s="62"/>
      <c r="L9" s="125"/>
      <c r="M9" s="63" t="s">
        <v>59</v>
      </c>
      <c r="N9" s="63" t="s">
        <v>59</v>
      </c>
      <c r="O9" s="63" t="s">
        <v>60</v>
      </c>
    </row>
    <row r="10" spans="1:18">
      <c r="A10" s="66" t="s">
        <v>34</v>
      </c>
      <c r="B10" s="110"/>
      <c r="C10" s="62"/>
      <c r="D10" s="62"/>
      <c r="E10" s="64">
        <v>472.65</v>
      </c>
      <c r="F10" s="64">
        <v>472.65</v>
      </c>
      <c r="G10" s="64">
        <v>472.65</v>
      </c>
      <c r="H10" s="64">
        <v>472.65</v>
      </c>
      <c r="I10" s="64">
        <v>562.52</v>
      </c>
      <c r="J10" s="64">
        <v>690.7</v>
      </c>
      <c r="K10" s="62"/>
      <c r="L10" s="125"/>
      <c r="M10" s="64">
        <v>472.65</v>
      </c>
      <c r="N10" s="64">
        <v>472.65</v>
      </c>
      <c r="O10" s="64">
        <v>562.52</v>
      </c>
    </row>
    <row r="11" spans="1:18">
      <c r="A11" s="66" t="s">
        <v>38</v>
      </c>
      <c r="B11" s="110">
        <v>7.8</v>
      </c>
      <c r="C11" s="112" t="s">
        <v>58</v>
      </c>
      <c r="D11" s="112"/>
      <c r="E11" s="64">
        <f t="shared" ref="E11:J11" si="0">$B11*$C$9</f>
        <v>1431.7776719999997</v>
      </c>
      <c r="F11" s="64">
        <f t="shared" si="0"/>
        <v>1431.7776719999997</v>
      </c>
      <c r="G11" s="64">
        <f t="shared" si="0"/>
        <v>1431.7776719999997</v>
      </c>
      <c r="H11" s="64">
        <f t="shared" si="0"/>
        <v>1431.7776719999997</v>
      </c>
      <c r="I11" s="64">
        <f t="shared" si="0"/>
        <v>1431.7776719999997</v>
      </c>
      <c r="J11" s="64">
        <f t="shared" si="0"/>
        <v>1431.7776719999997</v>
      </c>
      <c r="K11" s="62"/>
      <c r="L11" s="125"/>
      <c r="M11" s="64">
        <f>$B11*$C$9</f>
        <v>1431.7776719999997</v>
      </c>
      <c r="N11" s="64">
        <f>$B11*$C$9</f>
        <v>1431.7776719999997</v>
      </c>
      <c r="O11" s="64">
        <f>$B11*$C$9</f>
        <v>1431.7776719999997</v>
      </c>
    </row>
    <row r="12" spans="1:18">
      <c r="A12" s="66" t="s">
        <v>35</v>
      </c>
      <c r="B12" s="110"/>
      <c r="C12" s="63"/>
      <c r="D12" s="63"/>
      <c r="E12" s="65">
        <f>SUM(E10:E11)</f>
        <v>1904.4276719999998</v>
      </c>
      <c r="F12" s="65">
        <f t="shared" ref="F12:J12" si="1">SUM(F10:F11)</f>
        <v>1904.4276719999998</v>
      </c>
      <c r="G12" s="65">
        <f t="shared" si="1"/>
        <v>1904.4276719999998</v>
      </c>
      <c r="H12" s="65">
        <f t="shared" si="1"/>
        <v>1904.4276719999998</v>
      </c>
      <c r="I12" s="65">
        <f t="shared" si="1"/>
        <v>1994.2976719999997</v>
      </c>
      <c r="J12" s="65">
        <f t="shared" si="1"/>
        <v>2122.477672</v>
      </c>
      <c r="K12" s="65"/>
      <c r="L12" s="126"/>
      <c r="M12" s="65">
        <f>SUM(M10:M11)</f>
        <v>1904.4276719999998</v>
      </c>
      <c r="N12" s="65">
        <f t="shared" ref="N12:O12" si="2">SUM(N10:N11)</f>
        <v>1904.4276719999998</v>
      </c>
      <c r="O12" s="65">
        <f t="shared" si="2"/>
        <v>1994.2976719999997</v>
      </c>
    </row>
    <row r="13" spans="1:18">
      <c r="A13" s="66" t="s">
        <v>36</v>
      </c>
      <c r="B13" s="110"/>
      <c r="C13" s="63"/>
      <c r="D13" s="63"/>
      <c r="E13" s="67">
        <v>1.12E-2</v>
      </c>
      <c r="F13" s="67">
        <v>1.12E-2</v>
      </c>
      <c r="G13" s="67">
        <v>1.12E-2</v>
      </c>
      <c r="H13" s="67">
        <v>1.12E-2</v>
      </c>
      <c r="I13" s="67">
        <v>1.12E-2</v>
      </c>
      <c r="J13" s="67">
        <v>1.12E-2</v>
      </c>
      <c r="K13" s="67"/>
      <c r="L13" s="127"/>
      <c r="M13" s="67">
        <v>8.0000000000000002E-3</v>
      </c>
      <c r="N13" s="67">
        <v>8.0000000000000002E-3</v>
      </c>
      <c r="O13" s="67">
        <v>8.0000000000000002E-3</v>
      </c>
    </row>
    <row r="14" spans="1:18">
      <c r="A14" s="66" t="s">
        <v>37</v>
      </c>
      <c r="B14" s="110"/>
      <c r="C14" s="63"/>
      <c r="D14" s="63"/>
      <c r="E14" s="64">
        <f t="shared" ref="E14:I14" si="3">+E12*E13</f>
        <v>21.329589926399997</v>
      </c>
      <c r="F14" s="64">
        <f t="shared" si="3"/>
        <v>21.329589926399997</v>
      </c>
      <c r="G14" s="64">
        <f t="shared" si="3"/>
        <v>21.329589926399997</v>
      </c>
      <c r="H14" s="64">
        <f t="shared" si="3"/>
        <v>21.329589926399997</v>
      </c>
      <c r="I14" s="64">
        <f t="shared" si="3"/>
        <v>22.336133926399995</v>
      </c>
      <c r="J14" s="64">
        <f>+J12*J13</f>
        <v>23.771749926399998</v>
      </c>
      <c r="K14" s="64"/>
      <c r="L14" s="128"/>
      <c r="M14" s="64">
        <f t="shared" ref="M14:N14" si="4">+M12*M13</f>
        <v>15.235421375999998</v>
      </c>
      <c r="N14" s="64">
        <f t="shared" si="4"/>
        <v>15.235421375999998</v>
      </c>
      <c r="O14" s="64">
        <f>+O12*O13</f>
        <v>15.954381375999997</v>
      </c>
    </row>
    <row r="15" spans="1:18">
      <c r="A15" s="62"/>
      <c r="B15" s="110"/>
      <c r="C15" s="63"/>
      <c r="D15" s="63"/>
      <c r="E15" s="62"/>
      <c r="F15" s="62"/>
      <c r="G15" s="62"/>
      <c r="H15" s="62"/>
      <c r="I15" s="62"/>
      <c r="J15" s="62"/>
      <c r="K15" s="62"/>
      <c r="L15" s="125"/>
      <c r="M15" s="62"/>
      <c r="N15" s="62"/>
      <c r="O15" s="62"/>
    </row>
    <row r="16" spans="1:18">
      <c r="A16" s="66" t="s">
        <v>44</v>
      </c>
      <c r="B16" s="110"/>
      <c r="C16" s="113"/>
      <c r="D16" s="113"/>
      <c r="E16" s="63" t="s">
        <v>62</v>
      </c>
      <c r="F16" s="63" t="s">
        <v>62</v>
      </c>
      <c r="G16" s="63" t="s">
        <v>62</v>
      </c>
      <c r="H16" s="63" t="s">
        <v>62</v>
      </c>
      <c r="I16" s="63" t="s">
        <v>59</v>
      </c>
      <c r="J16" s="63" t="s">
        <v>60</v>
      </c>
      <c r="K16" s="113" t="s">
        <v>62</v>
      </c>
      <c r="L16" s="129"/>
      <c r="M16" s="66"/>
      <c r="N16" s="62"/>
      <c r="O16" s="66"/>
    </row>
    <row r="17" spans="1:15">
      <c r="A17" s="66" t="s">
        <v>34</v>
      </c>
      <c r="B17" s="110"/>
      <c r="C17" s="113"/>
      <c r="D17" s="113"/>
      <c r="E17" s="64">
        <v>652.07000000000005</v>
      </c>
      <c r="F17" s="64">
        <v>652.07000000000005</v>
      </c>
      <c r="G17" s="64">
        <v>652.07000000000005</v>
      </c>
      <c r="H17" s="64">
        <v>652.07000000000005</v>
      </c>
      <c r="I17" s="64">
        <v>1285.45</v>
      </c>
      <c r="J17" s="64">
        <v>2251.84</v>
      </c>
      <c r="K17" s="64">
        <v>665.6</v>
      </c>
      <c r="L17" s="128"/>
      <c r="M17" s="64"/>
      <c r="N17" s="62"/>
      <c r="O17" s="64"/>
    </row>
    <row r="18" spans="1:15">
      <c r="A18" s="66" t="s">
        <v>38</v>
      </c>
      <c r="B18" s="110">
        <v>6.9</v>
      </c>
      <c r="C18" s="112" t="s">
        <v>58</v>
      </c>
      <c r="D18" s="112"/>
      <c r="E18" s="64">
        <f t="shared" ref="E18:K18" si="5">$B18*$C$9</f>
        <v>1266.5725559999998</v>
      </c>
      <c r="F18" s="64">
        <f t="shared" si="5"/>
        <v>1266.5725559999998</v>
      </c>
      <c r="G18" s="64">
        <f t="shared" si="5"/>
        <v>1266.5725559999998</v>
      </c>
      <c r="H18" s="64">
        <f t="shared" si="5"/>
        <v>1266.5725559999998</v>
      </c>
      <c r="I18" s="64">
        <f t="shared" si="5"/>
        <v>1266.5725559999998</v>
      </c>
      <c r="J18" s="64">
        <f t="shared" si="5"/>
        <v>1266.5725559999998</v>
      </c>
      <c r="K18" s="64">
        <f t="shared" si="5"/>
        <v>1266.5725559999998</v>
      </c>
      <c r="L18" s="128"/>
      <c r="M18" s="64"/>
      <c r="N18" s="62"/>
      <c r="O18" s="64"/>
    </row>
    <row r="19" spans="1:15">
      <c r="A19" s="66" t="s">
        <v>35</v>
      </c>
      <c r="B19" s="110"/>
      <c r="C19" s="113"/>
      <c r="D19" s="113"/>
      <c r="E19" s="65">
        <f>SUM(E17:E18)</f>
        <v>1918.6425559999998</v>
      </c>
      <c r="F19" s="65">
        <f t="shared" ref="F19:J19" si="6">SUM(F17:F18)</f>
        <v>1918.6425559999998</v>
      </c>
      <c r="G19" s="65">
        <f t="shared" si="6"/>
        <v>1918.6425559999998</v>
      </c>
      <c r="H19" s="65">
        <f t="shared" si="6"/>
        <v>1918.6425559999998</v>
      </c>
      <c r="I19" s="65">
        <f t="shared" si="6"/>
        <v>2552.0225559999999</v>
      </c>
      <c r="J19" s="65">
        <f t="shared" si="6"/>
        <v>3518.4125560000002</v>
      </c>
      <c r="K19" s="65">
        <f>SUM(K17:K18)</f>
        <v>1932.172556</v>
      </c>
      <c r="L19" s="126"/>
      <c r="M19" s="65"/>
      <c r="N19" s="65"/>
      <c r="O19" s="65"/>
    </row>
    <row r="20" spans="1:15">
      <c r="A20" s="66" t="s">
        <v>36</v>
      </c>
      <c r="B20" s="110"/>
      <c r="C20" s="113"/>
      <c r="D20" s="113"/>
      <c r="E20" s="67">
        <v>4.8421052631578941E-3</v>
      </c>
      <c r="F20" s="67">
        <v>4.8421052631578941E-3</v>
      </c>
      <c r="G20" s="67">
        <v>4.8421052631578941E-3</v>
      </c>
      <c r="H20" s="67">
        <v>4.8421052631578941E-3</v>
      </c>
      <c r="I20" s="67">
        <v>4.8421052631578941E-3</v>
      </c>
      <c r="J20" s="67">
        <v>4.8421052631578941E-3</v>
      </c>
      <c r="K20" s="67">
        <v>3.5000000000000001E-3</v>
      </c>
      <c r="L20" s="127"/>
      <c r="M20" s="68"/>
      <c r="N20" s="68"/>
      <c r="O20" s="68"/>
    </row>
    <row r="21" spans="1:15">
      <c r="A21" s="66" t="s">
        <v>37</v>
      </c>
      <c r="B21" s="110"/>
      <c r="C21" s="113"/>
      <c r="D21" s="113"/>
      <c r="E21" s="64">
        <f t="shared" ref="E21:I21" si="7">+E19*E20</f>
        <v>9.2902692185263138</v>
      </c>
      <c r="F21" s="64">
        <f t="shared" si="7"/>
        <v>9.2902692185263138</v>
      </c>
      <c r="G21" s="64">
        <f t="shared" si="7"/>
        <v>9.2902692185263138</v>
      </c>
      <c r="H21" s="64">
        <f t="shared" si="7"/>
        <v>9.2902692185263138</v>
      </c>
      <c r="I21" s="64">
        <f t="shared" si="7"/>
        <v>12.35716185010526</v>
      </c>
      <c r="J21" s="64">
        <f>+J19*J20</f>
        <v>17.03652395536842</v>
      </c>
      <c r="K21" s="64">
        <f t="shared" ref="K21" si="8">+K19*K20</f>
        <v>6.7626039460000005</v>
      </c>
      <c r="L21" s="128"/>
      <c r="M21" s="64"/>
      <c r="N21" s="64"/>
      <c r="O21" s="64"/>
    </row>
    <row r="22" spans="1:15">
      <c r="A22" s="66"/>
      <c r="B22" s="110"/>
      <c r="C22" s="113"/>
      <c r="D22" s="113"/>
      <c r="E22" s="66"/>
      <c r="F22" s="66"/>
      <c r="G22" s="66"/>
      <c r="H22" s="66"/>
      <c r="I22" s="62"/>
      <c r="J22" s="62"/>
      <c r="K22" s="66"/>
      <c r="L22" s="129"/>
      <c r="M22" s="66"/>
      <c r="N22" s="62"/>
      <c r="O22" s="66"/>
    </row>
    <row r="23" spans="1:15">
      <c r="A23" s="66" t="s">
        <v>45</v>
      </c>
      <c r="B23" s="110"/>
      <c r="C23" s="63"/>
      <c r="D23" s="63"/>
      <c r="E23" s="63" t="s">
        <v>59</v>
      </c>
      <c r="F23" s="63" t="s">
        <v>59</v>
      </c>
      <c r="G23" s="63" t="s">
        <v>59</v>
      </c>
      <c r="H23" s="63" t="s">
        <v>59</v>
      </c>
      <c r="I23" s="63" t="s">
        <v>60</v>
      </c>
      <c r="J23" s="63" t="s">
        <v>61</v>
      </c>
      <c r="K23" s="62"/>
      <c r="L23" s="125"/>
      <c r="M23" s="62"/>
      <c r="N23" s="62"/>
      <c r="O23" s="62"/>
    </row>
    <row r="24" spans="1:15">
      <c r="A24" s="66" t="s">
        <v>34</v>
      </c>
      <c r="B24" s="110"/>
      <c r="C24" s="63"/>
      <c r="D24" s="63"/>
      <c r="E24" s="64">
        <v>788.32</v>
      </c>
      <c r="F24" s="64">
        <v>788.32</v>
      </c>
      <c r="G24" s="64">
        <v>788.32</v>
      </c>
      <c r="H24" s="64">
        <v>788.32</v>
      </c>
      <c r="I24" s="64">
        <v>948.82500000000005</v>
      </c>
      <c r="J24" s="64">
        <v>1194.55</v>
      </c>
      <c r="K24" s="64"/>
      <c r="L24" s="128"/>
      <c r="M24" s="64"/>
      <c r="N24" s="62"/>
      <c r="O24" s="64"/>
    </row>
    <row r="25" spans="1:15">
      <c r="A25" s="66" t="s">
        <v>38</v>
      </c>
      <c r="B25" s="110">
        <v>6.2</v>
      </c>
      <c r="C25" s="112" t="s">
        <v>58</v>
      </c>
      <c r="D25" s="112"/>
      <c r="E25" s="64">
        <f t="shared" ref="E25:J25" si="9">$B25*$C$9</f>
        <v>1138.0796879999998</v>
      </c>
      <c r="F25" s="64">
        <f t="shared" si="9"/>
        <v>1138.0796879999998</v>
      </c>
      <c r="G25" s="64">
        <f t="shared" si="9"/>
        <v>1138.0796879999998</v>
      </c>
      <c r="H25" s="64">
        <f t="shared" si="9"/>
        <v>1138.0796879999998</v>
      </c>
      <c r="I25" s="64">
        <f t="shared" si="9"/>
        <v>1138.0796879999998</v>
      </c>
      <c r="J25" s="64">
        <f t="shared" si="9"/>
        <v>1138.0796879999998</v>
      </c>
      <c r="K25" s="64"/>
      <c r="L25" s="128"/>
      <c r="M25" s="64"/>
      <c r="N25" s="62"/>
      <c r="O25" s="64"/>
    </row>
    <row r="26" spans="1:15">
      <c r="A26" s="66" t="s">
        <v>35</v>
      </c>
      <c r="B26" s="110"/>
      <c r="C26" s="63"/>
      <c r="D26" s="63"/>
      <c r="E26" s="65">
        <f>SUM(E24:E25)</f>
        <v>1926.399688</v>
      </c>
      <c r="F26" s="65">
        <f t="shared" ref="F26" si="10">SUM(F24:F25)</f>
        <v>1926.399688</v>
      </c>
      <c r="G26" s="65">
        <f t="shared" ref="G26" si="11">SUM(G24:G25)</f>
        <v>1926.399688</v>
      </c>
      <c r="H26" s="65">
        <f t="shared" ref="H26" si="12">SUM(H24:H25)</f>
        <v>1926.399688</v>
      </c>
      <c r="I26" s="65">
        <f t="shared" ref="I26" si="13">SUM(I24:I25)</f>
        <v>2086.9046879999996</v>
      </c>
      <c r="J26" s="65">
        <f t="shared" ref="J26" si="14">SUM(J24:J25)</f>
        <v>2332.629688</v>
      </c>
      <c r="K26" s="65"/>
      <c r="L26" s="126"/>
      <c r="M26" s="65"/>
      <c r="N26" s="65"/>
      <c r="O26" s="65"/>
    </row>
    <row r="27" spans="1:15">
      <c r="A27" s="66" t="s">
        <v>36</v>
      </c>
      <c r="B27" s="110"/>
      <c r="C27" s="63"/>
      <c r="D27" s="63"/>
      <c r="E27" s="67">
        <v>5.0000000000000001E-3</v>
      </c>
      <c r="F27" s="67">
        <v>5.0000000000000001E-3</v>
      </c>
      <c r="G27" s="67">
        <v>5.0000000000000001E-3</v>
      </c>
      <c r="H27" s="67">
        <v>5.0000000000000001E-3</v>
      </c>
      <c r="I27" s="67">
        <v>5.0000000000000001E-3</v>
      </c>
      <c r="J27" s="67">
        <v>5.0000000000000001E-3</v>
      </c>
      <c r="K27" s="68"/>
      <c r="L27" s="130"/>
      <c r="M27" s="68"/>
      <c r="N27" s="68"/>
      <c r="O27" s="68"/>
    </row>
    <row r="28" spans="1:15">
      <c r="A28" s="66" t="s">
        <v>37</v>
      </c>
      <c r="B28" s="110"/>
      <c r="C28" s="63"/>
      <c r="D28" s="63"/>
      <c r="E28" s="64">
        <f t="shared" ref="E28:I28" si="15">+E26*E27</f>
        <v>9.6319984400000003</v>
      </c>
      <c r="F28" s="64">
        <f t="shared" si="15"/>
        <v>9.6319984400000003</v>
      </c>
      <c r="G28" s="64">
        <f t="shared" si="15"/>
        <v>9.6319984400000003</v>
      </c>
      <c r="H28" s="64">
        <f t="shared" si="15"/>
        <v>9.6319984400000003</v>
      </c>
      <c r="I28" s="64">
        <f t="shared" si="15"/>
        <v>10.434523439999998</v>
      </c>
      <c r="J28" s="64">
        <f>+J26*J27</f>
        <v>11.663148440000001</v>
      </c>
      <c r="K28" s="64"/>
      <c r="L28" s="128"/>
      <c r="M28" s="64"/>
      <c r="N28" s="64"/>
      <c r="O28" s="64"/>
    </row>
    <row r="29" spans="1:15">
      <c r="A29" s="66"/>
      <c r="B29" s="110"/>
      <c r="C29" s="113"/>
      <c r="D29" s="113"/>
      <c r="E29" s="66"/>
      <c r="F29" s="66"/>
      <c r="G29" s="66"/>
      <c r="H29" s="66"/>
      <c r="I29" s="62"/>
      <c r="J29" s="62"/>
      <c r="K29" s="66"/>
      <c r="L29" s="129"/>
      <c r="M29" s="66"/>
      <c r="N29" s="62"/>
      <c r="O29" s="66"/>
    </row>
    <row r="30" spans="1:15">
      <c r="A30" s="66" t="s">
        <v>46</v>
      </c>
      <c r="B30" s="110"/>
      <c r="C30" s="63"/>
      <c r="D30" s="63"/>
      <c r="E30" s="62"/>
      <c r="F30" s="62"/>
      <c r="G30" s="62"/>
      <c r="H30" s="62"/>
      <c r="I30" s="62"/>
      <c r="J30" s="62"/>
      <c r="K30" s="62"/>
      <c r="L30" s="125"/>
      <c r="M30" s="62"/>
      <c r="N30" s="62"/>
      <c r="O30" s="62"/>
    </row>
    <row r="31" spans="1:15">
      <c r="A31" s="66" t="s">
        <v>34</v>
      </c>
      <c r="B31" s="110"/>
      <c r="C31" s="63"/>
      <c r="D31" s="63"/>
      <c r="E31" s="64">
        <v>217.13</v>
      </c>
      <c r="F31" s="64">
        <v>217.13</v>
      </c>
      <c r="G31" s="64">
        <v>217.13</v>
      </c>
      <c r="H31" s="64">
        <v>217.13</v>
      </c>
      <c r="I31" s="64">
        <v>217.13</v>
      </c>
      <c r="J31" s="64">
        <v>217.13</v>
      </c>
      <c r="K31" s="64"/>
      <c r="L31" s="128"/>
      <c r="M31" s="64">
        <v>165.19200000000001</v>
      </c>
      <c r="N31" s="64">
        <v>165.19200000000001</v>
      </c>
      <c r="O31" s="64">
        <v>165.19200000000001</v>
      </c>
    </row>
    <row r="32" spans="1:15">
      <c r="A32" s="66" t="s">
        <v>38</v>
      </c>
      <c r="B32" s="110">
        <v>2.2000000000000002</v>
      </c>
      <c r="C32" s="112" t="s">
        <v>58</v>
      </c>
      <c r="D32" s="112"/>
      <c r="E32" s="64">
        <f t="shared" ref="E32:J32" si="16">$B32*$C$9</f>
        <v>403.83472799999998</v>
      </c>
      <c r="F32" s="64">
        <f t="shared" si="16"/>
        <v>403.83472799999998</v>
      </c>
      <c r="G32" s="64">
        <f t="shared" si="16"/>
        <v>403.83472799999998</v>
      </c>
      <c r="H32" s="64">
        <f t="shared" si="16"/>
        <v>403.83472799999998</v>
      </c>
      <c r="I32" s="64">
        <f t="shared" si="16"/>
        <v>403.83472799999998</v>
      </c>
      <c r="J32" s="64">
        <f t="shared" si="16"/>
        <v>403.83472799999998</v>
      </c>
      <c r="K32" s="64"/>
      <c r="L32" s="128"/>
      <c r="M32" s="64">
        <f>$B32*$C$9</f>
        <v>403.83472799999998</v>
      </c>
      <c r="N32" s="64">
        <f>$B32*$C$9</f>
        <v>403.83472799999998</v>
      </c>
      <c r="O32" s="64">
        <f>$B32*$C$9</f>
        <v>403.83472799999998</v>
      </c>
    </row>
    <row r="33" spans="1:15">
      <c r="A33" s="66" t="s">
        <v>35</v>
      </c>
      <c r="B33" s="110"/>
      <c r="C33" s="62"/>
      <c r="D33" s="62"/>
      <c r="E33" s="65">
        <f>SUM(E31:E32)</f>
        <v>620.96472799999992</v>
      </c>
      <c r="F33" s="65">
        <f t="shared" ref="F33" si="17">SUM(F31:F32)</f>
        <v>620.96472799999992</v>
      </c>
      <c r="G33" s="65">
        <f t="shared" ref="G33" si="18">SUM(G31:G32)</f>
        <v>620.96472799999992</v>
      </c>
      <c r="H33" s="65">
        <f t="shared" ref="H33" si="19">SUM(H31:H32)</f>
        <v>620.96472799999992</v>
      </c>
      <c r="I33" s="65">
        <f t="shared" ref="I33" si="20">SUM(I31:I32)</f>
        <v>620.96472799999992</v>
      </c>
      <c r="J33" s="65">
        <f t="shared" ref="J33" si="21">SUM(J31:J32)</f>
        <v>620.96472799999992</v>
      </c>
      <c r="K33" s="65"/>
      <c r="L33" s="126"/>
      <c r="M33" s="65">
        <f>SUM(M31:M32)</f>
        <v>569.02672800000005</v>
      </c>
      <c r="N33" s="65">
        <f t="shared" ref="N33" si="22">SUM(N31:N32)</f>
        <v>569.02672800000005</v>
      </c>
      <c r="O33" s="65">
        <f t="shared" ref="O33" si="23">SUM(O31:O32)</f>
        <v>569.02672800000005</v>
      </c>
    </row>
    <row r="34" spans="1:15">
      <c r="A34" s="66" t="s">
        <v>36</v>
      </c>
      <c r="B34" s="110"/>
      <c r="C34" s="62"/>
      <c r="D34" s="62"/>
      <c r="E34" s="67">
        <v>1.2999999999999999E-2</v>
      </c>
      <c r="F34" s="67">
        <v>1.2999999999999999E-2</v>
      </c>
      <c r="G34" s="67">
        <v>1.2999999999999999E-2</v>
      </c>
      <c r="H34" s="67">
        <v>1.2999999999999999E-2</v>
      </c>
      <c r="I34" s="67">
        <v>1.2999999999999999E-2</v>
      </c>
      <c r="J34" s="67">
        <v>1.2999999999999999E-2</v>
      </c>
      <c r="K34" s="68"/>
      <c r="L34" s="130"/>
      <c r="M34" s="67">
        <v>6.0000000000000001E-3</v>
      </c>
      <c r="N34" s="67">
        <v>6.0000000000000001E-3</v>
      </c>
      <c r="O34" s="67">
        <v>6.0000000000000001E-3</v>
      </c>
    </row>
    <row r="35" spans="1:15">
      <c r="A35" s="66" t="s">
        <v>37</v>
      </c>
      <c r="B35" s="110"/>
      <c r="C35" s="62"/>
      <c r="D35" s="62"/>
      <c r="E35" s="64">
        <f t="shared" ref="E35:I35" si="24">+E33*E34</f>
        <v>8.0725414639999986</v>
      </c>
      <c r="F35" s="64">
        <f t="shared" si="24"/>
        <v>8.0725414639999986</v>
      </c>
      <c r="G35" s="64">
        <f t="shared" si="24"/>
        <v>8.0725414639999986</v>
      </c>
      <c r="H35" s="64">
        <f t="shared" si="24"/>
        <v>8.0725414639999986</v>
      </c>
      <c r="I35" s="64">
        <f t="shared" si="24"/>
        <v>8.0725414639999986</v>
      </c>
      <c r="J35" s="64">
        <f>+J33*J34</f>
        <v>8.0725414639999986</v>
      </c>
      <c r="K35" s="64"/>
      <c r="L35" s="128"/>
      <c r="M35" s="64">
        <f t="shared" ref="M35:N35" si="25">+M33*M34</f>
        <v>3.4141603680000006</v>
      </c>
      <c r="N35" s="64">
        <f t="shared" si="25"/>
        <v>3.4141603680000006</v>
      </c>
      <c r="O35" s="64">
        <f>+O33*O34</f>
        <v>3.4141603680000006</v>
      </c>
    </row>
    <row r="36" spans="1:15">
      <c r="A36" s="62"/>
      <c r="B36" s="110"/>
      <c r="C36" s="62"/>
      <c r="D36" s="62"/>
      <c r="E36" s="62"/>
      <c r="F36" s="62"/>
      <c r="G36" s="62"/>
      <c r="H36" s="62"/>
      <c r="I36" s="62"/>
      <c r="J36" s="62"/>
      <c r="K36" s="62"/>
      <c r="L36" s="125"/>
      <c r="M36" s="62"/>
      <c r="N36" s="62"/>
      <c r="O36" s="62"/>
    </row>
    <row r="37" spans="1:15">
      <c r="A37" s="61" t="s">
        <v>39</v>
      </c>
      <c r="B37" s="114"/>
      <c r="C37" s="61"/>
      <c r="D37" s="61"/>
      <c r="E37" s="61"/>
      <c r="F37" s="61"/>
      <c r="G37" s="61"/>
      <c r="H37" s="61"/>
      <c r="I37" s="61"/>
      <c r="J37" s="61"/>
      <c r="K37" s="61"/>
      <c r="L37" s="109"/>
      <c r="M37" s="61"/>
      <c r="N37" s="61"/>
      <c r="O37" s="61"/>
    </row>
    <row r="38" spans="1:15">
      <c r="A38" s="61" t="s">
        <v>34</v>
      </c>
      <c r="B38" s="114"/>
      <c r="C38" s="61"/>
      <c r="D38" s="61"/>
      <c r="E38" s="64">
        <v>20.92</v>
      </c>
      <c r="F38" s="64">
        <v>20.92</v>
      </c>
      <c r="G38" s="64">
        <v>20.92</v>
      </c>
      <c r="H38" s="64">
        <v>20.92</v>
      </c>
      <c r="I38" s="64">
        <v>20.92</v>
      </c>
      <c r="J38" s="64">
        <v>20.92</v>
      </c>
      <c r="K38" s="64">
        <v>20.92</v>
      </c>
      <c r="L38" s="128"/>
      <c r="M38" s="64">
        <v>20.92</v>
      </c>
      <c r="N38" s="64">
        <v>20.92</v>
      </c>
      <c r="O38" s="64">
        <v>20.92</v>
      </c>
    </row>
    <row r="39" spans="1:15">
      <c r="A39" s="61" t="s">
        <v>38</v>
      </c>
      <c r="B39" s="114">
        <v>0.7</v>
      </c>
      <c r="C39" s="112" t="s">
        <v>63</v>
      </c>
      <c r="D39" s="112"/>
      <c r="E39" s="64">
        <f t="shared" ref="E39:O39" si="26">$B39*$C$9</f>
        <v>128.49286799999996</v>
      </c>
      <c r="F39" s="64">
        <f t="shared" si="26"/>
        <v>128.49286799999996</v>
      </c>
      <c r="G39" s="64">
        <f t="shared" si="26"/>
        <v>128.49286799999996</v>
      </c>
      <c r="H39" s="64">
        <f t="shared" si="26"/>
        <v>128.49286799999996</v>
      </c>
      <c r="I39" s="64">
        <f t="shared" si="26"/>
        <v>128.49286799999996</v>
      </c>
      <c r="J39" s="64">
        <f t="shared" si="26"/>
        <v>128.49286799999996</v>
      </c>
      <c r="K39" s="64">
        <f t="shared" si="26"/>
        <v>128.49286799999996</v>
      </c>
      <c r="L39" s="128"/>
      <c r="M39" s="64">
        <f t="shared" si="26"/>
        <v>128.49286799999996</v>
      </c>
      <c r="N39" s="64">
        <f t="shared" si="26"/>
        <v>128.49286799999996</v>
      </c>
      <c r="O39" s="64">
        <f t="shared" si="26"/>
        <v>128.49286799999996</v>
      </c>
    </row>
    <row r="40" spans="1:15">
      <c r="A40" s="61" t="s">
        <v>35</v>
      </c>
      <c r="B40" s="114"/>
      <c r="C40" s="108"/>
      <c r="D40" s="108"/>
      <c r="E40" s="65">
        <f>SUM(E38:E39)</f>
        <v>149.41286799999995</v>
      </c>
      <c r="F40" s="65">
        <f t="shared" ref="F40" si="27">SUM(F38:F39)</f>
        <v>149.41286799999995</v>
      </c>
      <c r="G40" s="65">
        <f t="shared" ref="G40" si="28">SUM(G38:G39)</f>
        <v>149.41286799999995</v>
      </c>
      <c r="H40" s="65">
        <f t="shared" ref="H40" si="29">SUM(H38:H39)</f>
        <v>149.41286799999995</v>
      </c>
      <c r="I40" s="65">
        <f t="shared" ref="I40:N40" si="30">SUM(I38:I39)</f>
        <v>149.41286799999995</v>
      </c>
      <c r="J40" s="65">
        <f t="shared" ref="J40" si="31">SUM(J38:J39)</f>
        <v>149.41286799999995</v>
      </c>
      <c r="K40" s="65">
        <f t="shared" ref="K40" si="32">SUM(K38:K39)</f>
        <v>149.41286799999995</v>
      </c>
      <c r="L40" s="126"/>
      <c r="M40" s="65">
        <f t="shared" si="30"/>
        <v>149.41286799999995</v>
      </c>
      <c r="N40" s="65">
        <f t="shared" si="30"/>
        <v>149.41286799999995</v>
      </c>
      <c r="O40" s="65">
        <f t="shared" ref="O40" si="33">SUM(O38:O39)</f>
        <v>149.41286799999995</v>
      </c>
    </row>
    <row r="41" spans="1:15">
      <c r="A41" s="61" t="s">
        <v>36</v>
      </c>
      <c r="B41" s="114"/>
      <c r="C41" s="108"/>
      <c r="D41" s="108"/>
      <c r="E41" s="67">
        <v>0.05</v>
      </c>
      <c r="F41" s="67">
        <v>0.05</v>
      </c>
      <c r="G41" s="67">
        <v>0.05</v>
      </c>
      <c r="H41" s="67">
        <v>0.05</v>
      </c>
      <c r="I41" s="67">
        <v>0.05</v>
      </c>
      <c r="J41" s="67">
        <v>0.05</v>
      </c>
      <c r="K41" s="67">
        <v>0.05</v>
      </c>
      <c r="L41" s="127"/>
      <c r="M41" s="67">
        <v>0.05</v>
      </c>
      <c r="N41" s="67">
        <v>0.05</v>
      </c>
      <c r="O41" s="67">
        <v>0.05</v>
      </c>
    </row>
    <row r="42" spans="1:15">
      <c r="A42" s="61" t="s">
        <v>37</v>
      </c>
      <c r="B42" s="114"/>
      <c r="C42" s="108"/>
      <c r="D42" s="108"/>
      <c r="E42" s="64">
        <f t="shared" ref="E42:I42" si="34">E40*E41</f>
        <v>7.4706433999999975</v>
      </c>
      <c r="F42" s="64">
        <f t="shared" si="34"/>
        <v>7.4706433999999975</v>
      </c>
      <c r="G42" s="64">
        <f t="shared" si="34"/>
        <v>7.4706433999999975</v>
      </c>
      <c r="H42" s="64">
        <f t="shared" si="34"/>
        <v>7.4706433999999975</v>
      </c>
      <c r="I42" s="64">
        <f t="shared" si="34"/>
        <v>7.4706433999999975</v>
      </c>
      <c r="J42" s="64">
        <f>J40*J41</f>
        <v>7.4706433999999975</v>
      </c>
      <c r="K42" s="64">
        <f t="shared" ref="K42" si="35">K40*K41</f>
        <v>7.4706433999999975</v>
      </c>
      <c r="L42" s="128"/>
      <c r="M42" s="64">
        <f t="shared" ref="M42:N42" si="36">M40*M41</f>
        <v>7.4706433999999975</v>
      </c>
      <c r="N42" s="64">
        <f t="shared" si="36"/>
        <v>7.4706433999999975</v>
      </c>
      <c r="O42" s="64">
        <f t="shared" ref="O42" si="37">O40*O41</f>
        <v>7.4706433999999975</v>
      </c>
    </row>
    <row r="43" spans="1:15">
      <c r="A43" s="61"/>
      <c r="B43" s="114"/>
      <c r="C43" s="108"/>
      <c r="D43" s="108"/>
      <c r="E43" s="61"/>
      <c r="F43" s="61"/>
      <c r="G43" s="61"/>
      <c r="H43" s="61"/>
      <c r="I43" s="61"/>
      <c r="J43" s="61"/>
      <c r="K43" s="61"/>
      <c r="L43" s="109"/>
      <c r="M43" s="61"/>
      <c r="N43" s="61"/>
      <c r="O43" s="61"/>
    </row>
    <row r="44" spans="1:15">
      <c r="A44" s="61" t="s">
        <v>40</v>
      </c>
      <c r="B44" s="114"/>
      <c r="C44" s="108"/>
      <c r="D44" s="108"/>
      <c r="E44" s="61"/>
      <c r="F44" s="61"/>
      <c r="G44" s="61"/>
      <c r="H44" s="61"/>
      <c r="I44" s="61"/>
      <c r="J44" s="61"/>
      <c r="K44" s="61"/>
      <c r="L44" s="109"/>
      <c r="M44" s="61"/>
      <c r="N44" s="61"/>
      <c r="O44" s="61"/>
    </row>
    <row r="45" spans="1:15">
      <c r="A45" s="61" t="s">
        <v>34</v>
      </c>
      <c r="B45" s="114"/>
      <c r="C45" s="108"/>
      <c r="D45" s="108"/>
      <c r="E45" s="64">
        <v>220.48</v>
      </c>
      <c r="F45" s="64">
        <v>286.14234999999996</v>
      </c>
      <c r="G45" s="64">
        <v>290.61144999999999</v>
      </c>
      <c r="H45" s="64">
        <v>300.08</v>
      </c>
      <c r="I45" s="64">
        <v>358.12074999999999</v>
      </c>
      <c r="J45" s="64">
        <v>598.33000000000004</v>
      </c>
      <c r="K45" s="64">
        <v>900</v>
      </c>
      <c r="L45" s="128"/>
      <c r="M45" s="64">
        <f>125*AreaLightsByClass!J17+202*(1-AreaLightsByClass!J17)</f>
        <v>149.861140642913</v>
      </c>
      <c r="N45" s="64">
        <v>244</v>
      </c>
      <c r="O45" s="64">
        <v>395</v>
      </c>
    </row>
    <row r="46" spans="1:15">
      <c r="A46" s="61" t="s">
        <v>38</v>
      </c>
      <c r="B46" s="114">
        <v>1.2</v>
      </c>
      <c r="C46" s="112" t="s">
        <v>63</v>
      </c>
      <c r="D46" s="112"/>
      <c r="E46" s="64">
        <f t="shared" ref="E46:O46" si="38">$B46*$C$9</f>
        <v>220.27348799999996</v>
      </c>
      <c r="F46" s="64">
        <f t="shared" si="38"/>
        <v>220.27348799999996</v>
      </c>
      <c r="G46" s="64">
        <f t="shared" si="38"/>
        <v>220.27348799999996</v>
      </c>
      <c r="H46" s="64">
        <f t="shared" si="38"/>
        <v>220.27348799999996</v>
      </c>
      <c r="I46" s="64">
        <f t="shared" si="38"/>
        <v>220.27348799999996</v>
      </c>
      <c r="J46" s="64">
        <f t="shared" si="38"/>
        <v>220.27348799999996</v>
      </c>
      <c r="K46" s="64">
        <f t="shared" si="38"/>
        <v>220.27348799999996</v>
      </c>
      <c r="L46" s="128"/>
      <c r="M46" s="64">
        <f t="shared" si="38"/>
        <v>220.27348799999996</v>
      </c>
      <c r="N46" s="64">
        <f t="shared" si="38"/>
        <v>220.27348799999996</v>
      </c>
      <c r="O46" s="64">
        <f t="shared" si="38"/>
        <v>220.27348799999996</v>
      </c>
    </row>
    <row r="47" spans="1:15">
      <c r="A47" s="61" t="s">
        <v>35</v>
      </c>
      <c r="B47" s="108"/>
      <c r="C47" s="61"/>
      <c r="D47" s="61"/>
      <c r="E47" s="65">
        <f>SUM(E45:E46)</f>
        <v>440.75348799999995</v>
      </c>
      <c r="F47" s="65">
        <f t="shared" ref="F47" si="39">SUM(F45:F46)</f>
        <v>506.41583799999989</v>
      </c>
      <c r="G47" s="65">
        <f t="shared" ref="G47" si="40">SUM(G45:G46)</f>
        <v>510.88493799999992</v>
      </c>
      <c r="H47" s="65">
        <f t="shared" ref="H47" si="41">SUM(H45:H46)</f>
        <v>520.35348799999997</v>
      </c>
      <c r="I47" s="65">
        <f t="shared" ref="I47" si="42">SUM(I45:I46)</f>
        <v>578.39423799999997</v>
      </c>
      <c r="J47" s="65">
        <f t="shared" ref="J47" si="43">SUM(J45:J46)</f>
        <v>818.60348799999997</v>
      </c>
      <c r="K47" s="65">
        <f t="shared" ref="K47" si="44">SUM(K45:K46)</f>
        <v>1120.273488</v>
      </c>
      <c r="L47" s="126"/>
      <c r="M47" s="65">
        <f t="shared" ref="M47:N47" si="45">SUM(M45:M46)</f>
        <v>370.13462864291296</v>
      </c>
      <c r="N47" s="65">
        <f t="shared" si="45"/>
        <v>464.27348799999993</v>
      </c>
      <c r="O47" s="65">
        <f t="shared" ref="O47" si="46">SUM(O45:O46)</f>
        <v>615.27348799999993</v>
      </c>
    </row>
    <row r="48" spans="1:15">
      <c r="A48" s="61" t="s">
        <v>36</v>
      </c>
      <c r="B48" s="108"/>
      <c r="C48" s="61"/>
      <c r="D48" s="61"/>
      <c r="E48" s="67">
        <v>0.05</v>
      </c>
      <c r="F48" s="67">
        <v>0.05</v>
      </c>
      <c r="G48" s="67">
        <v>0.05</v>
      </c>
      <c r="H48" s="67">
        <v>0.05</v>
      </c>
      <c r="I48" s="67">
        <v>0.04</v>
      </c>
      <c r="J48" s="67">
        <v>0.04</v>
      </c>
      <c r="K48" s="67">
        <v>0.04</v>
      </c>
      <c r="L48" s="127"/>
      <c r="M48" s="67">
        <v>0.04</v>
      </c>
      <c r="N48" s="67">
        <v>0.04</v>
      </c>
      <c r="O48" s="67">
        <v>0.04</v>
      </c>
    </row>
    <row r="49" spans="1:15">
      <c r="A49" s="61" t="s">
        <v>37</v>
      </c>
      <c r="B49" s="108"/>
      <c r="C49" s="61"/>
      <c r="D49" s="61"/>
      <c r="E49" s="64">
        <f t="shared" ref="E49:I49" si="47">E47*E48</f>
        <v>22.0376744</v>
      </c>
      <c r="F49" s="64">
        <f t="shared" si="47"/>
        <v>25.320791899999996</v>
      </c>
      <c r="G49" s="64">
        <f t="shared" si="47"/>
        <v>25.544246899999997</v>
      </c>
      <c r="H49" s="64">
        <f t="shared" si="47"/>
        <v>26.017674400000001</v>
      </c>
      <c r="I49" s="64">
        <f t="shared" si="47"/>
        <v>23.13576952</v>
      </c>
      <c r="J49" s="64">
        <f>J47*J48</f>
        <v>32.744139519999997</v>
      </c>
      <c r="K49" s="64">
        <f t="shared" ref="K49" si="48">K47*K48</f>
        <v>44.810939520000005</v>
      </c>
      <c r="L49" s="128"/>
      <c r="M49" s="64">
        <f t="shared" ref="M49:O49" si="49">M47*M48</f>
        <v>14.805385145716519</v>
      </c>
      <c r="N49" s="64">
        <f t="shared" si="49"/>
        <v>18.570939519999996</v>
      </c>
      <c r="O49" s="64">
        <f t="shared" si="49"/>
        <v>24.610939519999999</v>
      </c>
    </row>
    <row r="50" spans="1:15">
      <c r="A50" s="189"/>
      <c r="B50" s="188"/>
      <c r="C50" s="189"/>
      <c r="D50" s="189"/>
      <c r="E50" s="189"/>
      <c r="F50" s="189"/>
      <c r="G50" s="189"/>
      <c r="H50" s="189"/>
      <c r="I50" s="189"/>
      <c r="J50" s="189"/>
      <c r="K50" s="189"/>
      <c r="L50" s="187"/>
      <c r="M50" s="189"/>
      <c r="N50" s="189"/>
      <c r="O50" s="189"/>
    </row>
    <row r="51" spans="1:15">
      <c r="B51" s="120" t="s">
        <v>42</v>
      </c>
      <c r="D51" s="115"/>
      <c r="E51" s="115">
        <f t="shared" ref="E51:O51" si="50">E14+E21+E28+E35+E42+E49</f>
        <v>77.83271684892631</v>
      </c>
      <c r="F51" s="115">
        <f t="shared" si="50"/>
        <v>81.115834348926313</v>
      </c>
      <c r="G51" s="115">
        <f t="shared" si="50"/>
        <v>81.339289348926314</v>
      </c>
      <c r="H51" s="115">
        <f t="shared" si="50"/>
        <v>81.812716848926314</v>
      </c>
      <c r="I51" s="115">
        <f t="shared" si="50"/>
        <v>83.806773600505252</v>
      </c>
      <c r="J51" s="115">
        <f t="shared" si="50"/>
        <v>100.7587467057684</v>
      </c>
      <c r="K51" s="115">
        <f t="shared" ref="K51" si="51">K14+K21+K28+K35+K42+K49</f>
        <v>59.044186866000004</v>
      </c>
      <c r="L51" s="131"/>
      <c r="M51" s="115">
        <f t="shared" si="50"/>
        <v>40.925610289716516</v>
      </c>
      <c r="N51" s="115">
        <f t="shared" si="50"/>
        <v>44.691164663999992</v>
      </c>
      <c r="O51" s="115">
        <f t="shared" si="50"/>
        <v>51.450124663999993</v>
      </c>
    </row>
    <row r="52" spans="1:15">
      <c r="B52" s="120" t="s">
        <v>47</v>
      </c>
      <c r="E52" s="116">
        <f>E51/12</f>
        <v>6.4860597374105255</v>
      </c>
      <c r="F52" s="116">
        <f t="shared" ref="F52:I52" si="52">F51/12</f>
        <v>6.7596528624105261</v>
      </c>
      <c r="G52" s="116">
        <f t="shared" si="52"/>
        <v>6.7782741124105259</v>
      </c>
      <c r="H52" s="116">
        <f t="shared" si="52"/>
        <v>6.8177264040771925</v>
      </c>
      <c r="I52" s="116">
        <f t="shared" si="52"/>
        <v>6.9838978000421044</v>
      </c>
      <c r="J52" s="116">
        <f>J51/12</f>
        <v>8.3965622254807002</v>
      </c>
      <c r="K52" s="116">
        <f t="shared" ref="K52" si="53">K51/12</f>
        <v>4.9203489055</v>
      </c>
      <c r="L52" s="132"/>
      <c r="M52" s="116">
        <f t="shared" ref="M52:N52" si="54">M51/12</f>
        <v>3.4104675241430429</v>
      </c>
      <c r="N52" s="116">
        <f t="shared" si="54"/>
        <v>3.7242637219999994</v>
      </c>
      <c r="O52" s="116">
        <f t="shared" ref="O52" si="55">O51/12</f>
        <v>4.2875103886666661</v>
      </c>
    </row>
    <row r="53" spans="1:15">
      <c r="A53" s="192"/>
      <c r="B53" s="192"/>
      <c r="C53" s="192"/>
      <c r="D53" s="192"/>
      <c r="E53" s="192"/>
      <c r="F53" s="192"/>
      <c r="G53" s="192"/>
      <c r="H53" s="192"/>
      <c r="I53" s="192"/>
      <c r="J53" s="192"/>
      <c r="K53" s="192"/>
      <c r="L53" s="193"/>
      <c r="M53" s="192"/>
      <c r="N53" s="192"/>
      <c r="O53" s="192"/>
    </row>
    <row r="54" spans="1:15">
      <c r="B54" s="39" t="s">
        <v>15</v>
      </c>
      <c r="C54" s="14"/>
      <c r="E54" s="115">
        <f t="shared" ref="E54:J54" si="56">E47+E33-0.5*$C$9</f>
        <v>969.93759599999976</v>
      </c>
      <c r="F54" s="115">
        <f t="shared" si="56"/>
        <v>1035.5999459999998</v>
      </c>
      <c r="G54" s="115">
        <f t="shared" si="56"/>
        <v>1040.0690459999998</v>
      </c>
      <c r="H54" s="115">
        <f t="shared" si="56"/>
        <v>1049.5375959999999</v>
      </c>
      <c r="I54" s="115">
        <f t="shared" si="56"/>
        <v>1107.5783459999998</v>
      </c>
      <c r="J54" s="115">
        <f t="shared" si="56"/>
        <v>1347.7875959999999</v>
      </c>
      <c r="K54" s="115">
        <f>K47+K19-0.5*$C$9</f>
        <v>2960.6654240000003</v>
      </c>
      <c r="L54" s="115"/>
      <c r="M54" s="115">
        <f>M47+M33-0.5*$C$9</f>
        <v>847.38073664291301</v>
      </c>
      <c r="N54" s="115">
        <f>N47+N33-0.5*$C$9</f>
        <v>941.51959600000009</v>
      </c>
      <c r="O54" s="121">
        <f>O47+O33-0.5*$C$9</f>
        <v>1092.5195960000001</v>
      </c>
    </row>
    <row r="55" spans="1:15">
      <c r="B55" s="39" t="s">
        <v>48</v>
      </c>
      <c r="C55" s="122">
        <f>0.0453+0.0267+0.0101+0.0078</f>
        <v>8.9900000000000008E-2</v>
      </c>
      <c r="E55" s="123">
        <f t="shared" ref="E55:K55" si="57">E54*$C$55</f>
        <v>87.197389880399982</v>
      </c>
      <c r="F55" s="123">
        <f t="shared" si="57"/>
        <v>93.100435145399985</v>
      </c>
      <c r="G55" s="123">
        <f t="shared" si="57"/>
        <v>93.502207235399993</v>
      </c>
      <c r="H55" s="123">
        <f t="shared" si="57"/>
        <v>94.3534298804</v>
      </c>
      <c r="I55" s="123">
        <f t="shared" si="57"/>
        <v>99.57129330539999</v>
      </c>
      <c r="J55" s="123">
        <f t="shared" si="57"/>
        <v>121.1661048804</v>
      </c>
      <c r="K55" s="123">
        <f t="shared" si="57"/>
        <v>266.16382161760004</v>
      </c>
      <c r="L55" s="123"/>
      <c r="M55" s="123">
        <f>M54*$C$55</f>
        <v>76.179528224197881</v>
      </c>
      <c r="N55" s="123">
        <f>N54*$C$55</f>
        <v>84.642611680400009</v>
      </c>
      <c r="O55" s="123">
        <f>O54*$C$55</f>
        <v>98.217511680400023</v>
      </c>
    </row>
    <row r="56" spans="1:15">
      <c r="B56" s="39" t="s">
        <v>49</v>
      </c>
      <c r="C56" s="14"/>
      <c r="E56" s="123">
        <f t="shared" ref="E56:K56" si="58">E55/12</f>
        <v>7.2664491566999985</v>
      </c>
      <c r="F56" s="123">
        <f t="shared" si="58"/>
        <v>7.7583695954499987</v>
      </c>
      <c r="G56" s="123">
        <f t="shared" si="58"/>
        <v>7.7918506029499994</v>
      </c>
      <c r="H56" s="123">
        <f t="shared" si="58"/>
        <v>7.862785823366667</v>
      </c>
      <c r="I56" s="123">
        <f t="shared" si="58"/>
        <v>8.2976077754499986</v>
      </c>
      <c r="J56" s="123">
        <f t="shared" si="58"/>
        <v>10.0971754067</v>
      </c>
      <c r="K56" s="123">
        <f t="shared" si="58"/>
        <v>22.180318468133336</v>
      </c>
      <c r="L56" s="123"/>
      <c r="M56" s="123">
        <f>M55/12</f>
        <v>6.3482940186831565</v>
      </c>
      <c r="N56" s="123">
        <f>N55/12</f>
        <v>7.0535509733666677</v>
      </c>
      <c r="O56" s="123">
        <f>O55/12</f>
        <v>8.1847926400333346</v>
      </c>
    </row>
  </sheetData>
  <pageMargins left="0.7" right="0.7" top="0.75" bottom="0.75" header="0.3" footer="0.3"/>
  <pageSetup scale="48" fitToHeight="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9"/>
  <sheetViews>
    <sheetView view="pageBreakPreview" zoomScale="70" zoomScaleNormal="100" zoomScaleSheetLayoutView="70" workbookViewId="0"/>
  </sheetViews>
  <sheetFormatPr defaultColWidth="9.140625" defaultRowHeight="15.75"/>
  <cols>
    <col min="1" max="1" width="82.5703125" style="2" bestFit="1" customWidth="1"/>
    <col min="2" max="28" width="14" style="2" customWidth="1"/>
    <col min="29" max="16384" width="9.140625" style="2"/>
  </cols>
  <sheetData>
    <row r="1" spans="1:20">
      <c r="A1" s="1" t="s">
        <v>66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20">
      <c r="A2" s="1" t="s">
        <v>79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20">
      <c r="A3" s="1" t="s">
        <v>251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20">
      <c r="A4" s="1" t="s">
        <v>250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20">
      <c r="A5" s="1" t="s">
        <v>80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20">
      <c r="A6" s="1" t="s">
        <v>75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20">
      <c r="A7" s="1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6"/>
    </row>
    <row r="8" spans="1:20">
      <c r="A8" s="1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6"/>
    </row>
    <row r="9" spans="1:20">
      <c r="B9" s="25" t="s">
        <v>74</v>
      </c>
      <c r="C9" s="24"/>
      <c r="D9" s="24"/>
      <c r="E9" s="24"/>
      <c r="F9" s="25" t="s">
        <v>246</v>
      </c>
      <c r="G9" s="24"/>
      <c r="H9" s="24"/>
      <c r="I9" s="24"/>
      <c r="J9" s="24"/>
      <c r="K9" s="24"/>
      <c r="L9" s="24"/>
      <c r="M9" s="24"/>
      <c r="N9" s="24"/>
      <c r="O9" s="25" t="s">
        <v>5</v>
      </c>
      <c r="P9" s="24"/>
      <c r="Q9" s="24"/>
      <c r="R9" s="24"/>
      <c r="S9" s="24"/>
      <c r="T9" s="6"/>
    </row>
    <row r="10" spans="1:20">
      <c r="A10" s="6"/>
      <c r="B10" s="50"/>
      <c r="C10" s="18"/>
      <c r="D10" s="37"/>
      <c r="E10" s="37"/>
      <c r="F10" s="50" t="s">
        <v>214</v>
      </c>
      <c r="G10" s="18"/>
      <c r="H10" s="18"/>
      <c r="I10" s="18"/>
      <c r="J10" s="18"/>
      <c r="K10" s="50" t="s">
        <v>215</v>
      </c>
      <c r="L10" s="18"/>
      <c r="M10" s="50" t="s">
        <v>213</v>
      </c>
      <c r="N10" s="18"/>
      <c r="O10" s="163" t="s">
        <v>204</v>
      </c>
      <c r="P10" s="93"/>
      <c r="Q10" s="93"/>
      <c r="R10" s="38" t="s">
        <v>29</v>
      </c>
      <c r="S10" s="162" t="s">
        <v>4</v>
      </c>
    </row>
    <row r="11" spans="1:20">
      <c r="A11" s="6"/>
      <c r="B11" s="50" t="s">
        <v>248</v>
      </c>
      <c r="C11" s="18"/>
      <c r="D11" s="37" t="s">
        <v>13</v>
      </c>
      <c r="E11" s="196" t="s">
        <v>165</v>
      </c>
      <c r="F11" s="50" t="s">
        <v>243</v>
      </c>
      <c r="G11" s="18"/>
      <c r="H11" s="18" t="s">
        <v>244</v>
      </c>
      <c r="I11" s="18"/>
      <c r="J11" s="37" t="s">
        <v>217</v>
      </c>
      <c r="K11" s="50" t="s">
        <v>202</v>
      </c>
      <c r="L11" s="18" t="s">
        <v>242</v>
      </c>
      <c r="M11" s="50" t="s">
        <v>216</v>
      </c>
      <c r="N11" s="18"/>
      <c r="O11" s="200"/>
      <c r="P11" s="201" t="s">
        <v>203</v>
      </c>
      <c r="Q11" s="201"/>
      <c r="R11" s="71"/>
      <c r="S11" s="71"/>
    </row>
    <row r="12" spans="1:20">
      <c r="A12" s="19" t="s">
        <v>0</v>
      </c>
      <c r="B12" s="19" t="s">
        <v>249</v>
      </c>
      <c r="C12" s="20" t="s">
        <v>29</v>
      </c>
      <c r="D12" s="20" t="s">
        <v>14</v>
      </c>
      <c r="E12" s="20" t="s">
        <v>14</v>
      </c>
      <c r="F12" s="19" t="s">
        <v>186</v>
      </c>
      <c r="G12" s="20" t="s">
        <v>187</v>
      </c>
      <c r="H12" s="20" t="s">
        <v>186</v>
      </c>
      <c r="I12" s="20" t="s">
        <v>187</v>
      </c>
      <c r="J12" s="20"/>
      <c r="K12" s="19"/>
      <c r="L12" s="20"/>
      <c r="M12" s="19" t="s">
        <v>167</v>
      </c>
      <c r="N12" s="20" t="s">
        <v>73</v>
      </c>
      <c r="O12" s="202" t="s">
        <v>188</v>
      </c>
      <c r="P12" s="203" t="s">
        <v>186</v>
      </c>
      <c r="Q12" s="203" t="s">
        <v>187</v>
      </c>
      <c r="R12" s="186"/>
      <c r="S12" s="186"/>
    </row>
    <row r="13" spans="1:20">
      <c r="A13" s="6"/>
      <c r="B13" s="6"/>
      <c r="C13" s="14"/>
      <c r="D13" s="14"/>
      <c r="E13" s="14"/>
      <c r="F13" s="117"/>
      <c r="G13" s="36"/>
      <c r="H13" s="36"/>
      <c r="I13" s="36"/>
      <c r="J13" s="36"/>
      <c r="K13" s="117"/>
      <c r="L13" s="36"/>
      <c r="M13" s="117"/>
      <c r="N13" s="36"/>
      <c r="O13" s="204"/>
      <c r="P13" s="205"/>
      <c r="Q13" s="205"/>
      <c r="R13" s="169"/>
      <c r="S13" s="169"/>
    </row>
    <row r="14" spans="1:20">
      <c r="A14" s="6" t="s">
        <v>168</v>
      </c>
      <c r="B14" s="6"/>
      <c r="C14" s="14"/>
      <c r="D14" s="30"/>
      <c r="E14" s="14"/>
      <c r="F14" s="6"/>
      <c r="G14" s="14"/>
      <c r="H14" s="14"/>
      <c r="I14" s="14"/>
      <c r="J14" s="14"/>
      <c r="K14" s="46"/>
      <c r="L14" s="31"/>
      <c r="M14" s="6"/>
      <c r="N14" s="14"/>
      <c r="O14" s="58"/>
      <c r="P14" s="206"/>
      <c r="Q14" s="206"/>
      <c r="R14" s="29"/>
      <c r="S14" s="29"/>
    </row>
    <row r="15" spans="1:20">
      <c r="A15" s="9" t="s">
        <v>50</v>
      </c>
      <c r="B15" s="194">
        <f>ROUND(242*AreaLightsByClass!$J$17+183*(1-AreaLightsByClass!$J$17),0)</f>
        <v>223</v>
      </c>
      <c r="C15" s="32"/>
      <c r="D15" s="32"/>
      <c r="E15" s="32">
        <f>SUMIFS('RMM-7R_pg3-4'!G:G,'RMM-7R_pg3-4'!R:R,A15)/12</f>
        <v>6669.7223483080561</v>
      </c>
      <c r="F15" s="40"/>
      <c r="G15" s="33"/>
      <c r="H15" s="33"/>
      <c r="I15" s="33"/>
      <c r="J15" s="33"/>
      <c r="K15" s="46"/>
      <c r="L15" s="31"/>
      <c r="M15" s="41">
        <f>'RMM-7R_pg1'!M52</f>
        <v>3.4104675241430429</v>
      </c>
      <c r="N15" s="43">
        <f>'RMM-7R_pg1'!M56</f>
        <v>6.3482940186831565</v>
      </c>
      <c r="O15" s="45">
        <f>ROUND(B15*($J$18+$H$18)/12+(SUM($K$18:$L$18)*$D$18+SUM($K$35:$L$35)*$D$35)/SUM($E$18,$E$35)+SUM(M15:N15)*'RMM-7R_pg3-4'!$T$145,3)</f>
        <v>8.4480000000000004</v>
      </c>
      <c r="P15" s="43">
        <f>ROUND($B15*SUM(F$18)/12,3)</f>
        <v>0.27100000000000002</v>
      </c>
      <c r="Q15" s="43">
        <f>ROUND($B15*SUM(G$18,I$18)/12,3)</f>
        <v>0.377</v>
      </c>
      <c r="R15" s="170">
        <f>ROUND(SUM(O15:Q15),2)</f>
        <v>9.1</v>
      </c>
      <c r="S15" s="176" t="s">
        <v>205</v>
      </c>
    </row>
    <row r="16" spans="1:20">
      <c r="A16" s="9" t="s">
        <v>51</v>
      </c>
      <c r="B16" s="194">
        <v>413</v>
      </c>
      <c r="C16" s="32"/>
      <c r="D16" s="32"/>
      <c r="E16" s="32">
        <f>SUMIFS('RMM-7R_pg3-4'!G:G,'RMM-7R_pg3-4'!R:R,A16)/12</f>
        <v>1941.4850584783535</v>
      </c>
      <c r="F16" s="40"/>
      <c r="G16" s="33"/>
      <c r="H16" s="33"/>
      <c r="I16" s="33"/>
      <c r="J16" s="33"/>
      <c r="K16" s="46"/>
      <c r="L16" s="31"/>
      <c r="M16" s="41">
        <f>'RMM-7R_pg1'!N52</f>
        <v>3.7242637219999994</v>
      </c>
      <c r="N16" s="43">
        <f>'RMM-7R_pg1'!N56</f>
        <v>7.0535509733666677</v>
      </c>
      <c r="O16" s="45">
        <f>ROUND(B16*($J$18+$H$18)/12+(SUM($K$18:$L$18)*$D$18+SUM($K$35:$L$35)*$D$35)/SUM($E$18,$E$35)+SUM(M16:N16)*'RMM-7R_pg3-4'!$T$145,3)</f>
        <v>9.4049999999999994</v>
      </c>
      <c r="P16" s="43">
        <f>ROUND($B16*SUM(F$18)/12,3)</f>
        <v>0.502</v>
      </c>
      <c r="Q16" s="43">
        <f>ROUND($B16*SUM(G$18,I$18)/12,3)</f>
        <v>0.69799999999999995</v>
      </c>
      <c r="R16" s="170">
        <f>ROUND(SUM(O16:Q16),2)</f>
        <v>10.61</v>
      </c>
      <c r="S16" s="176" t="s">
        <v>205</v>
      </c>
    </row>
    <row r="17" spans="1:19">
      <c r="A17" s="55" t="s">
        <v>52</v>
      </c>
      <c r="B17" s="194">
        <v>688</v>
      </c>
      <c r="C17" s="76"/>
      <c r="D17" s="76"/>
      <c r="E17" s="76">
        <f>SUMIFS('RMM-7R_pg3-4'!G:G,'RMM-7R_pg3-4'!R:R,A17)/12</f>
        <v>2621.8062787150361</v>
      </c>
      <c r="F17" s="77"/>
      <c r="G17" s="78"/>
      <c r="H17" s="78"/>
      <c r="I17" s="78"/>
      <c r="J17" s="78"/>
      <c r="K17" s="79"/>
      <c r="L17" s="80"/>
      <c r="M17" s="72">
        <f>'RMM-7R_pg1'!O52</f>
        <v>4.2875103886666661</v>
      </c>
      <c r="N17" s="74">
        <f>'RMM-7R_pg1'!O56</f>
        <v>8.1847926400333346</v>
      </c>
      <c r="O17" s="207">
        <f>ROUND(B17*($J$18+$H$18)/12+(SUM($K$18:$L$18)*$D$18+SUM($K$35:$L$35)*$D$35)/SUM($E$18,$E$35)+SUM(M17:N17)*'RMM-7R_pg3-4'!$T$145,3)</f>
        <v>10.962999999999999</v>
      </c>
      <c r="P17" s="74">
        <f>ROUND($B17*SUM(F$18)/12,3)</f>
        <v>0.83699999999999997</v>
      </c>
      <c r="Q17" s="208">
        <f>ROUND($B17*SUM(G$18,I$18)/12,3)</f>
        <v>1.1619999999999999</v>
      </c>
      <c r="R17" s="170">
        <f>ROUND(SUM(O17:Q17),2)</f>
        <v>12.96</v>
      </c>
      <c r="S17" s="176" t="s">
        <v>205</v>
      </c>
    </row>
    <row r="18" spans="1:19">
      <c r="A18" s="12" t="s">
        <v>170</v>
      </c>
      <c r="B18" s="102"/>
      <c r="C18" s="103"/>
      <c r="D18" s="103">
        <v>6491</v>
      </c>
      <c r="E18" s="103">
        <f>SUM(E14:E17)</f>
        <v>11233.013685501444</v>
      </c>
      <c r="F18" s="173">
        <f>COS!B34+COS!B40</f>
        <v>1.4592900364755045E-2</v>
      </c>
      <c r="G18" s="174">
        <f>COS!B22+COS!B28</f>
        <v>1.8914240474082161E-2</v>
      </c>
      <c r="H18" s="174">
        <f>COS!B64+COS!B70</f>
        <v>6.2547979937825505E-3</v>
      </c>
      <c r="I18" s="174">
        <f>COS!B52+COS!B58</f>
        <v>1.3533537259400206E-3</v>
      </c>
      <c r="J18" s="174">
        <f>COS!B82+COS!B88+COS!B94</f>
        <v>2.9660006249190786E-3</v>
      </c>
      <c r="K18" s="105">
        <f>COS!B113/12</f>
        <v>2.4419483128371264</v>
      </c>
      <c r="L18" s="104">
        <f>COS!B119/12</f>
        <v>7.8801505041383738E-2</v>
      </c>
      <c r="M18" s="75"/>
      <c r="N18" s="73"/>
      <c r="O18" s="45"/>
      <c r="P18" s="43"/>
      <c r="Q18" s="43"/>
      <c r="R18" s="175"/>
      <c r="S18" s="175"/>
    </row>
    <row r="19" spans="1:19">
      <c r="A19" s="6"/>
      <c r="B19" s="42"/>
      <c r="C19" s="32"/>
      <c r="D19" s="30"/>
      <c r="E19" s="31"/>
      <c r="F19" s="40"/>
      <c r="G19" s="33"/>
      <c r="H19" s="33"/>
      <c r="I19" s="33"/>
      <c r="J19" s="33"/>
      <c r="K19" s="46"/>
      <c r="L19" s="31"/>
      <c r="M19" s="41"/>
      <c r="N19" s="44"/>
      <c r="O19" s="45"/>
      <c r="P19" s="43"/>
      <c r="Q19" s="43"/>
      <c r="R19" s="170"/>
      <c r="S19" s="170"/>
    </row>
    <row r="20" spans="1:19">
      <c r="A20" s="12" t="s">
        <v>169</v>
      </c>
      <c r="B20" s="42"/>
      <c r="C20" s="32"/>
      <c r="D20" s="34"/>
      <c r="E20" s="15"/>
      <c r="F20" s="40"/>
      <c r="G20" s="33"/>
      <c r="H20" s="33"/>
      <c r="I20" s="33"/>
      <c r="J20" s="33"/>
      <c r="K20" s="46"/>
      <c r="L20" s="31"/>
      <c r="M20" s="41"/>
      <c r="N20" s="44"/>
      <c r="O20" s="45"/>
      <c r="P20" s="43"/>
      <c r="Q20" s="43"/>
      <c r="R20" s="170"/>
      <c r="S20" s="170"/>
    </row>
    <row r="21" spans="1:19">
      <c r="A21" s="9" t="s">
        <v>7</v>
      </c>
      <c r="B21" s="194">
        <v>100</v>
      </c>
      <c r="C21" s="32"/>
      <c r="D21" s="32"/>
      <c r="E21" s="166">
        <f>SUMIFS('RMM-7R_pg3-4'!G:G,'RMM-7R_pg3-4'!R:R,A21)/12</f>
        <v>2671.6899452365446</v>
      </c>
      <c r="F21" s="40"/>
      <c r="G21" s="33"/>
      <c r="H21" s="33"/>
      <c r="I21" s="33"/>
      <c r="J21" s="33"/>
      <c r="K21" s="46"/>
      <c r="L21" s="31"/>
      <c r="M21" s="45">
        <f>'RMM-7R_pg1'!E52</f>
        <v>6.4860597374105255</v>
      </c>
      <c r="N21" s="43">
        <f>'RMM-7R_pg1'!E56</f>
        <v>7.2664491566999985</v>
      </c>
      <c r="O21" s="45">
        <f>ROUND(B21*($J$18+$H$18)/12+(SUM($K$18:$L$18)*$D$18+SUM($K$35:$L$35)*$D$35)/SUM($E$18,$E$35)+SUM(M21:N21)*'RMM-7R_pg3-4'!$T$145,3)</f>
        <v>11.529</v>
      </c>
      <c r="P21" s="43">
        <f t="shared" ref="P21:P29" si="0">ROUND($B21*SUM(F$18)/12,3)</f>
        <v>0.122</v>
      </c>
      <c r="Q21" s="43">
        <f>ROUND($B21*SUM(G$18,I$18)/12,3)</f>
        <v>0.16900000000000001</v>
      </c>
      <c r="R21" s="170">
        <f t="shared" ref="R21:R34" si="1">ROUND(SUM(O21:Q21),2)</f>
        <v>11.82</v>
      </c>
      <c r="S21" s="176" t="s">
        <v>205</v>
      </c>
    </row>
    <row r="22" spans="1:19">
      <c r="A22" s="9" t="s">
        <v>8</v>
      </c>
      <c r="B22" s="194">
        <v>183</v>
      </c>
      <c r="C22" s="32"/>
      <c r="D22" s="32"/>
      <c r="E22" s="166">
        <f>SUMIFS('RMM-7R_pg3-4'!G:G,'RMM-7R_pg3-4'!R:R,A22)/12</f>
        <v>16436.10981724472</v>
      </c>
      <c r="F22" s="40"/>
      <c r="G22" s="33"/>
      <c r="H22" s="33"/>
      <c r="I22" s="33"/>
      <c r="J22" s="33"/>
      <c r="K22" s="46"/>
      <c r="L22" s="31"/>
      <c r="M22" s="45">
        <f>'RMM-7R_pg1'!F52</f>
        <v>6.7596528624105261</v>
      </c>
      <c r="N22" s="43">
        <f>'RMM-7R_pg1'!F56</f>
        <v>7.7583695954499987</v>
      </c>
      <c r="O22" s="45">
        <f>ROUND(B22*($J$18+$H$18)/12+(SUM($K$18:$L$18)*$D$18+SUM($K$35:$L$35)*$D$35)/SUM($E$18,$E$35)+SUM(M22:N22)*'RMM-7R_pg3-4'!$T$145,3)</f>
        <v>12.202</v>
      </c>
      <c r="P22" s="43">
        <f t="shared" si="0"/>
        <v>0.223</v>
      </c>
      <c r="Q22" s="43">
        <f>ROUND($B22*SUM(G$18,I$18)/12,2)</f>
        <v>0.31</v>
      </c>
      <c r="R22" s="170">
        <f t="shared" si="1"/>
        <v>12.74</v>
      </c>
      <c r="S22" s="176" t="s">
        <v>205</v>
      </c>
    </row>
    <row r="23" spans="1:19">
      <c r="A23" s="9" t="s">
        <v>72</v>
      </c>
      <c r="B23" s="194">
        <v>296</v>
      </c>
      <c r="C23" s="32"/>
      <c r="D23" s="32"/>
      <c r="E23" s="166">
        <f>SUMIFS('RMM-7R_pg3-4'!G:G,'RMM-7R_pg3-4'!R:R,A23)/12</f>
        <v>1720.3035910727415</v>
      </c>
      <c r="F23" s="40"/>
      <c r="G23" s="33"/>
      <c r="H23" s="33"/>
      <c r="I23" s="33"/>
      <c r="J23" s="33"/>
      <c r="K23" s="46"/>
      <c r="L23" s="31"/>
      <c r="M23" s="45">
        <f>'RMM-7R_pg1'!G52</f>
        <v>6.7782741124105259</v>
      </c>
      <c r="N23" s="43">
        <f>'RMM-7R_pg1'!G56</f>
        <v>7.7918506029499994</v>
      </c>
      <c r="O23" s="45">
        <f>ROUND(B23*($J$18+$H$18)/12+(SUM($K$18:$L$18)*$D$18+SUM($K$35:$L$35)*$D$35)/SUM($E$18,$E$35)+SUM(M23:N23)*'RMM-7R_pg3-4'!$T$145,3)</f>
        <v>12.33</v>
      </c>
      <c r="P23" s="43">
        <f t="shared" si="0"/>
        <v>0.36</v>
      </c>
      <c r="Q23" s="43">
        <f t="shared" ref="Q23:Q29" si="2">ROUND($B23*SUM(G$18,I$18)/12,3)</f>
        <v>0.5</v>
      </c>
      <c r="R23" s="170">
        <f t="shared" si="1"/>
        <v>13.19</v>
      </c>
      <c r="S23" s="176" t="s">
        <v>205</v>
      </c>
    </row>
    <row r="24" spans="1:19">
      <c r="A24" s="9" t="s">
        <v>9</v>
      </c>
      <c r="B24" s="194">
        <v>413</v>
      </c>
      <c r="C24" s="32"/>
      <c r="D24" s="32"/>
      <c r="E24" s="166">
        <f>SUMIFS('RMM-7R_pg3-4'!G:G,'RMM-7R_pg3-4'!R:R,A24)/12</f>
        <v>47.842311825279403</v>
      </c>
      <c r="F24" s="40"/>
      <c r="G24" s="33"/>
      <c r="H24" s="33"/>
      <c r="I24" s="33"/>
      <c r="J24" s="33"/>
      <c r="K24" s="46"/>
      <c r="L24" s="31"/>
      <c r="M24" s="45">
        <f>'RMM-7R_pg1'!H52</f>
        <v>6.8177264040771925</v>
      </c>
      <c r="N24" s="43">
        <f>'RMM-7R_pg1'!H56</f>
        <v>7.862785823366667</v>
      </c>
      <c r="O24" s="45">
        <f>ROUND(B24*($J$18+$H$18)/12+(SUM($K$18:$L$18)*$D$18+SUM($K$35:$L$35)*$D$35)/SUM($E$18,$E$35)+SUM(M24:N24)*'RMM-7R_pg3-4'!$T$145,3)</f>
        <v>12.507999999999999</v>
      </c>
      <c r="P24" s="43">
        <f t="shared" si="0"/>
        <v>0.502</v>
      </c>
      <c r="Q24" s="43">
        <f t="shared" si="2"/>
        <v>0.69799999999999995</v>
      </c>
      <c r="R24" s="170">
        <f t="shared" si="1"/>
        <v>13.71</v>
      </c>
      <c r="S24" s="176" t="s">
        <v>205</v>
      </c>
    </row>
    <row r="25" spans="1:19">
      <c r="A25" s="9" t="s">
        <v>10</v>
      </c>
      <c r="B25" s="194">
        <v>525</v>
      </c>
      <c r="C25" s="32"/>
      <c r="D25" s="32"/>
      <c r="E25" s="166">
        <f>SUMIFS('RMM-7R_pg3-4'!G:G,'RMM-7R_pg3-4'!R:R,A25)/12</f>
        <v>1877.9677887811065</v>
      </c>
      <c r="F25" s="40"/>
      <c r="G25" s="33"/>
      <c r="H25" s="33"/>
      <c r="I25" s="33"/>
      <c r="J25" s="33"/>
      <c r="K25" s="46"/>
      <c r="L25" s="31"/>
      <c r="M25" s="45">
        <f>'RMM-7R_pg1'!I52</f>
        <v>6.9838978000421044</v>
      </c>
      <c r="N25" s="43">
        <f>'RMM-7R_pg1'!I56</f>
        <v>8.2976077754499986</v>
      </c>
      <c r="O25" s="45">
        <f>ROUND(B25*($J$18+$H$18)/12+(SUM($K$18:$L$18)*$D$18+SUM($K$35:$L$35)*$D$35)/SUM($E$18,$E$35)+SUM(M25:N25)*'RMM-7R_pg3-4'!$T$145,3)</f>
        <v>13.071999999999999</v>
      </c>
      <c r="P25" s="43">
        <f t="shared" si="0"/>
        <v>0.63800000000000001</v>
      </c>
      <c r="Q25" s="43">
        <f t="shared" si="2"/>
        <v>0.88700000000000001</v>
      </c>
      <c r="R25" s="170">
        <f t="shared" si="1"/>
        <v>14.6</v>
      </c>
      <c r="S25" s="176" t="s">
        <v>205</v>
      </c>
    </row>
    <row r="26" spans="1:19">
      <c r="A26" s="9" t="s">
        <v>11</v>
      </c>
      <c r="B26" s="194">
        <v>688</v>
      </c>
      <c r="C26" s="32"/>
      <c r="D26" s="32"/>
      <c r="E26" s="166">
        <f>SUMIFS('RMM-7R_pg3-4'!G:G,'RMM-7R_pg3-4'!R:R,A26)/12</f>
        <v>649.97471441166147</v>
      </c>
      <c r="F26" s="40"/>
      <c r="G26" s="33"/>
      <c r="H26" s="33"/>
      <c r="I26" s="33"/>
      <c r="J26" s="33"/>
      <c r="K26" s="46"/>
      <c r="L26" s="31"/>
      <c r="M26" s="45">
        <f>'RMM-7R_pg1'!J52</f>
        <v>8.3965622254807002</v>
      </c>
      <c r="N26" s="43">
        <f>'RMM-7R_pg1'!J56</f>
        <v>10.0971754067</v>
      </c>
      <c r="O26" s="45">
        <f>ROUND(B26*($J$18+$H$18)/12+(SUM($K$18:$L$18)*$D$18+SUM($K$35:$L$35)*$D$35)/SUM($E$18,$E$35)+SUM(M26:N26)*'RMM-7R_pg3-4'!$T$145,3)</f>
        <v>15.750999999999999</v>
      </c>
      <c r="P26" s="43">
        <f t="shared" si="0"/>
        <v>0.83699999999999997</v>
      </c>
      <c r="Q26" s="43">
        <f t="shared" si="2"/>
        <v>1.1619999999999999</v>
      </c>
      <c r="R26" s="170">
        <f t="shared" si="1"/>
        <v>17.75</v>
      </c>
      <c r="S26" s="176" t="s">
        <v>205</v>
      </c>
    </row>
    <row r="27" spans="1:19">
      <c r="A27" s="9" t="s">
        <v>159</v>
      </c>
      <c r="B27" s="194">
        <f>B23</f>
        <v>296</v>
      </c>
      <c r="C27" s="32"/>
      <c r="D27" s="32"/>
      <c r="E27" s="166">
        <f>SUMIFS('RMM-7R_pg3-4'!G:G,'RMM-7R_pg3-4'!R:R,A27)/12</f>
        <v>425.36119116642249</v>
      </c>
      <c r="F27" s="40"/>
      <c r="G27" s="33"/>
      <c r="H27" s="33"/>
      <c r="I27" s="33"/>
      <c r="J27" s="33"/>
      <c r="K27" s="46"/>
      <c r="L27" s="31"/>
      <c r="M27" s="45">
        <f>'RMM-7R_pg1'!K52</f>
        <v>4.9203489055</v>
      </c>
      <c r="N27" s="43">
        <f>'RMM-7R_pg1'!K56</f>
        <v>22.180318468133336</v>
      </c>
      <c r="O27" s="45">
        <f>ROUND(B27*($J$18+$H$18)/12+(SUM($K$18:$L$18)*$D$18+SUM($K$35:$L$35)*$D$35)/SUM($E$18,$E$35)+SUM(M27:N27)*'RMM-7R_pg3-4'!$T$145,3)</f>
        <v>22.292999999999999</v>
      </c>
      <c r="P27" s="43">
        <f t="shared" si="0"/>
        <v>0.36</v>
      </c>
      <c r="Q27" s="43">
        <f t="shared" si="2"/>
        <v>0.5</v>
      </c>
      <c r="R27" s="170">
        <f t="shared" si="1"/>
        <v>23.15</v>
      </c>
      <c r="S27" s="176" t="s">
        <v>205</v>
      </c>
    </row>
    <row r="28" spans="1:19">
      <c r="A28" s="9" t="s">
        <v>228</v>
      </c>
      <c r="B28" s="194">
        <f t="shared" ref="B28:B34" si="3">B21</f>
        <v>100</v>
      </c>
      <c r="C28" s="32"/>
      <c r="D28" s="32"/>
      <c r="E28" s="166">
        <f>SUMIFS('RMM-7R_pg3-4'!G:G,'RMM-7R_pg3-4'!R:R,A28)/12</f>
        <v>0</v>
      </c>
      <c r="F28" s="40"/>
      <c r="G28" s="33"/>
      <c r="H28" s="33"/>
      <c r="I28" s="33"/>
      <c r="J28" s="33"/>
      <c r="K28" s="46"/>
      <c r="L28" s="31"/>
      <c r="M28" s="45">
        <f>M21</f>
        <v>6.4860597374105255</v>
      </c>
      <c r="N28" s="43"/>
      <c r="O28" s="45">
        <f>ROUND(B28*($J$18+$H$18)/12+(SUM($K$18:$L$18)*$D$18+SUM($K$35:$L$35)*$D$35)/SUM($E$18,$E$35)+SUM(M28:N28)*'RMM-7R_pg3-4'!$T$145,3)</f>
        <v>5.7519999999999998</v>
      </c>
      <c r="P28" s="43">
        <f t="shared" si="0"/>
        <v>0.122</v>
      </c>
      <c r="Q28" s="43">
        <f t="shared" si="2"/>
        <v>0.16900000000000001</v>
      </c>
      <c r="R28" s="170">
        <f t="shared" si="1"/>
        <v>6.04</v>
      </c>
      <c r="S28" s="176" t="s">
        <v>205</v>
      </c>
    </row>
    <row r="29" spans="1:19">
      <c r="A29" s="9" t="s">
        <v>229</v>
      </c>
      <c r="B29" s="194">
        <f t="shared" si="3"/>
        <v>183</v>
      </c>
      <c r="C29" s="32"/>
      <c r="D29" s="32"/>
      <c r="E29" s="166">
        <f>SUMIFS('RMM-7R_pg3-4'!G:G,'RMM-7R_pg3-4'!R:R,A29)/12</f>
        <v>23</v>
      </c>
      <c r="F29" s="40"/>
      <c r="G29" s="33"/>
      <c r="H29" s="33"/>
      <c r="I29" s="33"/>
      <c r="J29" s="33"/>
      <c r="K29" s="46"/>
      <c r="L29" s="31"/>
      <c r="M29" s="45">
        <f t="shared" ref="M29:M34" si="4">M22</f>
        <v>6.7596528624105261</v>
      </c>
      <c r="N29" s="43"/>
      <c r="O29" s="45">
        <f>ROUND(B29*($J$18+$H$18)/12+(SUM($K$18:$L$18)*$D$18+SUM($K$35:$L$35)*$D$35)/SUM($E$18,$E$35)+SUM(M29:N29)*'RMM-7R_pg3-4'!$T$145,3)</f>
        <v>6.0330000000000004</v>
      </c>
      <c r="P29" s="43">
        <f t="shared" si="0"/>
        <v>0.223</v>
      </c>
      <c r="Q29" s="43">
        <f t="shared" si="2"/>
        <v>0.309</v>
      </c>
      <c r="R29" s="170">
        <f t="shared" si="1"/>
        <v>6.57</v>
      </c>
      <c r="S29" s="176" t="s">
        <v>205</v>
      </c>
    </row>
    <row r="30" spans="1:19">
      <c r="A30" s="9" t="s">
        <v>230</v>
      </c>
      <c r="B30" s="194">
        <f t="shared" si="3"/>
        <v>296</v>
      </c>
      <c r="C30" s="32"/>
      <c r="D30" s="32"/>
      <c r="E30" s="166">
        <f>SUMIFS('RMM-7R_pg3-4'!G:G,'RMM-7R_pg3-4'!R:R,A30)/12</f>
        <v>0</v>
      </c>
      <c r="F30" s="40"/>
      <c r="G30" s="33"/>
      <c r="H30" s="33"/>
      <c r="I30" s="33"/>
      <c r="J30" s="33"/>
      <c r="K30" s="46"/>
      <c r="L30" s="31"/>
      <c r="M30" s="45">
        <f t="shared" si="4"/>
        <v>6.7782741124105259</v>
      </c>
      <c r="N30" s="43"/>
      <c r="O30" s="45">
        <f>ROUND(B30*($J$18+$H$18)/12+(SUM($K$18:$L$18)*$D$18+SUM($K$35:$L$35)*$D$35)/SUM($E$18,$E$35)+SUM(M30:N30)*'RMM-7R_pg3-4'!$T$145,2)</f>
        <v>6.13</v>
      </c>
      <c r="P30" s="43">
        <f>ROUND($B30*SUM(F$18)/12,2)</f>
        <v>0.36</v>
      </c>
      <c r="Q30" s="43">
        <f>ROUND($B30*SUM(G$18,I$18)/12,2)</f>
        <v>0.5</v>
      </c>
      <c r="R30" s="170">
        <f t="shared" si="1"/>
        <v>6.99</v>
      </c>
      <c r="S30" s="176" t="s">
        <v>205</v>
      </c>
    </row>
    <row r="31" spans="1:19">
      <c r="A31" s="9" t="s">
        <v>231</v>
      </c>
      <c r="B31" s="194">
        <f t="shared" si="3"/>
        <v>413</v>
      </c>
      <c r="C31" s="32"/>
      <c r="D31" s="32"/>
      <c r="E31" s="166">
        <f>SUMIFS('RMM-7R_pg3-4'!G:G,'RMM-7R_pg3-4'!R:R,A31)/12</f>
        <v>0</v>
      </c>
      <c r="F31" s="40"/>
      <c r="G31" s="33"/>
      <c r="H31" s="33"/>
      <c r="I31" s="33"/>
      <c r="J31" s="33"/>
      <c r="K31" s="46"/>
      <c r="L31" s="31"/>
      <c r="M31" s="45">
        <f t="shared" si="4"/>
        <v>6.8177264040771925</v>
      </c>
      <c r="N31" s="43"/>
      <c r="O31" s="45">
        <f>ROUND(B31*($J$18+$H$18)/12+(SUM($K$18:$L$18)*$D$18+SUM($K$35:$L$35)*$D$35)/SUM($E$18,$E$35)+SUM(M31:N31)*'RMM-7R_pg3-4'!$T$145,3)</f>
        <v>6.2560000000000002</v>
      </c>
      <c r="P31" s="43">
        <f>ROUND($B31*SUM(F$18)/12,3)</f>
        <v>0.502</v>
      </c>
      <c r="Q31" s="43">
        <f>ROUND($B31*SUM(G$18,I$18)/12,3)</f>
        <v>0.69799999999999995</v>
      </c>
      <c r="R31" s="170">
        <f t="shared" si="1"/>
        <v>7.46</v>
      </c>
      <c r="S31" s="176" t="s">
        <v>205</v>
      </c>
    </row>
    <row r="32" spans="1:19">
      <c r="A32" s="9" t="s">
        <v>232</v>
      </c>
      <c r="B32" s="194">
        <f t="shared" si="3"/>
        <v>525</v>
      </c>
      <c r="C32" s="32"/>
      <c r="D32" s="32"/>
      <c r="E32" s="166">
        <f>SUMIFS('RMM-7R_pg3-4'!G:G,'RMM-7R_pg3-4'!R:R,A32)/12</f>
        <v>1</v>
      </c>
      <c r="F32" s="40"/>
      <c r="G32" s="33"/>
      <c r="H32" s="33"/>
      <c r="I32" s="33"/>
      <c r="J32" s="33"/>
      <c r="K32" s="46"/>
      <c r="L32" s="31"/>
      <c r="M32" s="45">
        <f t="shared" si="4"/>
        <v>6.9838978000421044</v>
      </c>
      <c r="N32" s="43"/>
      <c r="O32" s="45">
        <f>ROUND(B32*($J$18+$H$18)/12+(SUM($K$18:$L$18)*$D$18+SUM($K$35:$L$35)*$D$35)/SUM($E$18,$E$35)+SUM(M32:N32)*'RMM-7R_pg3-4'!$T$145,3)</f>
        <v>6.4740000000000002</v>
      </c>
      <c r="P32" s="43">
        <f>ROUND($B32*SUM(F$18)/12,3)</f>
        <v>0.63800000000000001</v>
      </c>
      <c r="Q32" s="43">
        <f>ROUND($B32*SUM(G$18,I$18)/12,3)</f>
        <v>0.88700000000000001</v>
      </c>
      <c r="R32" s="170">
        <f t="shared" si="1"/>
        <v>8</v>
      </c>
      <c r="S32" s="176" t="s">
        <v>205</v>
      </c>
    </row>
    <row r="33" spans="1:20">
      <c r="A33" s="9" t="s">
        <v>233</v>
      </c>
      <c r="B33" s="194">
        <f t="shared" si="3"/>
        <v>688</v>
      </c>
      <c r="C33" s="32"/>
      <c r="D33" s="32"/>
      <c r="E33" s="166">
        <f>SUMIFS('RMM-7R_pg3-4'!G:G,'RMM-7R_pg3-4'!R:R,A33)/12</f>
        <v>0</v>
      </c>
      <c r="F33" s="40"/>
      <c r="G33" s="33"/>
      <c r="H33" s="33"/>
      <c r="I33" s="33"/>
      <c r="J33" s="33"/>
      <c r="K33" s="46"/>
      <c r="L33" s="31"/>
      <c r="M33" s="45">
        <f t="shared" si="4"/>
        <v>8.3965622254807002</v>
      </c>
      <c r="N33" s="43"/>
      <c r="O33" s="45">
        <f>ROUND(B33*($J$18+$H$18)/12+(SUM($K$18:$L$18)*$D$18+SUM($K$35:$L$35)*$D$35)/SUM($E$18,$E$35)+SUM(M33:N33)*'RMM-7R_pg3-4'!$T$145,3)</f>
        <v>7.7229999999999999</v>
      </c>
      <c r="P33" s="43">
        <f>ROUND($B33*SUM(F$18)/12,3)</f>
        <v>0.83699999999999997</v>
      </c>
      <c r="Q33" s="43">
        <f>ROUND($B33*SUM(G$18,I$18)/12,3)</f>
        <v>1.1619999999999999</v>
      </c>
      <c r="R33" s="170">
        <f t="shared" si="1"/>
        <v>9.7200000000000006</v>
      </c>
      <c r="S33" s="176" t="s">
        <v>205</v>
      </c>
    </row>
    <row r="34" spans="1:20">
      <c r="A34" s="9" t="s">
        <v>234</v>
      </c>
      <c r="B34" s="195">
        <f t="shared" si="3"/>
        <v>296</v>
      </c>
      <c r="C34" s="32"/>
      <c r="D34" s="32"/>
      <c r="E34" s="167">
        <f>SUMIFS('RMM-7R_pg3-4'!G:G,'RMM-7R_pg3-4'!R:R,A34)/12</f>
        <v>0</v>
      </c>
      <c r="F34" s="77"/>
      <c r="G34" s="78"/>
      <c r="H34" s="78"/>
      <c r="I34" s="78"/>
      <c r="J34" s="172"/>
      <c r="K34" s="46"/>
      <c r="L34" s="31"/>
      <c r="M34" s="45">
        <f t="shared" si="4"/>
        <v>4.9203489055</v>
      </c>
      <c r="N34" s="43"/>
      <c r="O34" s="45">
        <f>ROUND(B34*($J$18+$H$18)/12+(SUM($K$18:$L$18)*$D$18+SUM($K$35:$L$35)*$D$35)/SUM($E$18,$E$35)+SUM(M34:N34)*'RMM-7R_pg3-4'!$T$145,3)</f>
        <v>4.657</v>
      </c>
      <c r="P34" s="43">
        <f>ROUND($B34*SUM(F$18)/12,3)</f>
        <v>0.36</v>
      </c>
      <c r="Q34" s="43">
        <f>ROUND($B34*SUM(G$18,I$18)/12,3)</f>
        <v>0.5</v>
      </c>
      <c r="R34" s="170">
        <f t="shared" si="1"/>
        <v>5.52</v>
      </c>
      <c r="S34" s="176" t="s">
        <v>205</v>
      </c>
    </row>
    <row r="35" spans="1:20">
      <c r="A35" s="165" t="s">
        <v>171</v>
      </c>
      <c r="B35" s="102"/>
      <c r="C35" s="103"/>
      <c r="D35" s="103">
        <v>715</v>
      </c>
      <c r="E35" s="103">
        <f>SUM(E20:E34)</f>
        <v>23853.249359738475</v>
      </c>
      <c r="F35" s="173">
        <f>COS!B34+COS!B40</f>
        <v>1.4592900364755045E-2</v>
      </c>
      <c r="G35" s="174">
        <f>COS!B22+COS!B28</f>
        <v>1.8914240474082161E-2</v>
      </c>
      <c r="H35" s="174">
        <f>COS!B64+COS!B70</f>
        <v>6.2547979937825505E-3</v>
      </c>
      <c r="I35" s="174">
        <f>COS!B52+COS!B58</f>
        <v>1.3533537259400206E-3</v>
      </c>
      <c r="J35" s="174">
        <f>COS!B82+COS!B88+COS!B94</f>
        <v>2.9660006249190786E-3</v>
      </c>
      <c r="K35" s="105">
        <f>COS!B113/12</f>
        <v>2.4419483128371264</v>
      </c>
      <c r="L35" s="104">
        <f>COS!B119/12</f>
        <v>7.8801505041383738E-2</v>
      </c>
      <c r="M35" s="75"/>
      <c r="N35" s="73"/>
      <c r="O35" s="75"/>
      <c r="P35" s="73"/>
      <c r="Q35" s="73"/>
      <c r="R35" s="171"/>
      <c r="S35" s="171"/>
    </row>
    <row r="36" spans="1:20">
      <c r="A36" s="6"/>
      <c r="B36" s="6"/>
      <c r="C36" s="14"/>
      <c r="D36" s="30"/>
      <c r="E36" s="32"/>
      <c r="F36" s="6"/>
      <c r="G36" s="14"/>
      <c r="H36" s="14"/>
      <c r="I36" s="14"/>
      <c r="J36" s="14"/>
      <c r="K36" s="46"/>
      <c r="L36" s="31"/>
      <c r="M36" s="46"/>
      <c r="N36" s="31"/>
      <c r="O36" s="41"/>
      <c r="P36" s="44"/>
      <c r="Q36" s="44"/>
      <c r="R36" s="168"/>
      <c r="S36" s="168"/>
    </row>
    <row r="37" spans="1:20">
      <c r="A37" s="12" t="s">
        <v>172</v>
      </c>
      <c r="B37" s="6"/>
      <c r="C37" s="34">
        <f>SUM('RMM-7R_pg3-4'!I83:I138)</f>
        <v>26868874.204370778</v>
      </c>
      <c r="D37" s="30">
        <v>1229</v>
      </c>
      <c r="E37" s="32"/>
      <c r="F37" s="40">
        <f>COS!B34+COS!B40</f>
        <v>1.4592900364755045E-2</v>
      </c>
      <c r="G37" s="33">
        <f>COS!B22+COS!B28</f>
        <v>1.8914240474082161E-2</v>
      </c>
      <c r="H37" s="33">
        <f>COS!B64+COS!B70</f>
        <v>6.2547979937825505E-3</v>
      </c>
      <c r="I37" s="33">
        <f>COS!B52+COS!B58</f>
        <v>1.3533537259400206E-3</v>
      </c>
      <c r="J37" s="33">
        <f>COS!B82+COS!B88+COS!B94</f>
        <v>2.9660006249190786E-3</v>
      </c>
      <c r="K37" s="46">
        <f>COS!B113/12</f>
        <v>2.4419483128371264</v>
      </c>
      <c r="L37" s="31">
        <f>COS!B119/12</f>
        <v>7.8801505041383738E-2</v>
      </c>
      <c r="M37" s="46"/>
      <c r="N37" s="31"/>
      <c r="O37" s="209">
        <f>ROUND(J37+H37+SUM(K37:L37)*D37*12/C37,6)</f>
        <v>1.0604000000000001E-2</v>
      </c>
      <c r="P37" s="210">
        <f>ROUND(SUM(F37),6)</f>
        <v>1.4593E-2</v>
      </c>
      <c r="Q37" s="210">
        <f>ROUND(SUM(G37,I37),6)</f>
        <v>2.0268000000000001E-2</v>
      </c>
      <c r="R37" s="178">
        <f>SUM(O37:Q37)</f>
        <v>4.5465000000000005E-2</v>
      </c>
      <c r="S37" s="177" t="s">
        <v>206</v>
      </c>
    </row>
    <row r="38" spans="1:20">
      <c r="O38" s="59"/>
      <c r="P38" s="59"/>
      <c r="Q38" s="59"/>
      <c r="T38" s="6"/>
    </row>
    <row r="39" spans="1:20">
      <c r="A39" s="2" t="s">
        <v>245</v>
      </c>
      <c r="S39" s="35"/>
      <c r="T39" s="6"/>
    </row>
  </sheetData>
  <pageMargins left="0.7" right="0.7" top="0.75" bottom="0.75" header="0.3" footer="0.3"/>
  <pageSetup scale="36" orientation="landscape" r:id="rId1"/>
  <ignoredErrors>
    <ignoredError sqref="Q22 O30:Q30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B1:X146"/>
  <sheetViews>
    <sheetView view="pageBreakPreview" zoomScale="70" zoomScaleNormal="70" zoomScaleSheetLayoutView="70" workbookViewId="0">
      <pane ySplit="9" topLeftCell="A31" activePane="bottomLeft" state="frozen"/>
      <selection pane="bottomLeft"/>
    </sheetView>
  </sheetViews>
  <sheetFormatPr defaultColWidth="9.140625" defaultRowHeight="15.75"/>
  <cols>
    <col min="1" max="1" width="1.7109375" style="2" customWidth="1"/>
    <col min="2" max="2" width="8.7109375" style="4" bestFit="1" customWidth="1"/>
    <col min="3" max="3" width="24.5703125" style="4" customWidth="1"/>
    <col min="4" max="4" width="1.7109375" style="4" customWidth="1"/>
    <col min="5" max="9" width="12.85546875" style="4" customWidth="1"/>
    <col min="10" max="10" width="52.140625" style="2" bestFit="1" customWidth="1"/>
    <col min="11" max="11" width="13.140625" style="4" customWidth="1"/>
    <col min="12" max="12" width="11" style="4" customWidth="1"/>
    <col min="13" max="13" width="13.140625" style="4" customWidth="1"/>
    <col min="14" max="14" width="1.7109375" style="4" customWidth="1"/>
    <col min="15" max="15" width="13.140625" style="4" customWidth="1"/>
    <col min="16" max="16" width="11" style="4" customWidth="1"/>
    <col min="17" max="17" width="13.140625" style="4" customWidth="1"/>
    <col min="18" max="18" width="75.28515625" style="2" bestFit="1" customWidth="1"/>
    <col min="19" max="20" width="12.42578125" style="2" customWidth="1"/>
    <col min="21" max="21" width="1.7109375" style="2" customWidth="1"/>
    <col min="22" max="60" width="12.42578125" style="2" customWidth="1"/>
    <col min="61" max="16384" width="9.140625" style="2"/>
  </cols>
  <sheetData>
    <row r="1" spans="2:24">
      <c r="B1" s="1" t="s">
        <v>66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2:24">
      <c r="B2" s="1" t="s">
        <v>79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2:24">
      <c r="B3" s="1" t="s">
        <v>68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2:24">
      <c r="B4" s="1" t="s">
        <v>80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2:24">
      <c r="B5" s="1" t="s">
        <v>75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2:24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V6" s="1" t="s">
        <v>3</v>
      </c>
      <c r="W6" s="1"/>
      <c r="X6" s="1"/>
    </row>
    <row r="7" spans="2:24">
      <c r="B7" s="5"/>
      <c r="C7" s="101"/>
      <c r="D7" s="101"/>
      <c r="E7" s="3"/>
      <c r="F7" s="101"/>
      <c r="G7" s="106"/>
      <c r="H7" s="18"/>
      <c r="I7" s="3"/>
      <c r="J7" s="25" t="s">
        <v>12</v>
      </c>
      <c r="K7" s="26"/>
      <c r="L7" s="26"/>
      <c r="M7" s="26"/>
      <c r="N7" s="26"/>
      <c r="O7" s="26"/>
      <c r="P7" s="26"/>
      <c r="Q7" s="27"/>
      <c r="R7" s="25" t="s">
        <v>3</v>
      </c>
      <c r="S7" s="26"/>
      <c r="T7" s="27"/>
      <c r="U7" s="6"/>
      <c r="V7" s="24" t="s">
        <v>253</v>
      </c>
      <c r="W7" s="24"/>
      <c r="X7" s="24"/>
    </row>
    <row r="8" spans="2:24">
      <c r="B8" s="25" t="s">
        <v>162</v>
      </c>
      <c r="C8" s="24"/>
      <c r="D8" s="15"/>
      <c r="E8" s="24" t="s">
        <v>165</v>
      </c>
      <c r="F8" s="24"/>
      <c r="G8" s="24"/>
      <c r="H8" s="24"/>
      <c r="I8" s="24"/>
      <c r="J8" s="6"/>
      <c r="K8" s="24" t="s">
        <v>5</v>
      </c>
      <c r="L8" s="24"/>
      <c r="M8" s="24"/>
      <c r="N8" s="15"/>
      <c r="O8" s="28" t="s">
        <v>2</v>
      </c>
      <c r="P8" s="28"/>
      <c r="Q8" s="28"/>
      <c r="R8" s="6"/>
      <c r="S8" s="93"/>
      <c r="T8" s="17"/>
      <c r="U8" s="6"/>
      <c r="W8" s="1" t="s">
        <v>203</v>
      </c>
      <c r="X8" s="1"/>
    </row>
    <row r="9" spans="2:24">
      <c r="B9" s="19" t="s">
        <v>163</v>
      </c>
      <c r="C9" s="20" t="s">
        <v>166</v>
      </c>
      <c r="D9" s="20"/>
      <c r="E9" s="20" t="s">
        <v>64</v>
      </c>
      <c r="F9" s="20" t="s">
        <v>167</v>
      </c>
      <c r="G9" s="20" t="s">
        <v>4</v>
      </c>
      <c r="H9" s="20" t="s">
        <v>67</v>
      </c>
      <c r="I9" s="20" t="s">
        <v>6</v>
      </c>
      <c r="J9" s="19" t="s">
        <v>164</v>
      </c>
      <c r="K9" s="20" t="s">
        <v>70</v>
      </c>
      <c r="L9" s="20" t="s">
        <v>71</v>
      </c>
      <c r="M9" s="20" t="s">
        <v>29</v>
      </c>
      <c r="N9" s="20"/>
      <c r="O9" s="20" t="s">
        <v>70</v>
      </c>
      <c r="P9" s="20" t="s">
        <v>71</v>
      </c>
      <c r="Q9" s="20" t="s">
        <v>29</v>
      </c>
      <c r="R9" s="19" t="s">
        <v>164</v>
      </c>
      <c r="S9" s="20" t="s">
        <v>5</v>
      </c>
      <c r="T9" s="20" t="s">
        <v>2</v>
      </c>
      <c r="U9" s="6"/>
      <c r="V9" s="19" t="s">
        <v>188</v>
      </c>
      <c r="W9" s="20" t="s">
        <v>186</v>
      </c>
      <c r="X9" s="20" t="s">
        <v>187</v>
      </c>
    </row>
    <row r="10" spans="2:24">
      <c r="B10" s="7">
        <v>7</v>
      </c>
      <c r="C10" s="100" t="s">
        <v>160</v>
      </c>
      <c r="D10" s="100"/>
      <c r="E10" s="4" t="s">
        <v>65</v>
      </c>
      <c r="F10" s="37"/>
      <c r="G10" s="100"/>
      <c r="I10" s="8"/>
      <c r="J10" s="81" t="s">
        <v>219</v>
      </c>
      <c r="K10" s="10"/>
      <c r="L10" s="13"/>
      <c r="M10" s="10"/>
      <c r="N10" s="10"/>
      <c r="O10" s="10"/>
      <c r="P10" s="10"/>
      <c r="Q10" s="11"/>
      <c r="R10" s="9"/>
      <c r="S10" s="10"/>
      <c r="T10" s="11"/>
      <c r="U10" s="6"/>
    </row>
    <row r="11" spans="2:24">
      <c r="B11" s="7">
        <v>7</v>
      </c>
      <c r="C11" s="100" t="s">
        <v>160</v>
      </c>
      <c r="D11" s="100"/>
      <c r="E11" s="4" t="s">
        <v>65</v>
      </c>
      <c r="F11" s="37"/>
      <c r="G11" s="100">
        <v>36083.693051907685</v>
      </c>
      <c r="I11" s="8"/>
      <c r="J11" s="81" t="s">
        <v>85</v>
      </c>
      <c r="K11" s="85">
        <v>16.38</v>
      </c>
      <c r="L11" s="82">
        <v>-1.9800000000000002E-2</v>
      </c>
      <c r="M11" s="85">
        <f>K11*(1+L11)</f>
        <v>16.055675999999998</v>
      </c>
      <c r="N11" s="10"/>
      <c r="O11" s="83">
        <f>ROUND(ROUND(G11,0)*K11,0)</f>
        <v>591056</v>
      </c>
      <c r="P11" s="83">
        <f t="shared" ref="P11:P39" si="0">L11*O11</f>
        <v>-11702.908800000001</v>
      </c>
      <c r="Q11" s="83">
        <f t="shared" ref="Q11:Q39" si="1">O11+P11</f>
        <v>579353.09120000002</v>
      </c>
      <c r="R11" s="84" t="s">
        <v>50</v>
      </c>
      <c r="S11" s="10">
        <f>INDEX('RMM-7R_pg2'!R:R,MATCH($R11,'RMM-7R_pg2'!$A:$A,0))</f>
        <v>9.1</v>
      </c>
      <c r="T11" s="11">
        <f>G11*S11</f>
        <v>328361.60677235993</v>
      </c>
      <c r="U11" s="6"/>
    </row>
    <row r="12" spans="2:24">
      <c r="B12" s="7">
        <v>7</v>
      </c>
      <c r="C12" s="100" t="s">
        <v>160</v>
      </c>
      <c r="D12" s="100"/>
      <c r="E12" s="4" t="s">
        <v>65</v>
      </c>
      <c r="F12" s="37"/>
      <c r="G12" s="100">
        <v>8903.8148226097055</v>
      </c>
      <c r="I12" s="8"/>
      <c r="J12" s="81" t="s">
        <v>86</v>
      </c>
      <c r="K12" s="85">
        <v>26.78</v>
      </c>
      <c r="L12" s="82">
        <v>-1.9800000000000002E-2</v>
      </c>
      <c r="M12" s="85">
        <f>K12*(1+L12)</f>
        <v>26.249756000000001</v>
      </c>
      <c r="N12" s="10"/>
      <c r="O12" s="83">
        <f>ROUND(ROUND(G12,0)*K12,0)</f>
        <v>238449</v>
      </c>
      <c r="P12" s="83">
        <f t="shared" si="0"/>
        <v>-4721.2902000000004</v>
      </c>
      <c r="Q12" s="83">
        <f t="shared" si="1"/>
        <v>233727.70980000001</v>
      </c>
      <c r="R12" s="84" t="s">
        <v>51</v>
      </c>
      <c r="S12" s="10">
        <f>INDEX('RMM-7R_pg2'!R:R,MATCH($R12,'RMM-7R_pg2'!$A:$A,0))</f>
        <v>10.61</v>
      </c>
      <c r="T12" s="11">
        <f t="shared" ref="T12:T74" si="2">G12*S12</f>
        <v>94469.475267888964</v>
      </c>
      <c r="U12" s="6"/>
    </row>
    <row r="13" spans="2:24">
      <c r="B13" s="7">
        <v>7</v>
      </c>
      <c r="C13" s="100" t="s">
        <v>160</v>
      </c>
      <c r="D13" s="100"/>
      <c r="E13" s="4" t="s">
        <v>65</v>
      </c>
      <c r="F13" s="37"/>
      <c r="G13" s="100"/>
      <c r="I13" s="8"/>
      <c r="J13" s="81" t="s">
        <v>220</v>
      </c>
      <c r="K13" s="85"/>
      <c r="L13" s="82"/>
      <c r="M13" s="85"/>
      <c r="N13" s="10"/>
      <c r="O13" s="83"/>
      <c r="P13" s="83"/>
      <c r="Q13" s="83"/>
      <c r="R13" s="84"/>
      <c r="S13" s="10"/>
      <c r="T13" s="11"/>
      <c r="U13" s="6"/>
    </row>
    <row r="14" spans="2:24">
      <c r="B14" s="7">
        <v>7</v>
      </c>
      <c r="C14" s="100" t="s">
        <v>160</v>
      </c>
      <c r="D14" s="100"/>
      <c r="E14" s="4" t="s">
        <v>65</v>
      </c>
      <c r="F14" s="37"/>
      <c r="G14" s="100">
        <v>3407.5936773762842</v>
      </c>
      <c r="I14" s="8"/>
      <c r="J14" s="81" t="s">
        <v>87</v>
      </c>
      <c r="K14" s="85">
        <v>14.6</v>
      </c>
      <c r="L14" s="82">
        <v>-1.9800000000000002E-2</v>
      </c>
      <c r="M14" s="85">
        <f t="shared" ref="M14:M24" si="3">K14*(1+L14)</f>
        <v>14.310919999999999</v>
      </c>
      <c r="N14" s="10"/>
      <c r="O14" s="83">
        <f t="shared" ref="O14:O24" si="4">ROUND(ROUND(G14,0)*K14,0)</f>
        <v>49757</v>
      </c>
      <c r="P14" s="83">
        <f t="shared" si="0"/>
        <v>-985.18860000000006</v>
      </c>
      <c r="Q14" s="83">
        <f t="shared" si="1"/>
        <v>48771.811399999999</v>
      </c>
      <c r="R14" s="84" t="s">
        <v>50</v>
      </c>
      <c r="S14" s="10">
        <f>INDEX('RMM-7R_pg2'!R:R,MATCH($R14,'RMM-7R_pg2'!$A:$A,0))</f>
        <v>9.1</v>
      </c>
      <c r="T14" s="11">
        <f t="shared" si="2"/>
        <v>31009.102464124186</v>
      </c>
      <c r="U14" s="6"/>
    </row>
    <row r="15" spans="2:24">
      <c r="B15" s="7">
        <v>7</v>
      </c>
      <c r="C15" s="100" t="s">
        <v>160</v>
      </c>
      <c r="D15" s="100"/>
      <c r="E15" s="4" t="s">
        <v>65</v>
      </c>
      <c r="F15" s="37"/>
      <c r="G15" s="100">
        <v>1393.1108088036626</v>
      </c>
      <c r="I15" s="8"/>
      <c r="J15" s="81" t="s">
        <v>88</v>
      </c>
      <c r="K15" s="85">
        <v>12.23</v>
      </c>
      <c r="L15" s="82">
        <v>-1.9800000000000002E-2</v>
      </c>
      <c r="M15" s="85">
        <f t="shared" si="3"/>
        <v>11.987845999999999</v>
      </c>
      <c r="N15" s="10"/>
      <c r="O15" s="83">
        <f t="shared" si="4"/>
        <v>17036</v>
      </c>
      <c r="P15" s="83">
        <f t="shared" si="0"/>
        <v>-337.31280000000004</v>
      </c>
      <c r="Q15" s="83">
        <f t="shared" si="1"/>
        <v>16698.6872</v>
      </c>
      <c r="R15" s="84" t="s">
        <v>50</v>
      </c>
      <c r="S15" s="10">
        <f>INDEX('RMM-7R_pg2'!R:R,MATCH($R15,'RMM-7R_pg2'!$A:$A,0))</f>
        <v>9.1</v>
      </c>
      <c r="T15" s="11">
        <f t="shared" si="2"/>
        <v>12677.308360113329</v>
      </c>
      <c r="U15" s="6"/>
    </row>
    <row r="16" spans="2:24">
      <c r="B16" s="7">
        <v>7</v>
      </c>
      <c r="C16" s="100" t="s">
        <v>160</v>
      </c>
      <c r="D16" s="100"/>
      <c r="E16" s="4" t="s">
        <v>65</v>
      </c>
      <c r="F16" s="37"/>
      <c r="G16" s="100">
        <v>21806.765838354742</v>
      </c>
      <c r="I16" s="8"/>
      <c r="J16" s="81" t="s">
        <v>89</v>
      </c>
      <c r="K16" s="85">
        <v>15.47</v>
      </c>
      <c r="L16" s="82">
        <v>-1.9800000000000002E-2</v>
      </c>
      <c r="M16" s="85">
        <f t="shared" si="3"/>
        <v>15.163694</v>
      </c>
      <c r="N16" s="10"/>
      <c r="O16" s="83">
        <f t="shared" si="4"/>
        <v>337354</v>
      </c>
      <c r="P16" s="83">
        <f t="shared" si="0"/>
        <v>-6679.6092000000008</v>
      </c>
      <c r="Q16" s="83">
        <f t="shared" si="1"/>
        <v>330674.39079999999</v>
      </c>
      <c r="R16" s="84" t="s">
        <v>50</v>
      </c>
      <c r="S16" s="10">
        <f>INDEX('RMM-7R_pg2'!R:R,MATCH($R16,'RMM-7R_pg2'!$A:$A,0))</f>
        <v>9.1</v>
      </c>
      <c r="T16" s="11">
        <f t="shared" si="2"/>
        <v>198441.56912902815</v>
      </c>
      <c r="U16" s="6"/>
    </row>
    <row r="17" spans="2:21">
      <c r="B17" s="7">
        <v>7</v>
      </c>
      <c r="C17" s="100" t="s">
        <v>160</v>
      </c>
      <c r="D17" s="100"/>
      <c r="E17" s="4" t="s">
        <v>65</v>
      </c>
      <c r="F17" s="37"/>
      <c r="G17" s="100">
        <v>17345.504803254302</v>
      </c>
      <c r="I17" s="8"/>
      <c r="J17" s="81" t="s">
        <v>90</v>
      </c>
      <c r="K17" s="85">
        <v>13.31</v>
      </c>
      <c r="L17" s="82">
        <v>-1.9800000000000002E-2</v>
      </c>
      <c r="M17" s="85">
        <f t="shared" si="3"/>
        <v>13.046462</v>
      </c>
      <c r="N17" s="10"/>
      <c r="O17" s="83">
        <f t="shared" si="4"/>
        <v>230875</v>
      </c>
      <c r="P17" s="83">
        <f t="shared" si="0"/>
        <v>-4571.3250000000007</v>
      </c>
      <c r="Q17" s="83">
        <f t="shared" si="1"/>
        <v>226303.67499999999</v>
      </c>
      <c r="R17" s="84" t="s">
        <v>50</v>
      </c>
      <c r="S17" s="10">
        <f>INDEX('RMM-7R_pg2'!R:R,MATCH($R17,'RMM-7R_pg2'!$A:$A,0))</f>
        <v>9.1</v>
      </c>
      <c r="T17" s="11">
        <f t="shared" si="2"/>
        <v>157844.09370961413</v>
      </c>
      <c r="U17" s="6"/>
    </row>
    <row r="18" spans="2:21">
      <c r="B18" s="7">
        <v>7</v>
      </c>
      <c r="C18" s="100" t="s">
        <v>160</v>
      </c>
      <c r="D18" s="100"/>
      <c r="E18" s="4" t="s">
        <v>65</v>
      </c>
      <c r="F18" s="37"/>
      <c r="G18" s="100">
        <v>3016.5469248025333</v>
      </c>
      <c r="I18" s="8"/>
      <c r="J18" s="81" t="s">
        <v>91</v>
      </c>
      <c r="K18" s="85">
        <v>19.46</v>
      </c>
      <c r="L18" s="82">
        <v>-1.9800000000000002E-2</v>
      </c>
      <c r="M18" s="85">
        <f t="shared" si="3"/>
        <v>19.074691999999999</v>
      </c>
      <c r="N18" s="10"/>
      <c r="O18" s="83">
        <f t="shared" si="4"/>
        <v>58711</v>
      </c>
      <c r="P18" s="83">
        <f t="shared" si="0"/>
        <v>-1162.4778000000001</v>
      </c>
      <c r="Q18" s="83">
        <f t="shared" si="1"/>
        <v>57548.522199999999</v>
      </c>
      <c r="R18" s="84" t="s">
        <v>51</v>
      </c>
      <c r="S18" s="10">
        <f>INDEX('RMM-7R_pg2'!R:R,MATCH($R18,'RMM-7R_pg2'!$A:$A,0))</f>
        <v>10.61</v>
      </c>
      <c r="T18" s="11">
        <f t="shared" si="2"/>
        <v>32005.562872154878</v>
      </c>
      <c r="U18" s="6"/>
    </row>
    <row r="19" spans="2:21">
      <c r="B19" s="7">
        <v>7</v>
      </c>
      <c r="C19" s="100" t="s">
        <v>160</v>
      </c>
      <c r="D19" s="100"/>
      <c r="E19" s="4" t="s">
        <v>65</v>
      </c>
      <c r="F19" s="37"/>
      <c r="G19" s="100">
        <v>2208.6107380682884</v>
      </c>
      <c r="I19" s="8"/>
      <c r="J19" s="81" t="s">
        <v>92</v>
      </c>
      <c r="K19" s="85">
        <v>17.13</v>
      </c>
      <c r="L19" s="82">
        <v>-1.9800000000000002E-2</v>
      </c>
      <c r="M19" s="85">
        <f t="shared" si="3"/>
        <v>16.790825999999999</v>
      </c>
      <c r="N19" s="10"/>
      <c r="O19" s="83">
        <f t="shared" si="4"/>
        <v>37840</v>
      </c>
      <c r="P19" s="83">
        <f t="shared" si="0"/>
        <v>-749.23200000000008</v>
      </c>
      <c r="Q19" s="83">
        <f t="shared" si="1"/>
        <v>37090.767999999996</v>
      </c>
      <c r="R19" s="84" t="s">
        <v>51</v>
      </c>
      <c r="S19" s="10">
        <f>INDEX('RMM-7R_pg2'!R:R,MATCH($R19,'RMM-7R_pg2'!$A:$A,0))</f>
        <v>10.61</v>
      </c>
      <c r="T19" s="11">
        <f t="shared" si="2"/>
        <v>23433.359930904538</v>
      </c>
      <c r="U19" s="6"/>
    </row>
    <row r="20" spans="2:21">
      <c r="B20" s="7">
        <v>7</v>
      </c>
      <c r="C20" s="100" t="s">
        <v>160</v>
      </c>
      <c r="D20" s="100"/>
      <c r="E20" s="4" t="s">
        <v>65</v>
      </c>
      <c r="F20" s="37"/>
      <c r="G20" s="100">
        <v>90.118478656185346</v>
      </c>
      <c r="I20" s="8"/>
      <c r="J20" s="81" t="s">
        <v>93</v>
      </c>
      <c r="K20" s="85">
        <v>21.07</v>
      </c>
      <c r="L20" s="82">
        <v>-1.9800000000000002E-2</v>
      </c>
      <c r="M20" s="85">
        <f t="shared" si="3"/>
        <v>20.652813999999999</v>
      </c>
      <c r="N20" s="10"/>
      <c r="O20" s="83">
        <f t="shared" si="4"/>
        <v>1896</v>
      </c>
      <c r="P20" s="83">
        <f t="shared" si="0"/>
        <v>-37.540800000000004</v>
      </c>
      <c r="Q20" s="83">
        <f t="shared" si="1"/>
        <v>1858.4592</v>
      </c>
      <c r="R20" s="84" t="s">
        <v>51</v>
      </c>
      <c r="S20" s="10">
        <f>INDEX('RMM-7R_pg2'!R:R,MATCH($R20,'RMM-7R_pg2'!$A:$A,0))</f>
        <v>10.61</v>
      </c>
      <c r="T20" s="11">
        <f t="shared" si="2"/>
        <v>956.15705854212649</v>
      </c>
      <c r="U20" s="6"/>
    </row>
    <row r="21" spans="2:21">
      <c r="B21" s="7">
        <v>7</v>
      </c>
      <c r="C21" s="100" t="s">
        <v>160</v>
      </c>
      <c r="D21" s="100"/>
      <c r="E21" s="4" t="s">
        <v>65</v>
      </c>
      <c r="F21" s="37"/>
      <c r="G21" s="100">
        <v>3084.5370291382005</v>
      </c>
      <c r="I21" s="8"/>
      <c r="J21" s="81" t="s">
        <v>94</v>
      </c>
      <c r="K21" s="85">
        <v>23.51</v>
      </c>
      <c r="L21" s="82">
        <v>-1.9800000000000002E-2</v>
      </c>
      <c r="M21" s="85">
        <f t="shared" si="3"/>
        <v>23.044502000000001</v>
      </c>
      <c r="N21" s="10"/>
      <c r="O21" s="83">
        <f t="shared" si="4"/>
        <v>72528</v>
      </c>
      <c r="P21" s="83">
        <f t="shared" si="0"/>
        <v>-1436.0544000000002</v>
      </c>
      <c r="Q21" s="83">
        <f t="shared" si="1"/>
        <v>71091.945600000006</v>
      </c>
      <c r="R21" s="84" t="s">
        <v>52</v>
      </c>
      <c r="S21" s="10">
        <f>INDEX('RMM-7R_pg2'!R:R,MATCH($R21,'RMM-7R_pg2'!$A:$A,0))</f>
        <v>12.96</v>
      </c>
      <c r="T21" s="11">
        <f t="shared" si="2"/>
        <v>39975.59989763108</v>
      </c>
      <c r="U21" s="6"/>
    </row>
    <row r="22" spans="2:21">
      <c r="B22" s="7">
        <v>7</v>
      </c>
      <c r="C22" s="100" t="s">
        <v>160</v>
      </c>
      <c r="D22" s="100"/>
      <c r="E22" s="4" t="s">
        <v>65</v>
      </c>
      <c r="F22" s="37"/>
      <c r="G22" s="100">
        <v>3791.2561462806907</v>
      </c>
      <c r="I22" s="8"/>
      <c r="J22" s="81" t="s">
        <v>95</v>
      </c>
      <c r="K22" s="85">
        <v>21.23</v>
      </c>
      <c r="L22" s="82">
        <v>-1.9800000000000002E-2</v>
      </c>
      <c r="M22" s="85">
        <f t="shared" si="3"/>
        <v>20.809646000000001</v>
      </c>
      <c r="N22" s="10"/>
      <c r="O22" s="83">
        <f t="shared" si="4"/>
        <v>80483</v>
      </c>
      <c r="P22" s="83">
        <f t="shared" si="0"/>
        <v>-1593.5634000000002</v>
      </c>
      <c r="Q22" s="83">
        <f t="shared" si="1"/>
        <v>78889.436600000001</v>
      </c>
      <c r="R22" s="84" t="s">
        <v>52</v>
      </c>
      <c r="S22" s="10">
        <f>INDEX('RMM-7R_pg2'!R:R,MATCH($R22,'RMM-7R_pg2'!$A:$A,0))</f>
        <v>12.96</v>
      </c>
      <c r="T22" s="11">
        <f t="shared" si="2"/>
        <v>49134.679655797758</v>
      </c>
      <c r="U22" s="6"/>
    </row>
    <row r="23" spans="2:21">
      <c r="B23" s="7">
        <v>7</v>
      </c>
      <c r="C23" s="100" t="s">
        <v>160</v>
      </c>
      <c r="D23" s="100"/>
      <c r="E23" s="4" t="s">
        <v>65</v>
      </c>
      <c r="F23" s="37"/>
      <c r="G23" s="100">
        <v>1971.9849005618591</v>
      </c>
      <c r="I23" s="8"/>
      <c r="J23" s="81" t="s">
        <v>96</v>
      </c>
      <c r="K23" s="85">
        <v>28.3</v>
      </c>
      <c r="L23" s="82">
        <v>-1.9800000000000002E-2</v>
      </c>
      <c r="M23" s="85">
        <f t="shared" si="3"/>
        <v>27.739660000000001</v>
      </c>
      <c r="N23" s="10"/>
      <c r="O23" s="83">
        <f t="shared" si="4"/>
        <v>55808</v>
      </c>
      <c r="P23" s="83">
        <f t="shared" si="0"/>
        <v>-1104.9984000000002</v>
      </c>
      <c r="Q23" s="83">
        <f t="shared" si="1"/>
        <v>54703.001600000003</v>
      </c>
      <c r="R23" s="84" t="s">
        <v>52</v>
      </c>
      <c r="S23" s="10">
        <f>INDEX('RMM-7R_pg2'!R:R,MATCH($R23,'RMM-7R_pg2'!$A:$A,0))</f>
        <v>12.96</v>
      </c>
      <c r="T23" s="11">
        <f t="shared" si="2"/>
        <v>25556.924311281695</v>
      </c>
      <c r="U23" s="6"/>
    </row>
    <row r="24" spans="2:21">
      <c r="B24" s="7">
        <v>7</v>
      </c>
      <c r="C24" s="100" t="s">
        <v>160</v>
      </c>
      <c r="D24" s="100"/>
      <c r="E24" s="4" t="s">
        <v>65</v>
      </c>
      <c r="F24" s="37"/>
      <c r="G24" s="100">
        <v>2066.1974129835662</v>
      </c>
      <c r="I24" s="8"/>
      <c r="J24" s="81" t="s">
        <v>97</v>
      </c>
      <c r="K24" s="85">
        <v>25.99</v>
      </c>
      <c r="L24" s="82">
        <v>-1.9800000000000002E-2</v>
      </c>
      <c r="M24" s="85">
        <f t="shared" si="3"/>
        <v>25.475397999999998</v>
      </c>
      <c r="N24" s="10"/>
      <c r="O24" s="83">
        <f t="shared" si="4"/>
        <v>53695</v>
      </c>
      <c r="P24" s="83">
        <f t="shared" si="0"/>
        <v>-1063.1610000000001</v>
      </c>
      <c r="Q24" s="83">
        <f t="shared" si="1"/>
        <v>52631.839</v>
      </c>
      <c r="R24" s="84" t="s">
        <v>52</v>
      </c>
      <c r="S24" s="10">
        <f>INDEX('RMM-7R_pg2'!R:R,MATCH($R24,'RMM-7R_pg2'!$A:$A,0))</f>
        <v>12.96</v>
      </c>
      <c r="T24" s="11">
        <f t="shared" si="2"/>
        <v>26777.918472267022</v>
      </c>
      <c r="U24" s="6"/>
    </row>
    <row r="25" spans="2:21">
      <c r="B25" s="7">
        <v>7</v>
      </c>
      <c r="C25" s="100" t="s">
        <v>160</v>
      </c>
      <c r="D25" s="100"/>
      <c r="E25" s="4" t="s">
        <v>65</v>
      </c>
      <c r="F25" s="37"/>
      <c r="G25" s="100"/>
      <c r="I25" s="8"/>
      <c r="J25" s="81" t="s">
        <v>221</v>
      </c>
      <c r="K25" s="85"/>
      <c r="L25" s="82"/>
      <c r="M25" s="85"/>
      <c r="N25" s="10"/>
      <c r="O25" s="83"/>
      <c r="P25" s="83"/>
      <c r="Q25" s="83"/>
      <c r="R25" s="84"/>
      <c r="S25" s="10"/>
      <c r="T25" s="11"/>
      <c r="U25" s="6"/>
    </row>
    <row r="26" spans="2:21">
      <c r="B26" s="7">
        <v>7</v>
      </c>
      <c r="C26" s="100" t="s">
        <v>160</v>
      </c>
      <c r="D26" s="100"/>
      <c r="E26" s="4" t="s">
        <v>65</v>
      </c>
      <c r="F26" s="37"/>
      <c r="G26" s="100">
        <v>4104.2345837207358</v>
      </c>
      <c r="I26" s="8"/>
      <c r="J26" s="81" t="s">
        <v>91</v>
      </c>
      <c r="K26" s="85">
        <v>19.46</v>
      </c>
      <c r="L26" s="82">
        <v>-1.9800000000000002E-2</v>
      </c>
      <c r="M26" s="85">
        <f t="shared" ref="M26:M31" si="5">K26*(1+L26)</f>
        <v>19.074691999999999</v>
      </c>
      <c r="N26" s="10"/>
      <c r="O26" s="83">
        <f t="shared" ref="O26:O31" si="6">ROUND(ROUND(G26,0)*K26,0)</f>
        <v>79864</v>
      </c>
      <c r="P26" s="83">
        <f t="shared" si="0"/>
        <v>-1581.3072000000002</v>
      </c>
      <c r="Q26" s="83">
        <f t="shared" si="1"/>
        <v>78282.692800000004</v>
      </c>
      <c r="R26" s="84" t="s">
        <v>51</v>
      </c>
      <c r="S26" s="10">
        <f>INDEX('RMM-7R_pg2'!R:R,MATCH($R26,'RMM-7R_pg2'!$A:$A,0))</f>
        <v>10.61</v>
      </c>
      <c r="T26" s="11">
        <f t="shared" si="2"/>
        <v>43545.928933277006</v>
      </c>
      <c r="U26" s="6"/>
    </row>
    <row r="27" spans="2:21">
      <c r="B27" s="7">
        <v>7</v>
      </c>
      <c r="C27" s="100" t="s">
        <v>160</v>
      </c>
      <c r="D27" s="100"/>
      <c r="E27" s="4" t="s">
        <v>65</v>
      </c>
      <c r="F27" s="37"/>
      <c r="G27" s="100">
        <v>4493.7068355478423</v>
      </c>
      <c r="I27" s="8"/>
      <c r="J27" s="81" t="s">
        <v>92</v>
      </c>
      <c r="K27" s="85">
        <v>17.13</v>
      </c>
      <c r="L27" s="82">
        <v>-1.9800000000000002E-2</v>
      </c>
      <c r="M27" s="85">
        <f t="shared" si="5"/>
        <v>16.790825999999999</v>
      </c>
      <c r="N27" s="10"/>
      <c r="O27" s="83">
        <f t="shared" si="6"/>
        <v>76982</v>
      </c>
      <c r="P27" s="83">
        <f t="shared" si="0"/>
        <v>-1524.2436</v>
      </c>
      <c r="Q27" s="83">
        <f t="shared" si="1"/>
        <v>75457.756399999998</v>
      </c>
      <c r="R27" s="84" t="s">
        <v>51</v>
      </c>
      <c r="S27" s="10">
        <f>INDEX('RMM-7R_pg2'!R:R,MATCH($R27,'RMM-7R_pg2'!$A:$A,0))</f>
        <v>10.61</v>
      </c>
      <c r="T27" s="11">
        <f t="shared" si="2"/>
        <v>47678.229525162606</v>
      </c>
      <c r="U27" s="6"/>
    </row>
    <row r="28" spans="2:21">
      <c r="B28" s="7">
        <v>7</v>
      </c>
      <c r="C28" s="100" t="s">
        <v>160</v>
      </c>
      <c r="D28" s="100"/>
      <c r="E28" s="4" t="s">
        <v>65</v>
      </c>
      <c r="F28" s="37"/>
      <c r="G28" s="100">
        <v>906.23018613572685</v>
      </c>
      <c r="I28" s="8"/>
      <c r="J28" s="81" t="s">
        <v>94</v>
      </c>
      <c r="K28" s="85">
        <v>23.51</v>
      </c>
      <c r="L28" s="82">
        <v>-1.9800000000000002E-2</v>
      </c>
      <c r="M28" s="85">
        <f t="shared" si="5"/>
        <v>23.044502000000001</v>
      </c>
      <c r="N28" s="10"/>
      <c r="O28" s="83">
        <f t="shared" si="6"/>
        <v>21300</v>
      </c>
      <c r="P28" s="83">
        <f t="shared" si="0"/>
        <v>-421.74</v>
      </c>
      <c r="Q28" s="83">
        <f t="shared" si="1"/>
        <v>20878.259999999998</v>
      </c>
      <c r="R28" s="84" t="s">
        <v>52</v>
      </c>
      <c r="S28" s="10">
        <f>INDEX('RMM-7R_pg2'!R:R,MATCH($R28,'RMM-7R_pg2'!$A:$A,0))</f>
        <v>12.96</v>
      </c>
      <c r="T28" s="11">
        <f t="shared" si="2"/>
        <v>11744.743212319021</v>
      </c>
      <c r="U28" s="6"/>
    </row>
    <row r="29" spans="2:21">
      <c r="B29" s="7">
        <v>7</v>
      </c>
      <c r="C29" s="100" t="s">
        <v>160</v>
      </c>
      <c r="D29" s="100"/>
      <c r="E29" s="4" t="s">
        <v>65</v>
      </c>
      <c r="F29" s="37"/>
      <c r="G29" s="100">
        <v>1205.9849049678323</v>
      </c>
      <c r="I29" s="8"/>
      <c r="J29" s="81" t="s">
        <v>95</v>
      </c>
      <c r="K29" s="85">
        <v>21.23</v>
      </c>
      <c r="L29" s="82">
        <v>-1.9800000000000002E-2</v>
      </c>
      <c r="M29" s="85">
        <f t="shared" si="5"/>
        <v>20.809646000000001</v>
      </c>
      <c r="N29" s="10"/>
      <c r="O29" s="83">
        <f t="shared" si="6"/>
        <v>25603</v>
      </c>
      <c r="P29" s="83">
        <f t="shared" si="0"/>
        <v>-506.93940000000003</v>
      </c>
      <c r="Q29" s="83">
        <f t="shared" si="1"/>
        <v>25096.060600000001</v>
      </c>
      <c r="R29" s="84" t="s">
        <v>52</v>
      </c>
      <c r="S29" s="10">
        <f>INDEX('RMM-7R_pg2'!R:R,MATCH($R29,'RMM-7R_pg2'!$A:$A,0))</f>
        <v>12.96</v>
      </c>
      <c r="T29" s="11">
        <f t="shared" si="2"/>
        <v>15629.564368383108</v>
      </c>
      <c r="U29" s="6"/>
    </row>
    <row r="30" spans="2:21">
      <c r="B30" s="7">
        <v>7</v>
      </c>
      <c r="C30" s="100" t="s">
        <v>160</v>
      </c>
      <c r="D30" s="100"/>
      <c r="E30" s="4" t="s">
        <v>65</v>
      </c>
      <c r="F30" s="37"/>
      <c r="G30" s="100">
        <v>8225.3367264939843</v>
      </c>
      <c r="I30" s="8"/>
      <c r="J30" s="81" t="s">
        <v>96</v>
      </c>
      <c r="K30" s="85">
        <v>28.3</v>
      </c>
      <c r="L30" s="82">
        <v>-1.9800000000000002E-2</v>
      </c>
      <c r="M30" s="85">
        <f t="shared" si="5"/>
        <v>27.739660000000001</v>
      </c>
      <c r="N30" s="10"/>
      <c r="O30" s="83">
        <f t="shared" si="6"/>
        <v>232768</v>
      </c>
      <c r="P30" s="83">
        <f t="shared" si="0"/>
        <v>-4608.8064000000004</v>
      </c>
      <c r="Q30" s="83">
        <f t="shared" si="1"/>
        <v>228159.1936</v>
      </c>
      <c r="R30" s="84" t="s">
        <v>52</v>
      </c>
      <c r="S30" s="10">
        <f>INDEX('RMM-7R_pg2'!R:R,MATCH($R30,'RMM-7R_pg2'!$A:$A,0))</f>
        <v>12.96</v>
      </c>
      <c r="T30" s="11">
        <f t="shared" si="2"/>
        <v>106600.36397536204</v>
      </c>
      <c r="U30" s="6"/>
    </row>
    <row r="31" spans="2:21">
      <c r="B31" s="7">
        <v>7</v>
      </c>
      <c r="C31" s="100" t="s">
        <v>160</v>
      </c>
      <c r="D31" s="100"/>
      <c r="E31" s="4" t="s">
        <v>65</v>
      </c>
      <c r="F31" s="37"/>
      <c r="G31" s="100">
        <v>9309.1555825666583</v>
      </c>
      <c r="I31" s="8"/>
      <c r="J31" s="81" t="s">
        <v>97</v>
      </c>
      <c r="K31" s="85">
        <v>25.99</v>
      </c>
      <c r="L31" s="82">
        <v>-1.9800000000000002E-2</v>
      </c>
      <c r="M31" s="85">
        <f t="shared" si="5"/>
        <v>25.475397999999998</v>
      </c>
      <c r="N31" s="10"/>
      <c r="O31" s="83">
        <f t="shared" si="6"/>
        <v>241941</v>
      </c>
      <c r="P31" s="83">
        <f t="shared" si="0"/>
        <v>-4790.4318000000003</v>
      </c>
      <c r="Q31" s="83">
        <f t="shared" si="1"/>
        <v>237150.56820000001</v>
      </c>
      <c r="R31" s="84" t="s">
        <v>52</v>
      </c>
      <c r="S31" s="10">
        <f>INDEX('RMM-7R_pg2'!R:R,MATCH($R31,'RMM-7R_pg2'!$A:$A,0))</f>
        <v>12.96</v>
      </c>
      <c r="T31" s="11">
        <f t="shared" si="2"/>
        <v>120646.6563500639</v>
      </c>
      <c r="U31" s="6"/>
    </row>
    <row r="32" spans="2:21">
      <c r="B32" s="7">
        <v>7</v>
      </c>
      <c r="C32" s="100" t="s">
        <v>160</v>
      </c>
      <c r="D32" s="100"/>
      <c r="E32" s="4" t="s">
        <v>65</v>
      </c>
      <c r="F32" s="37"/>
      <c r="G32" s="100"/>
      <c r="I32" s="8"/>
      <c r="J32" s="81" t="s">
        <v>222</v>
      </c>
      <c r="K32" s="85"/>
      <c r="L32" s="82"/>
      <c r="M32" s="85"/>
      <c r="N32" s="10"/>
      <c r="O32" s="83"/>
      <c r="P32" s="83"/>
      <c r="Q32" s="83"/>
      <c r="R32" s="84"/>
      <c r="S32" s="10"/>
      <c r="T32" s="11"/>
      <c r="U32" s="6"/>
    </row>
    <row r="33" spans="2:21">
      <c r="B33" s="7">
        <v>7</v>
      </c>
      <c r="C33" s="100" t="s">
        <v>160</v>
      </c>
      <c r="D33" s="100"/>
      <c r="E33" s="4" t="s">
        <v>65</v>
      </c>
      <c r="F33" s="37"/>
      <c r="G33" s="100">
        <v>279.82112711682606</v>
      </c>
      <c r="I33" s="8"/>
      <c r="J33" s="81" t="s">
        <v>98</v>
      </c>
      <c r="K33" s="85">
        <v>21.79</v>
      </c>
      <c r="L33" s="82">
        <v>-1.9800000000000002E-2</v>
      </c>
      <c r="M33" s="85">
        <f t="shared" ref="M33:M39" si="7">K33*(1+L33)</f>
        <v>21.358557999999999</v>
      </c>
      <c r="N33" s="10"/>
      <c r="O33" s="83">
        <f t="shared" ref="O33:O98" si="8">ROUND(ROUND(G33,0)*K33,0)</f>
        <v>6101</v>
      </c>
      <c r="P33" s="83">
        <f t="shared" si="0"/>
        <v>-120.7998</v>
      </c>
      <c r="Q33" s="83">
        <f t="shared" si="1"/>
        <v>5980.2002000000002</v>
      </c>
      <c r="R33" s="84" t="s">
        <v>51</v>
      </c>
      <c r="S33" s="10">
        <f>INDEX('RMM-7R_pg2'!R:R,MATCH($R33,'RMM-7R_pg2'!$A:$A,0))</f>
        <v>10.61</v>
      </c>
      <c r="T33" s="11">
        <f t="shared" si="2"/>
        <v>2968.9021587095244</v>
      </c>
      <c r="U33" s="6"/>
    </row>
    <row r="34" spans="2:21">
      <c r="B34" s="7">
        <v>7</v>
      </c>
      <c r="C34" s="100" t="s">
        <v>160</v>
      </c>
      <c r="D34" s="100"/>
      <c r="E34" s="4" t="s">
        <v>65</v>
      </c>
      <c r="F34" s="37"/>
      <c r="G34" s="100">
        <v>107.27784923578133</v>
      </c>
      <c r="I34" s="8"/>
      <c r="J34" s="81" t="s">
        <v>99</v>
      </c>
      <c r="K34" s="85">
        <v>34.340000000000003</v>
      </c>
      <c r="L34" s="82">
        <v>-1.9800000000000002E-2</v>
      </c>
      <c r="M34" s="85">
        <f t="shared" si="7"/>
        <v>33.660068000000003</v>
      </c>
      <c r="N34" s="10"/>
      <c r="O34" s="83">
        <f t="shared" si="8"/>
        <v>3674</v>
      </c>
      <c r="P34" s="83">
        <f t="shared" si="0"/>
        <v>-72.745200000000011</v>
      </c>
      <c r="Q34" s="83">
        <f t="shared" si="1"/>
        <v>3601.2548000000002</v>
      </c>
      <c r="R34" s="84" t="s">
        <v>51</v>
      </c>
      <c r="S34" s="10">
        <f>INDEX('RMM-7R_pg2'!R:R,MATCH($R34,'RMM-7R_pg2'!$A:$A,0))</f>
        <v>10.61</v>
      </c>
      <c r="T34" s="11">
        <f t="shared" si="2"/>
        <v>1138.2179803916399</v>
      </c>
      <c r="U34" s="6"/>
    </row>
    <row r="35" spans="2:21">
      <c r="B35" s="7">
        <v>7</v>
      </c>
      <c r="C35" s="100" t="s">
        <v>160</v>
      </c>
      <c r="D35" s="100"/>
      <c r="E35" s="4" t="s">
        <v>65</v>
      </c>
      <c r="F35" s="37"/>
      <c r="G35" s="100">
        <v>93.68934198234453</v>
      </c>
      <c r="I35" s="8"/>
      <c r="J35" s="81" t="s">
        <v>100</v>
      </c>
      <c r="K35" s="85">
        <v>27.43</v>
      </c>
      <c r="L35" s="82">
        <v>-1.9800000000000002E-2</v>
      </c>
      <c r="M35" s="85">
        <f t="shared" si="7"/>
        <v>26.886885999999997</v>
      </c>
      <c r="N35" s="10"/>
      <c r="O35" s="83">
        <f t="shared" si="8"/>
        <v>2578</v>
      </c>
      <c r="P35" s="83">
        <f t="shared" si="0"/>
        <v>-51.044400000000003</v>
      </c>
      <c r="Q35" s="83">
        <f t="shared" si="1"/>
        <v>2526.9555999999998</v>
      </c>
      <c r="R35" s="84" t="s">
        <v>51</v>
      </c>
      <c r="S35" s="10">
        <f>INDEX('RMM-7R_pg2'!R:R,MATCH($R35,'RMM-7R_pg2'!$A:$A,0))</f>
        <v>10.61</v>
      </c>
      <c r="T35" s="11">
        <f t="shared" si="2"/>
        <v>994.04391843267535</v>
      </c>
      <c r="U35" s="6"/>
    </row>
    <row r="36" spans="2:21">
      <c r="B36" s="7">
        <v>7</v>
      </c>
      <c r="C36" s="100" t="s">
        <v>160</v>
      </c>
      <c r="D36" s="100"/>
      <c r="E36" s="4" t="s">
        <v>65</v>
      </c>
      <c r="F36" s="37"/>
      <c r="G36" s="100">
        <v>304.68526831578407</v>
      </c>
      <c r="I36" s="8"/>
      <c r="J36" s="81" t="s">
        <v>101</v>
      </c>
      <c r="K36" s="85">
        <v>36.69</v>
      </c>
      <c r="L36" s="82">
        <v>-1.9800000000000002E-2</v>
      </c>
      <c r="M36" s="85">
        <f t="shared" si="7"/>
        <v>35.963538</v>
      </c>
      <c r="N36" s="10"/>
      <c r="O36" s="83">
        <f t="shared" si="8"/>
        <v>11190</v>
      </c>
      <c r="P36" s="83">
        <f t="shared" si="0"/>
        <v>-221.56200000000001</v>
      </c>
      <c r="Q36" s="83">
        <f t="shared" si="1"/>
        <v>10968.438</v>
      </c>
      <c r="R36" s="84" t="s">
        <v>52</v>
      </c>
      <c r="S36" s="10">
        <f>INDEX('RMM-7R_pg2'!R:R,MATCH($R36,'RMM-7R_pg2'!$A:$A,0))</f>
        <v>12.96</v>
      </c>
      <c r="T36" s="11">
        <f t="shared" si="2"/>
        <v>3948.7210773725619</v>
      </c>
      <c r="U36" s="6"/>
    </row>
    <row r="37" spans="2:21">
      <c r="B37" s="7">
        <v>7</v>
      </c>
      <c r="C37" s="100" t="s">
        <v>160</v>
      </c>
      <c r="D37" s="100"/>
      <c r="E37" s="4" t="s">
        <v>65</v>
      </c>
      <c r="F37" s="37"/>
      <c r="G37" s="100">
        <v>552.15154335848013</v>
      </c>
      <c r="I37" s="8"/>
      <c r="J37" s="81" t="s">
        <v>102</v>
      </c>
      <c r="K37" s="85">
        <v>29.72</v>
      </c>
      <c r="L37" s="82">
        <v>-1.9800000000000002E-2</v>
      </c>
      <c r="M37" s="85">
        <f t="shared" si="7"/>
        <v>29.131543999999998</v>
      </c>
      <c r="N37" s="10"/>
      <c r="O37" s="83">
        <f t="shared" si="8"/>
        <v>16405</v>
      </c>
      <c r="P37" s="83">
        <f t="shared" si="0"/>
        <v>-324.81900000000002</v>
      </c>
      <c r="Q37" s="83">
        <f t="shared" si="1"/>
        <v>16080.181</v>
      </c>
      <c r="R37" s="84" t="s">
        <v>52</v>
      </c>
      <c r="S37" s="10">
        <f>INDEX('RMM-7R_pg2'!R:R,MATCH($R37,'RMM-7R_pg2'!$A:$A,0))</f>
        <v>12.96</v>
      </c>
      <c r="T37" s="11">
        <f t="shared" si="2"/>
        <v>7155.8840019259032</v>
      </c>
      <c r="U37" s="6"/>
    </row>
    <row r="38" spans="2:21">
      <c r="B38" s="7">
        <v>7</v>
      </c>
      <c r="C38" s="100" t="s">
        <v>160</v>
      </c>
      <c r="D38" s="100"/>
      <c r="E38" s="4" t="s">
        <v>65</v>
      </c>
      <c r="F38" s="37"/>
      <c r="G38" s="100">
        <v>11.58601178075015</v>
      </c>
      <c r="I38" s="8"/>
      <c r="J38" s="81" t="s">
        <v>103</v>
      </c>
      <c r="K38" s="85">
        <v>57.58</v>
      </c>
      <c r="L38" s="82">
        <v>-1.9800000000000002E-2</v>
      </c>
      <c r="M38" s="85">
        <f t="shared" si="7"/>
        <v>56.439915999999997</v>
      </c>
      <c r="N38" s="10"/>
      <c r="O38" s="83">
        <f t="shared" si="8"/>
        <v>691</v>
      </c>
      <c r="P38" s="83">
        <f t="shared" si="0"/>
        <v>-13.681800000000001</v>
      </c>
      <c r="Q38" s="83">
        <f t="shared" si="1"/>
        <v>677.31820000000005</v>
      </c>
      <c r="R38" s="84" t="s">
        <v>52</v>
      </c>
      <c r="S38" s="10">
        <f>INDEX('RMM-7R_pg2'!R:R,MATCH($R38,'RMM-7R_pg2'!$A:$A,0))</f>
        <v>12.96</v>
      </c>
      <c r="T38" s="11">
        <f t="shared" si="2"/>
        <v>150.15471267852195</v>
      </c>
      <c r="U38" s="6"/>
    </row>
    <row r="39" spans="2:21">
      <c r="B39" s="19">
        <v>7</v>
      </c>
      <c r="C39" s="54" t="s">
        <v>160</v>
      </c>
      <c r="D39" s="54"/>
      <c r="E39" s="20" t="s">
        <v>65</v>
      </c>
      <c r="F39" s="20"/>
      <c r="G39" s="54">
        <v>32.569631996901336</v>
      </c>
      <c r="H39" s="20"/>
      <c r="I39" s="54"/>
      <c r="J39" s="94" t="s">
        <v>104</v>
      </c>
      <c r="K39" s="95">
        <v>49.1</v>
      </c>
      <c r="L39" s="96">
        <v>-1.9800000000000002E-2</v>
      </c>
      <c r="M39" s="95">
        <f t="shared" si="7"/>
        <v>48.12782</v>
      </c>
      <c r="N39" s="56"/>
      <c r="O39" s="98">
        <f t="shared" si="8"/>
        <v>1620</v>
      </c>
      <c r="P39" s="98">
        <f t="shared" si="0"/>
        <v>-32.076000000000001</v>
      </c>
      <c r="Q39" s="98">
        <f t="shared" si="1"/>
        <v>1587.924</v>
      </c>
      <c r="R39" s="92" t="s">
        <v>52</v>
      </c>
      <c r="S39" s="56">
        <f>INDEX('RMM-7R_pg2'!R:R,MATCH($R39,'RMM-7R_pg2'!$A:$A,0))</f>
        <v>12.96</v>
      </c>
      <c r="T39" s="57">
        <f t="shared" si="2"/>
        <v>422.10243067984135</v>
      </c>
      <c r="U39" s="6"/>
    </row>
    <row r="40" spans="2:21">
      <c r="B40" s="7">
        <v>11</v>
      </c>
      <c r="C40" s="100" t="s">
        <v>161</v>
      </c>
      <c r="D40" s="100"/>
      <c r="E40" s="4" t="s">
        <v>65</v>
      </c>
      <c r="F40" s="37"/>
      <c r="G40" s="118"/>
      <c r="H40" s="8"/>
      <c r="I40" s="8"/>
      <c r="J40" s="91" t="s">
        <v>154</v>
      </c>
      <c r="K40" s="2"/>
      <c r="L40" s="82"/>
      <c r="M40" s="85"/>
      <c r="N40" s="13"/>
      <c r="O40" s="13"/>
      <c r="P40" s="13"/>
      <c r="Q40" s="11"/>
      <c r="R40" s="84"/>
      <c r="S40" s="10"/>
      <c r="T40" s="11"/>
      <c r="U40" s="6"/>
    </row>
    <row r="41" spans="2:21">
      <c r="B41" s="7">
        <v>11</v>
      </c>
      <c r="C41" s="100" t="s">
        <v>161</v>
      </c>
      <c r="D41" s="100"/>
      <c r="E41" s="4" t="s">
        <v>65</v>
      </c>
      <c r="F41" s="37"/>
      <c r="G41" s="100">
        <f>2744.65315754115-G45</f>
        <v>2468.65315754115</v>
      </c>
      <c r="I41" s="8"/>
      <c r="J41" s="91" t="s">
        <v>105</v>
      </c>
      <c r="K41" s="85">
        <v>11.32</v>
      </c>
      <c r="L41" s="82">
        <v>-1.9800000000000002E-2</v>
      </c>
      <c r="M41" s="85">
        <f>K41*(1+L41)</f>
        <v>11.095864000000001</v>
      </c>
      <c r="N41" s="13"/>
      <c r="O41" s="83">
        <f t="shared" si="8"/>
        <v>27949</v>
      </c>
      <c r="P41" s="83">
        <f t="shared" ref="P41" si="9">L41*O41</f>
        <v>-553.39020000000005</v>
      </c>
      <c r="Q41" s="83">
        <f t="shared" ref="Q41" si="10">O41+P41</f>
        <v>27395.609799999998</v>
      </c>
      <c r="R41" s="84" t="s">
        <v>8</v>
      </c>
      <c r="S41" s="10">
        <f>INDEX('RMM-7R_pg2'!R:R,MATCH($R41,'RMM-7R_pg2'!$A:$A,0))</f>
        <v>12.74</v>
      </c>
      <c r="T41" s="11">
        <f t="shared" si="2"/>
        <v>31450.641227074251</v>
      </c>
      <c r="U41" s="6"/>
    </row>
    <row r="42" spans="2:21">
      <c r="B42" s="7">
        <v>11</v>
      </c>
      <c r="C42" s="100" t="s">
        <v>161</v>
      </c>
      <c r="D42" s="100"/>
      <c r="E42" s="4" t="s">
        <v>65</v>
      </c>
      <c r="F42" s="37"/>
      <c r="G42" s="100">
        <f>1173.71336261903-G46</f>
        <v>1173.71336261903</v>
      </c>
      <c r="I42" s="8"/>
      <c r="J42" s="91" t="s">
        <v>106</v>
      </c>
      <c r="K42" s="85">
        <v>14.52</v>
      </c>
      <c r="L42" s="82">
        <v>-1.9800000000000002E-2</v>
      </c>
      <c r="M42" s="85">
        <f t="shared" ref="M42:M98" si="11">K42*(1+L42)</f>
        <v>14.232503999999999</v>
      </c>
      <c r="N42" s="13"/>
      <c r="O42" s="83">
        <f t="shared" si="8"/>
        <v>17046</v>
      </c>
      <c r="P42" s="83">
        <f t="shared" ref="P42:P98" si="12">L42*O42</f>
        <v>-337.51080000000002</v>
      </c>
      <c r="Q42" s="83">
        <f t="shared" ref="Q42:Q98" si="13">O42+P42</f>
        <v>16708.4892</v>
      </c>
      <c r="R42" s="84" t="s">
        <v>72</v>
      </c>
      <c r="S42" s="10">
        <f>INDEX('RMM-7R_pg2'!R:R,MATCH($R42,'RMM-7R_pg2'!$A:$A,0))</f>
        <v>13.19</v>
      </c>
      <c r="T42" s="11">
        <f t="shared" si="2"/>
        <v>15481.279252945005</v>
      </c>
      <c r="U42" s="6"/>
    </row>
    <row r="43" spans="2:21">
      <c r="B43" s="7">
        <v>11</v>
      </c>
      <c r="C43" s="100" t="s">
        <v>161</v>
      </c>
      <c r="D43" s="100"/>
      <c r="E43" s="4" t="s">
        <v>65</v>
      </c>
      <c r="F43" s="37"/>
      <c r="G43" s="100">
        <f>62.5983404733174-G47</f>
        <v>50.5983404733174</v>
      </c>
      <c r="I43" s="8"/>
      <c r="J43" s="91" t="s">
        <v>107</v>
      </c>
      <c r="K43" s="85">
        <v>19.8</v>
      </c>
      <c r="L43" s="82">
        <v>-1.9800000000000002E-2</v>
      </c>
      <c r="M43" s="85">
        <f t="shared" si="11"/>
        <v>19.407959999999999</v>
      </c>
      <c r="N43" s="13"/>
      <c r="O43" s="83">
        <f t="shared" si="8"/>
        <v>1010</v>
      </c>
      <c r="P43" s="83">
        <f t="shared" si="12"/>
        <v>-19.998000000000001</v>
      </c>
      <c r="Q43" s="83">
        <f t="shared" si="13"/>
        <v>990.00199999999995</v>
      </c>
      <c r="R43" s="84" t="s">
        <v>10</v>
      </c>
      <c r="S43" s="10">
        <f>INDEX('RMM-7R_pg2'!R:R,MATCH($R43,'RMM-7R_pg2'!$A:$A,0))</f>
        <v>14.6</v>
      </c>
      <c r="T43" s="11">
        <f t="shared" si="2"/>
        <v>738.73577091043398</v>
      </c>
      <c r="U43" s="6"/>
    </row>
    <row r="44" spans="2:21">
      <c r="B44" s="7">
        <v>11</v>
      </c>
      <c r="C44" s="100" t="s">
        <v>161</v>
      </c>
      <c r="D44" s="100"/>
      <c r="E44" s="4" t="s">
        <v>65</v>
      </c>
      <c r="F44" s="37"/>
      <c r="G44" s="100">
        <f>114.373915571312-G48</f>
        <v>114.373915571312</v>
      </c>
      <c r="I44" s="8"/>
      <c r="J44" s="91" t="s">
        <v>108</v>
      </c>
      <c r="K44" s="85">
        <v>22.95</v>
      </c>
      <c r="L44" s="82">
        <v>-1.9800000000000002E-2</v>
      </c>
      <c r="M44" s="85">
        <f t="shared" si="11"/>
        <v>22.49559</v>
      </c>
      <c r="N44" s="13"/>
      <c r="O44" s="83">
        <f t="shared" si="8"/>
        <v>2616</v>
      </c>
      <c r="P44" s="83">
        <f t="shared" si="12"/>
        <v>-51.796800000000005</v>
      </c>
      <c r="Q44" s="83">
        <f t="shared" si="13"/>
        <v>2564.2031999999999</v>
      </c>
      <c r="R44" s="84" t="s">
        <v>11</v>
      </c>
      <c r="S44" s="10">
        <f>INDEX('RMM-7R_pg2'!R:R,MATCH($R44,'RMM-7R_pg2'!$A:$A,0))</f>
        <v>17.75</v>
      </c>
      <c r="T44" s="11">
        <f t="shared" si="2"/>
        <v>2030.1370013907879</v>
      </c>
      <c r="U44" s="6"/>
    </row>
    <row r="45" spans="2:21">
      <c r="B45" s="7">
        <v>11</v>
      </c>
      <c r="C45" s="100" t="s">
        <v>161</v>
      </c>
      <c r="D45" s="100"/>
      <c r="E45" s="4" t="s">
        <v>65</v>
      </c>
      <c r="F45" s="37"/>
      <c r="G45" s="100">
        <f>23*12</f>
        <v>276</v>
      </c>
      <c r="I45" s="8"/>
      <c r="J45" s="91" t="s">
        <v>235</v>
      </c>
      <c r="K45" s="85">
        <v>11.32</v>
      </c>
      <c r="L45" s="82">
        <v>-1.9800000000000002E-2</v>
      </c>
      <c r="M45" s="85">
        <f t="shared" ref="M45:M48" si="14">K45*(1+L45)</f>
        <v>11.095864000000001</v>
      </c>
      <c r="N45" s="13"/>
      <c r="O45" s="83">
        <f t="shared" si="8"/>
        <v>3124</v>
      </c>
      <c r="P45" s="83">
        <f t="shared" ref="P45:P48" si="15">L45*O45</f>
        <v>-61.855200000000004</v>
      </c>
      <c r="Q45" s="83">
        <f t="shared" ref="Q45:Q48" si="16">O45+P45</f>
        <v>3062.1448</v>
      </c>
      <c r="R45" s="84" t="s">
        <v>229</v>
      </c>
      <c r="S45" s="10">
        <f>INDEX('RMM-7R_pg2'!R:R,MATCH($R45,'RMM-7R_pg2'!$A:$A,0))</f>
        <v>6.57</v>
      </c>
      <c r="T45" s="11">
        <f t="shared" si="2"/>
        <v>1813.3200000000002</v>
      </c>
      <c r="U45" s="6"/>
    </row>
    <row r="46" spans="2:21">
      <c r="B46" s="7">
        <v>11</v>
      </c>
      <c r="C46" s="100" t="s">
        <v>161</v>
      </c>
      <c r="D46" s="100"/>
      <c r="E46" s="4" t="s">
        <v>65</v>
      </c>
      <c r="F46" s="37"/>
      <c r="G46" s="100">
        <v>0</v>
      </c>
      <c r="I46" s="8"/>
      <c r="J46" s="91" t="s">
        <v>236</v>
      </c>
      <c r="K46" s="85">
        <v>14.52</v>
      </c>
      <c r="L46" s="82">
        <v>-1.9800000000000002E-2</v>
      </c>
      <c r="M46" s="85">
        <f t="shared" si="14"/>
        <v>14.232503999999999</v>
      </c>
      <c r="N46" s="13"/>
      <c r="O46" s="83">
        <f t="shared" si="8"/>
        <v>0</v>
      </c>
      <c r="P46" s="83">
        <f t="shared" si="15"/>
        <v>0</v>
      </c>
      <c r="Q46" s="83">
        <f t="shared" si="16"/>
        <v>0</v>
      </c>
      <c r="R46" s="84" t="s">
        <v>230</v>
      </c>
      <c r="S46" s="10">
        <f>INDEX('RMM-7R_pg2'!R:R,MATCH($R46,'RMM-7R_pg2'!$A:$A,0))</f>
        <v>6.99</v>
      </c>
      <c r="T46" s="11">
        <f t="shared" si="2"/>
        <v>0</v>
      </c>
      <c r="U46" s="6"/>
    </row>
    <row r="47" spans="2:21">
      <c r="B47" s="7">
        <v>11</v>
      </c>
      <c r="C47" s="100" t="s">
        <v>161</v>
      </c>
      <c r="D47" s="100"/>
      <c r="E47" s="4" t="s">
        <v>65</v>
      </c>
      <c r="F47" s="37"/>
      <c r="G47" s="100">
        <f>1*12</f>
        <v>12</v>
      </c>
      <c r="I47" s="8"/>
      <c r="J47" s="91" t="s">
        <v>237</v>
      </c>
      <c r="K47" s="85">
        <v>19.8</v>
      </c>
      <c r="L47" s="82">
        <v>-1.9800000000000002E-2</v>
      </c>
      <c r="M47" s="85">
        <f t="shared" si="14"/>
        <v>19.407959999999999</v>
      </c>
      <c r="N47" s="13"/>
      <c r="O47" s="83">
        <f t="shared" si="8"/>
        <v>238</v>
      </c>
      <c r="P47" s="83">
        <f t="shared" si="15"/>
        <v>-4.7124000000000006</v>
      </c>
      <c r="Q47" s="83">
        <f t="shared" si="16"/>
        <v>233.2876</v>
      </c>
      <c r="R47" s="84" t="s">
        <v>232</v>
      </c>
      <c r="S47" s="10">
        <f>INDEX('RMM-7R_pg2'!R:R,MATCH($R47,'RMM-7R_pg2'!$A:$A,0))</f>
        <v>8</v>
      </c>
      <c r="T47" s="11">
        <f t="shared" si="2"/>
        <v>96</v>
      </c>
      <c r="U47" s="6"/>
    </row>
    <row r="48" spans="2:21">
      <c r="B48" s="7">
        <v>11</v>
      </c>
      <c r="C48" s="100" t="s">
        <v>161</v>
      </c>
      <c r="D48" s="100"/>
      <c r="E48" s="4" t="s">
        <v>65</v>
      </c>
      <c r="F48" s="37"/>
      <c r="G48" s="100">
        <v>0</v>
      </c>
      <c r="I48" s="8"/>
      <c r="J48" s="91" t="s">
        <v>238</v>
      </c>
      <c r="K48" s="85">
        <v>22.95</v>
      </c>
      <c r="L48" s="82">
        <v>-1.9800000000000002E-2</v>
      </c>
      <c r="M48" s="85">
        <f t="shared" si="14"/>
        <v>22.49559</v>
      </c>
      <c r="N48" s="13"/>
      <c r="O48" s="83">
        <f t="shared" si="8"/>
        <v>0</v>
      </c>
      <c r="P48" s="83">
        <f t="shared" si="15"/>
        <v>0</v>
      </c>
      <c r="Q48" s="83">
        <f t="shared" si="16"/>
        <v>0</v>
      </c>
      <c r="R48" s="84" t="s">
        <v>233</v>
      </c>
      <c r="S48" s="10">
        <f>INDEX('RMM-7R_pg2'!R:R,MATCH($R48,'RMM-7R_pg2'!$A:$A,0))</f>
        <v>9.7200000000000006</v>
      </c>
      <c r="T48" s="11">
        <f t="shared" si="2"/>
        <v>0</v>
      </c>
      <c r="U48" s="6"/>
    </row>
    <row r="49" spans="2:21">
      <c r="B49" s="7">
        <v>11</v>
      </c>
      <c r="C49" s="100" t="s">
        <v>161</v>
      </c>
      <c r="D49" s="100"/>
      <c r="E49" s="4" t="s">
        <v>65</v>
      </c>
      <c r="F49" s="37"/>
      <c r="G49" s="100"/>
      <c r="I49" s="8"/>
      <c r="J49" s="81" t="s">
        <v>155</v>
      </c>
      <c r="K49" s="85"/>
      <c r="L49" s="82"/>
      <c r="M49" s="85"/>
      <c r="N49" s="13"/>
      <c r="O49" s="83"/>
      <c r="P49" s="83"/>
      <c r="Q49" s="83"/>
      <c r="R49" s="84"/>
      <c r="S49" s="10"/>
      <c r="T49" s="11"/>
      <c r="U49" s="6"/>
    </row>
    <row r="50" spans="2:21">
      <c r="B50" s="7">
        <v>11</v>
      </c>
      <c r="C50" s="100" t="s">
        <v>161</v>
      </c>
      <c r="D50" s="100"/>
      <c r="E50" s="4" t="s">
        <v>65</v>
      </c>
      <c r="F50" s="37"/>
      <c r="G50" s="100">
        <v>28679.437387662532</v>
      </c>
      <c r="I50" s="8"/>
      <c r="J50" s="81" t="s">
        <v>109</v>
      </c>
      <c r="K50" s="85">
        <v>11.8</v>
      </c>
      <c r="L50" s="82">
        <v>-1.9800000000000002E-2</v>
      </c>
      <c r="M50" s="85">
        <f t="shared" si="11"/>
        <v>11.56636</v>
      </c>
      <c r="N50" s="13"/>
      <c r="O50" s="83">
        <f t="shared" si="8"/>
        <v>338412</v>
      </c>
      <c r="P50" s="83">
        <f t="shared" si="12"/>
        <v>-6700.557600000001</v>
      </c>
      <c r="Q50" s="83">
        <f t="shared" si="13"/>
        <v>331711.4424</v>
      </c>
      <c r="R50" s="84" t="s">
        <v>7</v>
      </c>
      <c r="S50" s="10">
        <f>INDEX('RMM-7R_pg2'!R:R,MATCH($R50,'RMM-7R_pg2'!$A:$A,0))</f>
        <v>11.82</v>
      </c>
      <c r="T50" s="11">
        <f t="shared" si="2"/>
        <v>338990.94992217113</v>
      </c>
      <c r="U50" s="6"/>
    </row>
    <row r="51" spans="2:21">
      <c r="B51" s="7">
        <v>11</v>
      </c>
      <c r="C51" s="100" t="s">
        <v>161</v>
      </c>
      <c r="D51" s="100"/>
      <c r="E51" s="4" t="s">
        <v>65</v>
      </c>
      <c r="F51" s="37"/>
      <c r="G51" s="100">
        <v>194524.15875216608</v>
      </c>
      <c r="I51" s="8"/>
      <c r="J51" s="81" t="s">
        <v>110</v>
      </c>
      <c r="K51" s="85">
        <v>12.78</v>
      </c>
      <c r="L51" s="82">
        <v>-1.9800000000000002E-2</v>
      </c>
      <c r="M51" s="85">
        <f t="shared" si="11"/>
        <v>12.526955999999998</v>
      </c>
      <c r="N51" s="13"/>
      <c r="O51" s="83">
        <f t="shared" si="8"/>
        <v>2486017</v>
      </c>
      <c r="P51" s="83">
        <f t="shared" si="12"/>
        <v>-49223.136600000005</v>
      </c>
      <c r="Q51" s="83">
        <f t="shared" si="13"/>
        <v>2436793.8634000001</v>
      </c>
      <c r="R51" s="84" t="s">
        <v>8</v>
      </c>
      <c r="S51" s="10">
        <f>INDEX('RMM-7R_pg2'!R:R,MATCH($R51,'RMM-7R_pg2'!$A:$A,0))</f>
        <v>12.74</v>
      </c>
      <c r="T51" s="11">
        <f t="shared" si="2"/>
        <v>2478237.7825025958</v>
      </c>
      <c r="U51" s="6"/>
    </row>
    <row r="52" spans="2:21">
      <c r="B52" s="7">
        <v>11</v>
      </c>
      <c r="C52" s="100" t="s">
        <v>161</v>
      </c>
      <c r="D52" s="100"/>
      <c r="E52" s="4" t="s">
        <v>65</v>
      </c>
      <c r="F52" s="37"/>
      <c r="G52" s="100">
        <v>144.30353833763655</v>
      </c>
      <c r="I52" s="8"/>
      <c r="J52" s="81" t="s">
        <v>239</v>
      </c>
      <c r="K52" s="85">
        <v>11.5</v>
      </c>
      <c r="L52" s="82">
        <v>-1.9800000000000002E-2</v>
      </c>
      <c r="M52" s="85">
        <f t="shared" si="11"/>
        <v>11.2723</v>
      </c>
      <c r="N52" s="13"/>
      <c r="O52" s="83">
        <f t="shared" si="8"/>
        <v>1656</v>
      </c>
      <c r="P52" s="83">
        <f t="shared" si="12"/>
        <v>-32.788800000000002</v>
      </c>
      <c r="Q52" s="83">
        <f t="shared" si="13"/>
        <v>1623.2112</v>
      </c>
      <c r="R52" s="84" t="s">
        <v>8</v>
      </c>
      <c r="S52" s="10">
        <f>INDEX('RMM-7R_pg2'!R:R,MATCH($R52,'RMM-7R_pg2'!$A:$A,0))</f>
        <v>12.74</v>
      </c>
      <c r="T52" s="11">
        <f t="shared" si="2"/>
        <v>1838.4270784214898</v>
      </c>
      <c r="U52" s="6"/>
    </row>
    <row r="53" spans="2:21" s="59" customFormat="1">
      <c r="B53" s="134">
        <v>11</v>
      </c>
      <c r="C53" s="135" t="s">
        <v>161</v>
      </c>
      <c r="D53" s="135"/>
      <c r="E53" s="136" t="s">
        <v>65</v>
      </c>
      <c r="F53" s="137"/>
      <c r="G53" s="135">
        <v>432.9106150129096</v>
      </c>
      <c r="H53" s="136"/>
      <c r="I53" s="138"/>
      <c r="J53" s="81" t="s">
        <v>111</v>
      </c>
      <c r="K53" s="85">
        <v>46.54</v>
      </c>
      <c r="L53" s="139">
        <v>-1.9800000000000002E-2</v>
      </c>
      <c r="M53" s="85">
        <f t="shared" si="11"/>
        <v>45.618507999999999</v>
      </c>
      <c r="N53" s="140"/>
      <c r="O53" s="83">
        <f t="shared" si="8"/>
        <v>20152</v>
      </c>
      <c r="P53" s="83">
        <f t="shared" si="12"/>
        <v>-399.00960000000003</v>
      </c>
      <c r="Q53" s="83">
        <f t="shared" si="13"/>
        <v>19752.990399999999</v>
      </c>
      <c r="R53" s="141" t="s">
        <v>159</v>
      </c>
      <c r="S53" s="10">
        <f>INDEX('RMM-7R_pg2'!R:R,MATCH($R53,'RMM-7R_pg2'!$A:$A,0))</f>
        <v>23.15</v>
      </c>
      <c r="T53" s="11">
        <f t="shared" si="2"/>
        <v>10021.880737548856</v>
      </c>
      <c r="U53" s="58"/>
    </row>
    <row r="54" spans="2:21" s="59" customFormat="1">
      <c r="B54" s="134">
        <v>11</v>
      </c>
      <c r="C54" s="135" t="s">
        <v>161</v>
      </c>
      <c r="D54" s="135"/>
      <c r="E54" s="136" t="s">
        <v>65</v>
      </c>
      <c r="F54" s="137"/>
      <c r="G54" s="135">
        <v>49.840185621312145</v>
      </c>
      <c r="H54" s="136"/>
      <c r="I54" s="138"/>
      <c r="J54" s="81" t="s">
        <v>112</v>
      </c>
      <c r="K54" s="85">
        <v>38.049999999999997</v>
      </c>
      <c r="L54" s="139">
        <v>-1.9800000000000002E-2</v>
      </c>
      <c r="M54" s="85">
        <f t="shared" si="11"/>
        <v>37.296609999999994</v>
      </c>
      <c r="N54" s="140"/>
      <c r="O54" s="83">
        <f t="shared" si="8"/>
        <v>1903</v>
      </c>
      <c r="P54" s="83">
        <f t="shared" si="12"/>
        <v>-37.679400000000001</v>
      </c>
      <c r="Q54" s="83">
        <f t="shared" si="13"/>
        <v>1865.3206</v>
      </c>
      <c r="R54" s="141" t="s">
        <v>159</v>
      </c>
      <c r="S54" s="10">
        <f>INDEX('RMM-7R_pg2'!R:R,MATCH($R54,'RMM-7R_pg2'!$A:$A,0))</f>
        <v>23.15</v>
      </c>
      <c r="T54" s="11">
        <f t="shared" si="2"/>
        <v>1153.800297133376</v>
      </c>
      <c r="U54" s="58"/>
    </row>
    <row r="55" spans="2:21" s="59" customFormat="1">
      <c r="B55" s="134">
        <v>11</v>
      </c>
      <c r="C55" s="135" t="s">
        <v>161</v>
      </c>
      <c r="D55" s="135"/>
      <c r="E55" s="136" t="s">
        <v>65</v>
      </c>
      <c r="F55" s="137"/>
      <c r="G55" s="135">
        <v>19373.627309917039</v>
      </c>
      <c r="H55" s="136"/>
      <c r="I55" s="138"/>
      <c r="J55" s="81" t="s">
        <v>113</v>
      </c>
      <c r="K55" s="85">
        <v>16.940000000000001</v>
      </c>
      <c r="L55" s="139">
        <v>-1.9800000000000002E-2</v>
      </c>
      <c r="M55" s="85">
        <f t="shared" si="11"/>
        <v>16.604588</v>
      </c>
      <c r="N55" s="140"/>
      <c r="O55" s="83">
        <f t="shared" si="8"/>
        <v>328196</v>
      </c>
      <c r="P55" s="83">
        <f t="shared" si="12"/>
        <v>-6498.2808000000005</v>
      </c>
      <c r="Q55" s="83">
        <f t="shared" si="13"/>
        <v>321697.71919999999</v>
      </c>
      <c r="R55" s="141" t="s">
        <v>72</v>
      </c>
      <c r="S55" s="10">
        <f>INDEX('RMM-7R_pg2'!R:R,MATCH($R55,'RMM-7R_pg2'!$A:$A,0))</f>
        <v>13.19</v>
      </c>
      <c r="T55" s="11">
        <f t="shared" si="2"/>
        <v>255538.14421780573</v>
      </c>
      <c r="U55" s="58"/>
    </row>
    <row r="56" spans="2:21" s="59" customFormat="1">
      <c r="B56" s="134">
        <v>11</v>
      </c>
      <c r="C56" s="135" t="s">
        <v>161</v>
      </c>
      <c r="D56" s="135"/>
      <c r="E56" s="136" t="s">
        <v>65</v>
      </c>
      <c r="F56" s="137"/>
      <c r="G56" s="135">
        <v>48.101179445878842</v>
      </c>
      <c r="H56" s="136"/>
      <c r="I56" s="138"/>
      <c r="J56" s="81" t="s">
        <v>240</v>
      </c>
      <c r="K56" s="85">
        <v>15.25</v>
      </c>
      <c r="L56" s="139">
        <v>-1.9800000000000002E-2</v>
      </c>
      <c r="M56" s="85">
        <f t="shared" si="11"/>
        <v>14.948049999999999</v>
      </c>
      <c r="N56" s="140"/>
      <c r="O56" s="83">
        <f t="shared" si="8"/>
        <v>732</v>
      </c>
      <c r="P56" s="83">
        <f t="shared" si="12"/>
        <v>-14.493600000000001</v>
      </c>
      <c r="Q56" s="83">
        <f t="shared" si="13"/>
        <v>717.50639999999999</v>
      </c>
      <c r="R56" s="141" t="s">
        <v>72</v>
      </c>
      <c r="S56" s="10">
        <f>INDEX('RMM-7R_pg2'!R:R,MATCH($R56,'RMM-7R_pg2'!$A:$A,0))</f>
        <v>13.19</v>
      </c>
      <c r="T56" s="11">
        <f t="shared" si="2"/>
        <v>634.45455689114192</v>
      </c>
      <c r="U56" s="58"/>
    </row>
    <row r="57" spans="2:21" s="59" customFormat="1">
      <c r="B57" s="134">
        <v>11</v>
      </c>
      <c r="C57" s="135" t="s">
        <v>161</v>
      </c>
      <c r="D57" s="135"/>
      <c r="E57" s="136" t="s">
        <v>65</v>
      </c>
      <c r="F57" s="137"/>
      <c r="G57" s="135">
        <v>2381.0083825710026</v>
      </c>
      <c r="H57" s="136"/>
      <c r="I57" s="138"/>
      <c r="J57" s="81" t="s">
        <v>114</v>
      </c>
      <c r="K57" s="85">
        <v>47.83</v>
      </c>
      <c r="L57" s="139">
        <v>-1.9800000000000002E-2</v>
      </c>
      <c r="M57" s="85">
        <f t="shared" si="11"/>
        <v>46.882965999999996</v>
      </c>
      <c r="N57" s="140"/>
      <c r="O57" s="83">
        <f t="shared" si="8"/>
        <v>113883</v>
      </c>
      <c r="P57" s="83">
        <f t="shared" si="12"/>
        <v>-2254.8834000000002</v>
      </c>
      <c r="Q57" s="83">
        <f t="shared" si="13"/>
        <v>111628.11659999999</v>
      </c>
      <c r="R57" s="141" t="s">
        <v>159</v>
      </c>
      <c r="S57" s="10">
        <f>INDEX('RMM-7R_pg2'!R:R,MATCH($R57,'RMM-7R_pg2'!$A:$A,0))</f>
        <v>23.15</v>
      </c>
      <c r="T57" s="11">
        <f t="shared" si="2"/>
        <v>55120.344056518705</v>
      </c>
      <c r="U57" s="58"/>
    </row>
    <row r="58" spans="2:21" s="59" customFormat="1">
      <c r="B58" s="134">
        <v>11</v>
      </c>
      <c r="C58" s="135" t="s">
        <v>161</v>
      </c>
      <c r="D58" s="135"/>
      <c r="E58" s="136" t="s">
        <v>65</v>
      </c>
      <c r="F58" s="137"/>
      <c r="G58" s="135">
        <v>396.83473042850045</v>
      </c>
      <c r="H58" s="136"/>
      <c r="I58" s="138"/>
      <c r="J58" s="81" t="s">
        <v>115</v>
      </c>
      <c r="K58" s="85">
        <v>39.340000000000003</v>
      </c>
      <c r="L58" s="139">
        <v>-1.9800000000000002E-2</v>
      </c>
      <c r="M58" s="85">
        <f t="shared" si="11"/>
        <v>38.561067999999999</v>
      </c>
      <c r="N58" s="140"/>
      <c r="O58" s="83">
        <f t="shared" si="8"/>
        <v>15618</v>
      </c>
      <c r="P58" s="83">
        <f t="shared" si="12"/>
        <v>-309.2364</v>
      </c>
      <c r="Q58" s="83">
        <f t="shared" si="13"/>
        <v>15308.7636</v>
      </c>
      <c r="R58" s="141" t="s">
        <v>159</v>
      </c>
      <c r="S58" s="10">
        <f>INDEX('RMM-7R_pg2'!R:R,MATCH($R58,'RMM-7R_pg2'!$A:$A,0))</f>
        <v>23.15</v>
      </c>
      <c r="T58" s="11">
        <f t="shared" si="2"/>
        <v>9186.7240094197841</v>
      </c>
      <c r="U58" s="58"/>
    </row>
    <row r="59" spans="2:21" s="59" customFormat="1">
      <c r="B59" s="134">
        <v>11</v>
      </c>
      <c r="C59" s="135" t="s">
        <v>161</v>
      </c>
      <c r="D59" s="135"/>
      <c r="E59" s="136" t="s">
        <v>65</v>
      </c>
      <c r="F59" s="137"/>
      <c r="G59" s="135">
        <v>22472.989830038492</v>
      </c>
      <c r="H59" s="136"/>
      <c r="I59" s="138"/>
      <c r="J59" s="81" t="s">
        <v>116</v>
      </c>
      <c r="K59" s="85">
        <v>21.14</v>
      </c>
      <c r="L59" s="139">
        <v>-1.9800000000000002E-2</v>
      </c>
      <c r="M59" s="85">
        <f t="shared" si="11"/>
        <v>20.721428</v>
      </c>
      <c r="N59" s="140"/>
      <c r="O59" s="83">
        <f t="shared" si="8"/>
        <v>475079</v>
      </c>
      <c r="P59" s="83">
        <f t="shared" si="12"/>
        <v>-9406.5642000000007</v>
      </c>
      <c r="Q59" s="83">
        <f t="shared" si="13"/>
        <v>465672.43579999998</v>
      </c>
      <c r="R59" s="141" t="s">
        <v>10</v>
      </c>
      <c r="S59" s="10">
        <f>INDEX('RMM-7R_pg2'!R:R,MATCH($R59,'RMM-7R_pg2'!$A:$A,0))</f>
        <v>14.6</v>
      </c>
      <c r="T59" s="11">
        <f t="shared" si="2"/>
        <v>328105.65151856199</v>
      </c>
      <c r="U59" s="58"/>
    </row>
    <row r="60" spans="2:21" s="59" customFormat="1">
      <c r="B60" s="134">
        <v>11</v>
      </c>
      <c r="C60" s="135" t="s">
        <v>161</v>
      </c>
      <c r="D60" s="135"/>
      <c r="E60" s="136" t="s">
        <v>65</v>
      </c>
      <c r="F60" s="137"/>
      <c r="G60" s="135">
        <v>12.02529486146971</v>
      </c>
      <c r="H60" s="136"/>
      <c r="I60" s="138"/>
      <c r="J60" s="81" t="s">
        <v>241</v>
      </c>
      <c r="K60" s="85">
        <v>19.03</v>
      </c>
      <c r="L60" s="139">
        <v>-1.9800000000000002E-2</v>
      </c>
      <c r="M60" s="85">
        <f t="shared" si="11"/>
        <v>18.653206000000001</v>
      </c>
      <c r="N60" s="140"/>
      <c r="O60" s="83">
        <f t="shared" si="8"/>
        <v>228</v>
      </c>
      <c r="P60" s="83">
        <f t="shared" si="12"/>
        <v>-4.5144000000000002</v>
      </c>
      <c r="Q60" s="83">
        <f t="shared" si="13"/>
        <v>223.48560000000001</v>
      </c>
      <c r="R60" s="141" t="s">
        <v>10</v>
      </c>
      <c r="S60" s="10">
        <f>INDEX('RMM-7R_pg2'!R:R,MATCH($R60,'RMM-7R_pg2'!$A:$A,0))</f>
        <v>14.6</v>
      </c>
      <c r="T60" s="11">
        <f t="shared" si="2"/>
        <v>175.56930497745776</v>
      </c>
      <c r="U60" s="58"/>
    </row>
    <row r="61" spans="2:21" s="59" customFormat="1">
      <c r="B61" s="134">
        <v>11</v>
      </c>
      <c r="C61" s="135" t="s">
        <v>161</v>
      </c>
      <c r="D61" s="135"/>
      <c r="E61" s="136" t="s">
        <v>65</v>
      </c>
      <c r="F61" s="137"/>
      <c r="G61" s="135">
        <v>1250.6306655928499</v>
      </c>
      <c r="H61" s="144"/>
      <c r="I61" s="138"/>
      <c r="J61" s="81" t="s">
        <v>117</v>
      </c>
      <c r="K61" s="85">
        <v>51.48</v>
      </c>
      <c r="L61" s="139">
        <v>-1.9800000000000002E-2</v>
      </c>
      <c r="M61" s="85">
        <f t="shared" si="11"/>
        <v>50.460695999999992</v>
      </c>
      <c r="N61" s="140"/>
      <c r="O61" s="83">
        <f t="shared" si="8"/>
        <v>64401</v>
      </c>
      <c r="P61" s="83">
        <f t="shared" si="12"/>
        <v>-1275.1398000000002</v>
      </c>
      <c r="Q61" s="83">
        <f t="shared" si="13"/>
        <v>63125.860200000003</v>
      </c>
      <c r="R61" s="141" t="s">
        <v>159</v>
      </c>
      <c r="S61" s="10">
        <f>INDEX('RMM-7R_pg2'!R:R,MATCH($R61,'RMM-7R_pg2'!$A:$A,0))</f>
        <v>23.15</v>
      </c>
      <c r="T61" s="11">
        <f t="shared" si="2"/>
        <v>28952.099908474473</v>
      </c>
      <c r="U61" s="58"/>
    </row>
    <row r="62" spans="2:21" s="59" customFormat="1">
      <c r="B62" s="134">
        <v>11</v>
      </c>
      <c r="C62" s="135" t="s">
        <v>161</v>
      </c>
      <c r="D62" s="135"/>
      <c r="E62" s="136" t="s">
        <v>65</v>
      </c>
      <c r="F62" s="137"/>
      <c r="G62" s="135">
        <v>0</v>
      </c>
      <c r="H62" s="136"/>
      <c r="I62" s="138"/>
      <c r="J62" s="81" t="s">
        <v>118</v>
      </c>
      <c r="K62" s="85">
        <v>43.01</v>
      </c>
      <c r="L62" s="139">
        <v>-1.9800000000000002E-2</v>
      </c>
      <c r="M62" s="85">
        <f t="shared" si="11"/>
        <v>42.158401999999995</v>
      </c>
      <c r="N62" s="140"/>
      <c r="O62" s="83">
        <f t="shared" si="8"/>
        <v>0</v>
      </c>
      <c r="P62" s="83">
        <f t="shared" si="12"/>
        <v>0</v>
      </c>
      <c r="Q62" s="83">
        <f t="shared" si="13"/>
        <v>0</v>
      </c>
      <c r="R62" s="141" t="s">
        <v>175</v>
      </c>
      <c r="S62" s="10"/>
      <c r="T62" s="11"/>
      <c r="U62" s="58"/>
    </row>
    <row r="63" spans="2:21" s="59" customFormat="1">
      <c r="B63" s="134">
        <v>11</v>
      </c>
      <c r="C63" s="135" t="s">
        <v>161</v>
      </c>
      <c r="D63" s="135"/>
      <c r="E63" s="136" t="s">
        <v>65</v>
      </c>
      <c r="F63" s="137"/>
      <c r="G63" s="135">
        <v>7685.3226573686252</v>
      </c>
      <c r="H63" s="136"/>
      <c r="I63" s="138"/>
      <c r="J63" s="81" t="s">
        <v>119</v>
      </c>
      <c r="K63" s="85">
        <v>26.02</v>
      </c>
      <c r="L63" s="139">
        <v>-1.9800000000000002E-2</v>
      </c>
      <c r="M63" s="85">
        <f t="shared" si="11"/>
        <v>25.504804</v>
      </c>
      <c r="N63" s="140"/>
      <c r="O63" s="83">
        <f t="shared" si="8"/>
        <v>199964</v>
      </c>
      <c r="P63" s="83">
        <f t="shared" si="12"/>
        <v>-3959.2872000000002</v>
      </c>
      <c r="Q63" s="83">
        <f t="shared" si="13"/>
        <v>196004.71280000001</v>
      </c>
      <c r="R63" s="141" t="s">
        <v>11</v>
      </c>
      <c r="S63" s="10">
        <f>INDEX('RMM-7R_pg2'!R:R,MATCH($R63,'RMM-7R_pg2'!$A:$A,0))</f>
        <v>17.75</v>
      </c>
      <c r="T63" s="11">
        <f t="shared" si="2"/>
        <v>136414.47716829309</v>
      </c>
      <c r="U63" s="58"/>
    </row>
    <row r="64" spans="2:21" s="59" customFormat="1">
      <c r="B64" s="134">
        <v>11</v>
      </c>
      <c r="C64" s="135" t="s">
        <v>161</v>
      </c>
      <c r="D64" s="135"/>
      <c r="E64" s="136" t="s">
        <v>65</v>
      </c>
      <c r="F64" s="137"/>
      <c r="G64" s="135">
        <v>0</v>
      </c>
      <c r="H64" s="136"/>
      <c r="I64" s="138"/>
      <c r="J64" s="81" t="s">
        <v>120</v>
      </c>
      <c r="K64" s="85">
        <v>51.54</v>
      </c>
      <c r="L64" s="139">
        <v>-1.9800000000000002E-2</v>
      </c>
      <c r="M64" s="85">
        <f t="shared" si="11"/>
        <v>50.519507999999995</v>
      </c>
      <c r="N64" s="140"/>
      <c r="O64" s="83">
        <f t="shared" si="8"/>
        <v>0</v>
      </c>
      <c r="P64" s="83">
        <f t="shared" si="12"/>
        <v>0</v>
      </c>
      <c r="Q64" s="83">
        <f t="shared" si="13"/>
        <v>0</v>
      </c>
      <c r="R64" s="141" t="s">
        <v>175</v>
      </c>
      <c r="S64" s="10"/>
      <c r="T64" s="11"/>
      <c r="U64" s="58"/>
    </row>
    <row r="65" spans="2:21" s="59" customFormat="1">
      <c r="B65" s="134">
        <v>11</v>
      </c>
      <c r="C65" s="135" t="s">
        <v>161</v>
      </c>
      <c r="D65" s="135"/>
      <c r="E65" s="136" t="s">
        <v>65</v>
      </c>
      <c r="F65" s="137"/>
      <c r="G65" s="135"/>
      <c r="H65" s="136"/>
      <c r="I65" s="138"/>
      <c r="J65" s="81" t="s">
        <v>223</v>
      </c>
      <c r="K65" s="85"/>
      <c r="L65" s="139"/>
      <c r="M65" s="85"/>
      <c r="N65" s="140"/>
      <c r="O65" s="83"/>
      <c r="P65" s="83"/>
      <c r="Q65" s="83"/>
      <c r="R65" s="141"/>
      <c r="S65" s="10"/>
      <c r="T65" s="11"/>
      <c r="U65" s="58"/>
    </row>
    <row r="66" spans="2:21" s="59" customFormat="1">
      <c r="B66" s="134">
        <v>11</v>
      </c>
      <c r="C66" s="135" t="s">
        <v>161</v>
      </c>
      <c r="D66" s="135"/>
      <c r="E66" s="136" t="s">
        <v>65</v>
      </c>
      <c r="F66" s="137"/>
      <c r="G66" s="135">
        <v>27.920856281418182</v>
      </c>
      <c r="H66" s="136"/>
      <c r="I66" s="138"/>
      <c r="J66" s="81" t="s">
        <v>121</v>
      </c>
      <c r="K66" s="85">
        <v>48.74</v>
      </c>
      <c r="L66" s="139">
        <v>-1.9800000000000002E-2</v>
      </c>
      <c r="M66" s="85">
        <f t="shared" si="11"/>
        <v>47.774948000000002</v>
      </c>
      <c r="N66" s="140"/>
      <c r="O66" s="83">
        <f t="shared" si="8"/>
        <v>1365</v>
      </c>
      <c r="P66" s="83">
        <f t="shared" si="12"/>
        <v>-27.027000000000001</v>
      </c>
      <c r="Q66" s="83">
        <f t="shared" si="13"/>
        <v>1337.973</v>
      </c>
      <c r="R66" s="141" t="s">
        <v>159</v>
      </c>
      <c r="S66" s="10">
        <f>INDEX('RMM-7R_pg2'!R:R,MATCH($R66,'RMM-7R_pg2'!$A:$A,0))</f>
        <v>23.15</v>
      </c>
      <c r="T66" s="11">
        <f t="shared" si="2"/>
        <v>646.36782291483087</v>
      </c>
      <c r="U66" s="58"/>
    </row>
    <row r="67" spans="2:21" s="59" customFormat="1">
      <c r="B67" s="134">
        <v>11</v>
      </c>
      <c r="C67" s="135" t="s">
        <v>161</v>
      </c>
      <c r="D67" s="135"/>
      <c r="E67" s="136" t="s">
        <v>65</v>
      </c>
      <c r="F67" s="137"/>
      <c r="G67" s="135">
        <v>36.075884584409138</v>
      </c>
      <c r="H67" s="136"/>
      <c r="I67" s="138"/>
      <c r="J67" s="81" t="s">
        <v>122</v>
      </c>
      <c r="K67" s="85">
        <v>40.270000000000003</v>
      </c>
      <c r="L67" s="139">
        <v>-1.9800000000000002E-2</v>
      </c>
      <c r="M67" s="85">
        <f t="shared" si="11"/>
        <v>39.472653999999999</v>
      </c>
      <c r="N67" s="140"/>
      <c r="O67" s="83">
        <f t="shared" si="8"/>
        <v>1450</v>
      </c>
      <c r="P67" s="83">
        <f t="shared" si="12"/>
        <v>-28.71</v>
      </c>
      <c r="Q67" s="83">
        <f t="shared" si="13"/>
        <v>1421.29</v>
      </c>
      <c r="R67" s="141" t="s">
        <v>159</v>
      </c>
      <c r="S67" s="10">
        <f>INDEX('RMM-7R_pg2'!R:R,MATCH($R67,'RMM-7R_pg2'!$A:$A,0))</f>
        <v>23.15</v>
      </c>
      <c r="T67" s="11">
        <f t="shared" si="2"/>
        <v>835.15672812907155</v>
      </c>
      <c r="U67" s="58"/>
    </row>
    <row r="68" spans="2:21" s="59" customFormat="1">
      <c r="B68" s="134">
        <v>11</v>
      </c>
      <c r="C68" s="135" t="s">
        <v>161</v>
      </c>
      <c r="D68" s="135"/>
      <c r="E68" s="136" t="s">
        <v>65</v>
      </c>
      <c r="F68" s="137"/>
      <c r="G68" s="135">
        <v>48.201240890950658</v>
      </c>
      <c r="H68" s="136"/>
      <c r="I68" s="138"/>
      <c r="J68" s="81" t="s">
        <v>123</v>
      </c>
      <c r="K68" s="85">
        <v>20.13</v>
      </c>
      <c r="L68" s="139">
        <v>-1.9800000000000002E-2</v>
      </c>
      <c r="M68" s="85">
        <f t="shared" si="11"/>
        <v>19.731425999999999</v>
      </c>
      <c r="N68" s="140"/>
      <c r="O68" s="83">
        <f t="shared" si="8"/>
        <v>966</v>
      </c>
      <c r="P68" s="83">
        <f t="shared" si="12"/>
        <v>-19.126800000000003</v>
      </c>
      <c r="Q68" s="83">
        <f t="shared" si="13"/>
        <v>946.8732</v>
      </c>
      <c r="R68" s="141" t="s">
        <v>72</v>
      </c>
      <c r="S68" s="10">
        <f>INDEX('RMM-7R_pg2'!R:R,MATCH($R68,'RMM-7R_pg2'!$A:$A,0))</f>
        <v>13.19</v>
      </c>
      <c r="T68" s="11">
        <f t="shared" si="2"/>
        <v>635.77436735163917</v>
      </c>
      <c r="U68" s="58"/>
    </row>
    <row r="69" spans="2:21" s="59" customFormat="1">
      <c r="B69" s="134">
        <v>11</v>
      </c>
      <c r="C69" s="135" t="s">
        <v>161</v>
      </c>
      <c r="D69" s="135"/>
      <c r="E69" s="136" t="s">
        <v>65</v>
      </c>
      <c r="F69" s="137"/>
      <c r="G69" s="135">
        <v>12.02529486146971</v>
      </c>
      <c r="H69" s="136"/>
      <c r="I69" s="138"/>
      <c r="J69" s="81" t="s">
        <v>124</v>
      </c>
      <c r="K69" s="85">
        <v>42.17</v>
      </c>
      <c r="L69" s="139">
        <v>-1.9800000000000002E-2</v>
      </c>
      <c r="M69" s="85">
        <f t="shared" si="11"/>
        <v>41.335034</v>
      </c>
      <c r="N69" s="140"/>
      <c r="O69" s="83">
        <f t="shared" si="8"/>
        <v>506</v>
      </c>
      <c r="P69" s="83">
        <f t="shared" si="12"/>
        <v>-10.018800000000001</v>
      </c>
      <c r="Q69" s="83">
        <f t="shared" si="13"/>
        <v>495.9812</v>
      </c>
      <c r="R69" s="141" t="s">
        <v>159</v>
      </c>
      <c r="S69" s="10">
        <f>INDEX('RMM-7R_pg2'!R:R,MATCH($R69,'RMM-7R_pg2'!$A:$A,0))</f>
        <v>23.15</v>
      </c>
      <c r="T69" s="11">
        <f t="shared" si="2"/>
        <v>278.38557604302378</v>
      </c>
      <c r="U69" s="58"/>
    </row>
    <row r="70" spans="2:21" s="59" customFormat="1">
      <c r="B70" s="134">
        <v>11</v>
      </c>
      <c r="C70" s="135" t="s">
        <v>161</v>
      </c>
      <c r="D70" s="135"/>
      <c r="E70" s="136" t="s">
        <v>65</v>
      </c>
      <c r="F70" s="137"/>
      <c r="G70" s="135">
        <v>312.65766639821248</v>
      </c>
      <c r="H70" s="136"/>
      <c r="I70" s="138"/>
      <c r="J70" s="81" t="s">
        <v>125</v>
      </c>
      <c r="K70" s="85">
        <v>22.13</v>
      </c>
      <c r="L70" s="139">
        <v>-1.9800000000000002E-2</v>
      </c>
      <c r="M70" s="85">
        <f t="shared" si="11"/>
        <v>21.691825999999999</v>
      </c>
      <c r="N70" s="140"/>
      <c r="O70" s="83">
        <f t="shared" si="8"/>
        <v>6927</v>
      </c>
      <c r="P70" s="83">
        <f t="shared" si="12"/>
        <v>-137.15460000000002</v>
      </c>
      <c r="Q70" s="83">
        <f t="shared" si="13"/>
        <v>6789.8454000000002</v>
      </c>
      <c r="R70" s="141" t="s">
        <v>9</v>
      </c>
      <c r="S70" s="10">
        <f>INDEX('RMM-7R_pg2'!R:R,MATCH($R70,'RMM-7R_pg2'!$A:$A,0))</f>
        <v>13.71</v>
      </c>
      <c r="T70" s="11">
        <f t="shared" si="2"/>
        <v>4286.5366063194933</v>
      </c>
      <c r="U70" s="58"/>
    </row>
    <row r="71" spans="2:21" s="59" customFormat="1">
      <c r="B71" s="134">
        <v>11</v>
      </c>
      <c r="C71" s="135" t="s">
        <v>161</v>
      </c>
      <c r="D71" s="135"/>
      <c r="E71" s="136" t="s">
        <v>65</v>
      </c>
      <c r="F71" s="137"/>
      <c r="G71" s="135">
        <v>517.08767904319757</v>
      </c>
      <c r="H71" s="144"/>
      <c r="I71" s="138"/>
      <c r="J71" s="81" t="s">
        <v>126</v>
      </c>
      <c r="K71" s="85">
        <v>45.2</v>
      </c>
      <c r="L71" s="139">
        <v>-1.9800000000000002E-2</v>
      </c>
      <c r="M71" s="85">
        <f t="shared" si="11"/>
        <v>44.305039999999998</v>
      </c>
      <c r="N71" s="140"/>
      <c r="O71" s="83">
        <f t="shared" si="8"/>
        <v>23368</v>
      </c>
      <c r="P71" s="83">
        <f t="shared" si="12"/>
        <v>-462.68640000000005</v>
      </c>
      <c r="Q71" s="83">
        <f t="shared" si="13"/>
        <v>22905.313600000001</v>
      </c>
      <c r="R71" s="141" t="s">
        <v>159</v>
      </c>
      <c r="S71" s="10">
        <f>INDEX('RMM-7R_pg2'!R:R,MATCH($R71,'RMM-7R_pg2'!$A:$A,0))</f>
        <v>23.15</v>
      </c>
      <c r="T71" s="11">
        <f t="shared" si="2"/>
        <v>11970.579769850023</v>
      </c>
      <c r="U71" s="58"/>
    </row>
    <row r="72" spans="2:21">
      <c r="B72" s="7">
        <v>11</v>
      </c>
      <c r="C72" s="100" t="s">
        <v>161</v>
      </c>
      <c r="D72" s="100"/>
      <c r="E72" s="4" t="s">
        <v>65</v>
      </c>
      <c r="F72" s="37"/>
      <c r="G72" s="100"/>
      <c r="I72" s="8"/>
      <c r="J72" s="81" t="s">
        <v>224</v>
      </c>
      <c r="K72" s="85"/>
      <c r="L72" s="82"/>
      <c r="M72" s="85"/>
      <c r="N72" s="13"/>
      <c r="O72" s="83"/>
      <c r="P72" s="83"/>
      <c r="Q72" s="83"/>
      <c r="R72" s="84"/>
      <c r="S72" s="10"/>
      <c r="T72" s="11"/>
      <c r="U72" s="6"/>
    </row>
    <row r="73" spans="2:21">
      <c r="B73" s="7">
        <v>11</v>
      </c>
      <c r="C73" s="100" t="s">
        <v>161</v>
      </c>
      <c r="D73" s="100"/>
      <c r="E73" s="4" t="s">
        <v>65</v>
      </c>
      <c r="F73" s="37"/>
      <c r="G73" s="100">
        <v>276.58178181380333</v>
      </c>
      <c r="I73" s="8"/>
      <c r="J73" s="81" t="s">
        <v>127</v>
      </c>
      <c r="K73" s="85">
        <v>11.09</v>
      </c>
      <c r="L73" s="82">
        <v>-1.9800000000000002E-2</v>
      </c>
      <c r="M73" s="85">
        <f t="shared" si="11"/>
        <v>10.870417999999999</v>
      </c>
      <c r="N73" s="13"/>
      <c r="O73" s="83">
        <f t="shared" si="8"/>
        <v>3072</v>
      </c>
      <c r="P73" s="83">
        <f t="shared" si="12"/>
        <v>-60.825600000000009</v>
      </c>
      <c r="Q73" s="83">
        <f t="shared" si="13"/>
        <v>3011.1743999999999</v>
      </c>
      <c r="R73" s="84" t="s">
        <v>7</v>
      </c>
      <c r="S73" s="10">
        <f>INDEX('RMM-7R_pg2'!R:R,MATCH($R73,'RMM-7R_pg2'!$A:$A,0))</f>
        <v>11.82</v>
      </c>
      <c r="T73" s="11">
        <f t="shared" si="2"/>
        <v>3269.1966610391555</v>
      </c>
      <c r="U73" s="6"/>
    </row>
    <row r="74" spans="2:21">
      <c r="B74" s="7">
        <v>11</v>
      </c>
      <c r="C74" s="100" t="s">
        <v>161</v>
      </c>
      <c r="D74" s="100"/>
      <c r="E74" s="4" t="s">
        <v>65</v>
      </c>
      <c r="F74" s="37"/>
      <c r="G74" s="100">
        <v>2906.1984264696439</v>
      </c>
      <c r="I74" s="8"/>
      <c r="J74" s="81" t="s">
        <v>85</v>
      </c>
      <c r="K74" s="85">
        <v>13.83</v>
      </c>
      <c r="L74" s="82">
        <v>-1.9800000000000002E-2</v>
      </c>
      <c r="M74" s="85">
        <f t="shared" si="11"/>
        <v>13.556165999999999</v>
      </c>
      <c r="N74" s="13"/>
      <c r="O74" s="83">
        <f t="shared" si="8"/>
        <v>40190</v>
      </c>
      <c r="P74" s="83">
        <f t="shared" si="12"/>
        <v>-795.76200000000006</v>
      </c>
      <c r="Q74" s="83">
        <f t="shared" si="13"/>
        <v>39394.237999999998</v>
      </c>
      <c r="R74" s="84" t="s">
        <v>7</v>
      </c>
      <c r="S74" s="10">
        <f>INDEX('RMM-7R_pg2'!R:R,MATCH($R74,'RMM-7R_pg2'!$A:$A,0))</f>
        <v>11.82</v>
      </c>
      <c r="T74" s="11">
        <f t="shared" si="2"/>
        <v>34351.265400871191</v>
      </c>
      <c r="U74" s="6"/>
    </row>
    <row r="75" spans="2:21">
      <c r="B75" s="7">
        <v>11</v>
      </c>
      <c r="C75" s="100" t="s">
        <v>161</v>
      </c>
      <c r="D75" s="100"/>
      <c r="E75" s="4" t="s">
        <v>65</v>
      </c>
      <c r="F75" s="37"/>
      <c r="G75" s="100">
        <v>96.202358891757683</v>
      </c>
      <c r="I75" s="8"/>
      <c r="J75" s="81" t="s">
        <v>128</v>
      </c>
      <c r="K75" s="85">
        <v>19.399999999999999</v>
      </c>
      <c r="L75" s="82">
        <v>-1.9800000000000002E-2</v>
      </c>
      <c r="M75" s="85">
        <f t="shared" si="11"/>
        <v>19.015879999999999</v>
      </c>
      <c r="N75" s="13"/>
      <c r="O75" s="83">
        <f t="shared" si="8"/>
        <v>1862</v>
      </c>
      <c r="P75" s="83">
        <f t="shared" si="12"/>
        <v>-36.867600000000003</v>
      </c>
      <c r="Q75" s="83">
        <f t="shared" si="13"/>
        <v>1825.1324</v>
      </c>
      <c r="R75" s="84" t="s">
        <v>8</v>
      </c>
      <c r="S75" s="10">
        <f>INDEX('RMM-7R_pg2'!R:R,MATCH($R75,'RMM-7R_pg2'!$A:$A,0))</f>
        <v>12.74</v>
      </c>
      <c r="T75" s="11">
        <f t="shared" ref="T75:T81" si="17">G75*S75</f>
        <v>1225.618052280993</v>
      </c>
      <c r="U75" s="6"/>
    </row>
    <row r="76" spans="2:21">
      <c r="B76" s="7">
        <v>11</v>
      </c>
      <c r="C76" s="100" t="s">
        <v>161</v>
      </c>
      <c r="D76" s="100"/>
      <c r="E76" s="4" t="s">
        <v>65</v>
      </c>
      <c r="F76" s="37"/>
      <c r="G76" s="100">
        <v>246.41845692830321</v>
      </c>
      <c r="I76" s="8"/>
      <c r="J76" s="81" t="s">
        <v>86</v>
      </c>
      <c r="K76" s="85">
        <v>24.43</v>
      </c>
      <c r="L76" s="82">
        <v>-1.9800000000000002E-2</v>
      </c>
      <c r="M76" s="85">
        <f t="shared" si="11"/>
        <v>23.946285999999997</v>
      </c>
      <c r="N76" s="13"/>
      <c r="O76" s="83">
        <f t="shared" si="8"/>
        <v>6010</v>
      </c>
      <c r="P76" s="83">
        <f t="shared" si="12"/>
        <v>-118.998</v>
      </c>
      <c r="Q76" s="83">
        <f t="shared" si="13"/>
        <v>5891.0020000000004</v>
      </c>
      <c r="R76" s="84" t="s">
        <v>9</v>
      </c>
      <c r="S76" s="10">
        <f>INDEX('RMM-7R_pg2'!R:R,MATCH($R76,'RMM-7R_pg2'!$A:$A,0))</f>
        <v>13.71</v>
      </c>
      <c r="T76" s="11">
        <f t="shared" si="17"/>
        <v>3378.3970444870374</v>
      </c>
      <c r="U76" s="6"/>
    </row>
    <row r="77" spans="2:21">
      <c r="B77" s="7">
        <v>11</v>
      </c>
      <c r="C77" s="100" t="s">
        <v>161</v>
      </c>
      <c r="D77" s="100"/>
      <c r="E77" s="4" t="s">
        <v>65</v>
      </c>
      <c r="F77" s="37"/>
      <c r="G77" s="100"/>
      <c r="I77" s="8"/>
      <c r="J77" s="81" t="s">
        <v>225</v>
      </c>
      <c r="K77" s="85"/>
      <c r="L77" s="82"/>
      <c r="M77" s="85"/>
      <c r="N77" s="13"/>
      <c r="O77" s="83"/>
      <c r="P77" s="83"/>
      <c r="Q77" s="83"/>
      <c r="R77" s="84"/>
      <c r="S77" s="10"/>
      <c r="T77" s="11"/>
      <c r="U77" s="6"/>
    </row>
    <row r="78" spans="2:21">
      <c r="B78" s="7">
        <v>11</v>
      </c>
      <c r="C78" s="100" t="s">
        <v>161</v>
      </c>
      <c r="D78" s="100"/>
      <c r="E78" s="4" t="s">
        <v>65</v>
      </c>
      <c r="F78" s="37"/>
      <c r="G78" s="100">
        <v>144.30353833763655</v>
      </c>
      <c r="I78" s="8"/>
      <c r="J78" s="81" t="s">
        <v>129</v>
      </c>
      <c r="K78" s="85">
        <v>4.24</v>
      </c>
      <c r="L78" s="82">
        <v>-1.9800000000000002E-2</v>
      </c>
      <c r="M78" s="85">
        <f t="shared" si="11"/>
        <v>4.1560480000000002</v>
      </c>
      <c r="N78" s="13"/>
      <c r="O78" s="83">
        <f t="shared" si="8"/>
        <v>611</v>
      </c>
      <c r="P78" s="83">
        <f t="shared" si="12"/>
        <v>-12.097800000000001</v>
      </c>
      <c r="Q78" s="83">
        <f t="shared" si="13"/>
        <v>598.90219999999999</v>
      </c>
      <c r="R78" s="84" t="s">
        <v>7</v>
      </c>
      <c r="S78" s="10">
        <f>INDEX('RMM-7R_pg2'!R:R,MATCH($R78,'RMM-7R_pg2'!$A:$A,0))</f>
        <v>11.82</v>
      </c>
      <c r="T78" s="11">
        <f t="shared" si="17"/>
        <v>1705.667823150864</v>
      </c>
      <c r="U78" s="6"/>
    </row>
    <row r="79" spans="2:21">
      <c r="B79" s="7">
        <v>11</v>
      </c>
      <c r="C79" s="100" t="s">
        <v>161</v>
      </c>
      <c r="D79" s="100"/>
      <c r="E79" s="4" t="s">
        <v>65</v>
      </c>
      <c r="F79" s="37"/>
      <c r="G79" s="100">
        <v>53.758208554923151</v>
      </c>
      <c r="I79" s="8"/>
      <c r="J79" s="81" t="s">
        <v>127</v>
      </c>
      <c r="K79" s="85">
        <v>20.43</v>
      </c>
      <c r="L79" s="82">
        <v>-1.9800000000000002E-2</v>
      </c>
      <c r="M79" s="85">
        <f t="shared" si="11"/>
        <v>20.025485999999997</v>
      </c>
      <c r="N79" s="13"/>
      <c r="O79" s="83">
        <f t="shared" si="8"/>
        <v>1103</v>
      </c>
      <c r="P79" s="83">
        <f t="shared" si="12"/>
        <v>-21.839400000000001</v>
      </c>
      <c r="Q79" s="83">
        <f t="shared" si="13"/>
        <v>1081.1605999999999</v>
      </c>
      <c r="R79" s="84" t="s">
        <v>7</v>
      </c>
      <c r="S79" s="10">
        <f>INDEX('RMM-7R_pg2'!R:R,MATCH($R79,'RMM-7R_pg2'!$A:$A,0))</f>
        <v>11.82</v>
      </c>
      <c r="T79" s="11">
        <f t="shared" si="17"/>
        <v>635.42202511919163</v>
      </c>
      <c r="U79" s="6"/>
    </row>
    <row r="80" spans="2:21">
      <c r="B80" s="7">
        <v>11</v>
      </c>
      <c r="C80" s="100" t="s">
        <v>161</v>
      </c>
      <c r="D80" s="100"/>
      <c r="E80" s="4" t="s">
        <v>65</v>
      </c>
      <c r="F80" s="37"/>
      <c r="G80" s="100"/>
      <c r="I80" s="8"/>
      <c r="J80" s="81" t="s">
        <v>226</v>
      </c>
      <c r="K80" s="85"/>
      <c r="L80" s="82"/>
      <c r="M80" s="85"/>
      <c r="N80" s="13"/>
      <c r="O80" s="83"/>
      <c r="P80" s="83"/>
      <c r="Q80" s="83"/>
      <c r="R80" s="84"/>
      <c r="S80" s="10"/>
      <c r="T80" s="11"/>
      <c r="U80" s="6"/>
    </row>
    <row r="81" spans="2:24">
      <c r="B81" s="19">
        <v>11</v>
      </c>
      <c r="C81" s="54" t="s">
        <v>161</v>
      </c>
      <c r="D81" s="54"/>
      <c r="E81" s="20" t="s">
        <v>65</v>
      </c>
      <c r="F81" s="20"/>
      <c r="G81" s="54">
        <v>15.031618576837138</v>
      </c>
      <c r="H81" s="20"/>
      <c r="I81" s="54"/>
      <c r="J81" s="94" t="s">
        <v>130</v>
      </c>
      <c r="K81" s="95">
        <v>27.85</v>
      </c>
      <c r="L81" s="96">
        <v>-1.9800000000000002E-2</v>
      </c>
      <c r="M81" s="95">
        <f t="shared" si="11"/>
        <v>27.298570000000002</v>
      </c>
      <c r="N81" s="97"/>
      <c r="O81" s="98">
        <f t="shared" si="8"/>
        <v>418</v>
      </c>
      <c r="P81" s="98">
        <f t="shared" si="12"/>
        <v>-8.2764000000000006</v>
      </c>
      <c r="Q81" s="98">
        <f t="shared" si="13"/>
        <v>409.72359999999998</v>
      </c>
      <c r="R81" s="92" t="s">
        <v>9</v>
      </c>
      <c r="S81" s="56">
        <f>INDEX('RMM-7R_pg2'!R:R,MATCH($R81,'RMM-7R_pg2'!$A:$A,0))</f>
        <v>13.71</v>
      </c>
      <c r="T81" s="57">
        <f t="shared" si="17"/>
        <v>206.08349068843717</v>
      </c>
      <c r="U81" s="6"/>
    </row>
    <row r="82" spans="2:24">
      <c r="B82" s="7">
        <v>12</v>
      </c>
      <c r="C82" s="100" t="s">
        <v>161</v>
      </c>
      <c r="D82" s="100"/>
      <c r="E82" s="4" t="s">
        <v>13</v>
      </c>
      <c r="F82" s="37" t="s">
        <v>81</v>
      </c>
      <c r="G82" s="100"/>
      <c r="I82" s="8"/>
      <c r="J82" s="81" t="s">
        <v>156</v>
      </c>
      <c r="K82" s="85"/>
      <c r="L82" s="82"/>
      <c r="M82" s="85"/>
      <c r="N82" s="13"/>
      <c r="O82" s="83"/>
      <c r="P82" s="83"/>
      <c r="Q82" s="83"/>
      <c r="R82" s="81" t="s">
        <v>156</v>
      </c>
      <c r="S82" s="10"/>
      <c r="T82" s="11"/>
      <c r="U82" s="6"/>
    </row>
    <row r="83" spans="2:24" s="59" customFormat="1">
      <c r="B83" s="134">
        <v>12</v>
      </c>
      <c r="C83" s="135" t="s">
        <v>161</v>
      </c>
      <c r="D83" s="135"/>
      <c r="E83" s="136" t="s">
        <v>13</v>
      </c>
      <c r="F83" s="137" t="s">
        <v>81</v>
      </c>
      <c r="G83" s="135">
        <v>51176.128066979552</v>
      </c>
      <c r="H83" s="138">
        <v>28</v>
      </c>
      <c r="I83" s="138">
        <f>G83*H83</f>
        <v>1432931.5858754274</v>
      </c>
      <c r="J83" s="81" t="s">
        <v>131</v>
      </c>
      <c r="K83" s="85">
        <v>1.83</v>
      </c>
      <c r="L83" s="139">
        <v>-1.9800000000000002E-2</v>
      </c>
      <c r="M83" s="85">
        <f t="shared" si="11"/>
        <v>1.793766</v>
      </c>
      <c r="N83" s="140"/>
      <c r="O83" s="83">
        <f t="shared" si="8"/>
        <v>93652</v>
      </c>
      <c r="P83" s="83">
        <f t="shared" si="12"/>
        <v>-1854.3096</v>
      </c>
      <c r="Q83" s="83">
        <f t="shared" si="13"/>
        <v>91797.690400000007</v>
      </c>
      <c r="R83" s="81" t="s">
        <v>131</v>
      </c>
      <c r="S83" s="142">
        <f>ROUND(($S$93-$K$93)*H83+K83,2)</f>
        <v>1.28</v>
      </c>
      <c r="T83" s="143">
        <f>G83*S83</f>
        <v>65505.443925733831</v>
      </c>
      <c r="U83" s="58"/>
      <c r="V83" s="197">
        <f>S83-SUM(W83:X83)</f>
        <v>0.30000000000000004</v>
      </c>
      <c r="W83" s="197">
        <f>ROUND('RMM-7R_pg2'!P$37*$H83,2)</f>
        <v>0.41</v>
      </c>
      <c r="X83" s="197">
        <f>ROUND('RMM-7R_pg2'!Q$37*$H83,2)</f>
        <v>0.56999999999999995</v>
      </c>
    </row>
    <row r="84" spans="2:24" s="59" customFormat="1">
      <c r="B84" s="134">
        <v>12</v>
      </c>
      <c r="C84" s="135" t="s">
        <v>161</v>
      </c>
      <c r="D84" s="135"/>
      <c r="E84" s="136" t="s">
        <v>13</v>
      </c>
      <c r="F84" s="137" t="s">
        <v>81</v>
      </c>
      <c r="G84" s="135">
        <v>80458.646235103355</v>
      </c>
      <c r="H84" s="138">
        <v>39</v>
      </c>
      <c r="I84" s="138">
        <f t="shared" ref="I84:I92" si="18">G84*H84</f>
        <v>3137887.2031690311</v>
      </c>
      <c r="J84" s="81" t="s">
        <v>132</v>
      </c>
      <c r="K84" s="85">
        <v>2.5</v>
      </c>
      <c r="L84" s="139">
        <v>-1.9800000000000002E-2</v>
      </c>
      <c r="M84" s="85">
        <f t="shared" si="11"/>
        <v>2.4504999999999999</v>
      </c>
      <c r="N84" s="140"/>
      <c r="O84" s="83">
        <f t="shared" si="8"/>
        <v>201148</v>
      </c>
      <c r="P84" s="83">
        <f t="shared" si="12"/>
        <v>-3982.7304000000004</v>
      </c>
      <c r="Q84" s="83">
        <f t="shared" si="13"/>
        <v>197165.2696</v>
      </c>
      <c r="R84" s="81" t="s">
        <v>132</v>
      </c>
      <c r="S84" s="142">
        <f t="shared" ref="S84:S92" si="19">ROUND(($S$93-$K$93)*H84+K84,2)</f>
        <v>1.73</v>
      </c>
      <c r="T84" s="143">
        <f t="shared" ref="T84:T137" si="20">G84*S84</f>
        <v>139193.45798672881</v>
      </c>
      <c r="U84" s="58"/>
      <c r="V84" s="197">
        <f t="shared" ref="V84:V92" si="21">S84-SUM(W84:X84)</f>
        <v>0.37000000000000011</v>
      </c>
      <c r="W84" s="197">
        <f>ROUND('RMM-7R_pg2'!P$37*$H84,2)</f>
        <v>0.56999999999999995</v>
      </c>
      <c r="X84" s="197">
        <f>ROUND('RMM-7R_pg2'!Q$37*$H84,2)</f>
        <v>0.79</v>
      </c>
    </row>
    <row r="85" spans="2:24" s="59" customFormat="1">
      <c r="B85" s="134">
        <v>12</v>
      </c>
      <c r="C85" s="135" t="s">
        <v>161</v>
      </c>
      <c r="D85" s="135"/>
      <c r="E85" s="136" t="s">
        <v>13</v>
      </c>
      <c r="F85" s="137" t="s">
        <v>81</v>
      </c>
      <c r="G85" s="135">
        <v>67481.883366979659</v>
      </c>
      <c r="H85" s="138">
        <v>59</v>
      </c>
      <c r="I85" s="138">
        <f t="shared" si="18"/>
        <v>3981431.1186517999</v>
      </c>
      <c r="J85" s="81" t="s">
        <v>133</v>
      </c>
      <c r="K85" s="85">
        <v>3.66</v>
      </c>
      <c r="L85" s="139">
        <v>-1.9800000000000002E-2</v>
      </c>
      <c r="M85" s="85">
        <f t="shared" si="11"/>
        <v>3.5875319999999999</v>
      </c>
      <c r="N85" s="140"/>
      <c r="O85" s="83">
        <f t="shared" si="8"/>
        <v>246984</v>
      </c>
      <c r="P85" s="83">
        <f t="shared" si="12"/>
        <v>-4890.2832000000008</v>
      </c>
      <c r="Q85" s="83">
        <f t="shared" si="13"/>
        <v>242093.71679999999</v>
      </c>
      <c r="R85" s="81" t="s">
        <v>133</v>
      </c>
      <c r="S85" s="142">
        <f t="shared" si="19"/>
        <v>2.4900000000000002</v>
      </c>
      <c r="T85" s="143">
        <f t="shared" si="20"/>
        <v>168029.88958377935</v>
      </c>
      <c r="U85" s="58"/>
      <c r="V85" s="197">
        <f t="shared" si="21"/>
        <v>0.43000000000000016</v>
      </c>
      <c r="W85" s="197">
        <f>ROUND('RMM-7R_pg2'!P$37*$H85,2)</f>
        <v>0.86</v>
      </c>
      <c r="X85" s="197">
        <f>ROUND('RMM-7R_pg2'!Q$37*$H85,2)</f>
        <v>1.2</v>
      </c>
    </row>
    <row r="86" spans="2:24" s="59" customFormat="1">
      <c r="B86" s="134">
        <v>12</v>
      </c>
      <c r="C86" s="135" t="s">
        <v>161</v>
      </c>
      <c r="D86" s="135"/>
      <c r="E86" s="136" t="s">
        <v>13</v>
      </c>
      <c r="F86" s="137" t="s">
        <v>81</v>
      </c>
      <c r="G86" s="135">
        <v>17154.238374878805</v>
      </c>
      <c r="H86" s="138">
        <v>96</v>
      </c>
      <c r="I86" s="138">
        <f t="shared" si="18"/>
        <v>1646806.8839883653</v>
      </c>
      <c r="J86" s="81" t="s">
        <v>134</v>
      </c>
      <c r="K86" s="85">
        <v>6.52</v>
      </c>
      <c r="L86" s="139">
        <v>-1.9800000000000002E-2</v>
      </c>
      <c r="M86" s="85">
        <f t="shared" si="11"/>
        <v>6.390903999999999</v>
      </c>
      <c r="N86" s="140"/>
      <c r="O86" s="83">
        <f t="shared" si="8"/>
        <v>111844</v>
      </c>
      <c r="P86" s="83">
        <f t="shared" si="12"/>
        <v>-2214.5112000000004</v>
      </c>
      <c r="Q86" s="83">
        <f t="shared" si="13"/>
        <v>109629.48880000001</v>
      </c>
      <c r="R86" s="81" t="s">
        <v>134</v>
      </c>
      <c r="S86" s="142">
        <f t="shared" si="19"/>
        <v>4.62</v>
      </c>
      <c r="T86" s="143">
        <f t="shared" si="20"/>
        <v>79252.581291940078</v>
      </c>
      <c r="U86" s="58"/>
      <c r="V86" s="197">
        <f t="shared" si="21"/>
        <v>1.2700000000000005</v>
      </c>
      <c r="W86" s="197">
        <f>ROUND('RMM-7R_pg2'!P$37*$H86,2)</f>
        <v>1.4</v>
      </c>
      <c r="X86" s="197">
        <f>ROUND('RMM-7R_pg2'!Q$37*$H86,2)</f>
        <v>1.95</v>
      </c>
    </row>
    <row r="87" spans="2:24" s="59" customFormat="1">
      <c r="B87" s="134">
        <v>12</v>
      </c>
      <c r="C87" s="135" t="s">
        <v>161</v>
      </c>
      <c r="D87" s="135"/>
      <c r="E87" s="136" t="s">
        <v>13</v>
      </c>
      <c r="F87" s="137" t="s">
        <v>81</v>
      </c>
      <c r="G87" s="135">
        <v>10091.920467981165</v>
      </c>
      <c r="H87" s="138">
        <v>148</v>
      </c>
      <c r="I87" s="138">
        <f t="shared" si="18"/>
        <v>1493604.2292612123</v>
      </c>
      <c r="J87" s="81" t="s">
        <v>135</v>
      </c>
      <c r="K87" s="85">
        <v>10.02</v>
      </c>
      <c r="L87" s="139">
        <v>-1.9800000000000002E-2</v>
      </c>
      <c r="M87" s="85">
        <f t="shared" si="11"/>
        <v>9.8216039999999989</v>
      </c>
      <c r="N87" s="140"/>
      <c r="O87" s="83">
        <f t="shared" si="8"/>
        <v>101122</v>
      </c>
      <c r="P87" s="83">
        <f t="shared" si="12"/>
        <v>-2002.2156000000002</v>
      </c>
      <c r="Q87" s="83">
        <f t="shared" si="13"/>
        <v>99119.784400000004</v>
      </c>
      <c r="R87" s="81" t="s">
        <v>135</v>
      </c>
      <c r="S87" s="142">
        <f t="shared" si="19"/>
        <v>7.09</v>
      </c>
      <c r="T87" s="143">
        <f t="shared" si="20"/>
        <v>71551.716117986449</v>
      </c>
      <c r="U87" s="58"/>
      <c r="V87" s="197">
        <f t="shared" si="21"/>
        <v>1.9299999999999997</v>
      </c>
      <c r="W87" s="197">
        <f>ROUND('RMM-7R_pg2'!P$37*$H87,2)</f>
        <v>2.16</v>
      </c>
      <c r="X87" s="197">
        <f>ROUND('RMM-7R_pg2'!Q$37*$H87,2)</f>
        <v>3</v>
      </c>
    </row>
    <row r="88" spans="2:24" s="59" customFormat="1">
      <c r="B88" s="134">
        <v>12</v>
      </c>
      <c r="C88" s="135" t="s">
        <v>161</v>
      </c>
      <c r="D88" s="135"/>
      <c r="E88" s="136" t="s">
        <v>13</v>
      </c>
      <c r="F88" s="137" t="s">
        <v>81</v>
      </c>
      <c r="G88" s="135"/>
      <c r="H88" s="138"/>
      <c r="I88" s="138"/>
      <c r="J88" s="81" t="s">
        <v>157</v>
      </c>
      <c r="K88" s="85"/>
      <c r="L88" s="139"/>
      <c r="M88" s="85"/>
      <c r="N88" s="140"/>
      <c r="O88" s="83"/>
      <c r="P88" s="83"/>
      <c r="Q88" s="83"/>
      <c r="R88" s="81" t="s">
        <v>157</v>
      </c>
      <c r="S88" s="142"/>
      <c r="T88" s="143"/>
      <c r="U88" s="58"/>
      <c r="V88" s="197"/>
      <c r="W88" s="197"/>
      <c r="X88" s="197"/>
    </row>
    <row r="89" spans="2:24" s="59" customFormat="1">
      <c r="B89" s="134">
        <v>12</v>
      </c>
      <c r="C89" s="135" t="s">
        <v>161</v>
      </c>
      <c r="D89" s="135"/>
      <c r="E89" s="136" t="s">
        <v>13</v>
      </c>
      <c r="F89" s="137" t="s">
        <v>81</v>
      </c>
      <c r="G89" s="135">
        <v>4368.6420743290209</v>
      </c>
      <c r="H89" s="138">
        <v>39</v>
      </c>
      <c r="I89" s="138">
        <f t="shared" si="18"/>
        <v>170377.04089883182</v>
      </c>
      <c r="J89" s="81" t="s">
        <v>136</v>
      </c>
      <c r="K89" s="85">
        <v>2.5499999999999998</v>
      </c>
      <c r="L89" s="139">
        <v>-1.9800000000000002E-2</v>
      </c>
      <c r="M89" s="85">
        <f t="shared" si="11"/>
        <v>2.4995099999999999</v>
      </c>
      <c r="N89" s="140"/>
      <c r="O89" s="83">
        <f t="shared" si="8"/>
        <v>11141</v>
      </c>
      <c r="P89" s="83">
        <f t="shared" si="12"/>
        <v>-220.59180000000001</v>
      </c>
      <c r="Q89" s="83">
        <f t="shared" si="13"/>
        <v>10920.4082</v>
      </c>
      <c r="R89" s="81" t="s">
        <v>136</v>
      </c>
      <c r="S89" s="142">
        <f t="shared" si="19"/>
        <v>1.78</v>
      </c>
      <c r="T89" s="143">
        <f t="shared" si="20"/>
        <v>7776.1828923056573</v>
      </c>
      <c r="U89" s="58"/>
      <c r="V89" s="197">
        <f t="shared" si="21"/>
        <v>0.42000000000000015</v>
      </c>
      <c r="W89" s="197">
        <f>ROUND('RMM-7R_pg2'!P$37*$H89,2)</f>
        <v>0.56999999999999995</v>
      </c>
      <c r="X89" s="197">
        <f>ROUND('RMM-7R_pg2'!Q$37*$H89,2)</f>
        <v>0.79</v>
      </c>
    </row>
    <row r="90" spans="2:24" s="59" customFormat="1">
      <c r="B90" s="134">
        <v>12</v>
      </c>
      <c r="C90" s="135" t="s">
        <v>161</v>
      </c>
      <c r="D90" s="135"/>
      <c r="E90" s="136" t="s">
        <v>13</v>
      </c>
      <c r="F90" s="137" t="s">
        <v>81</v>
      </c>
      <c r="G90" s="135">
        <v>9334.6974114810673</v>
      </c>
      <c r="H90" s="138">
        <v>69</v>
      </c>
      <c r="I90" s="138">
        <f t="shared" si="18"/>
        <v>644094.1213921936</v>
      </c>
      <c r="J90" s="81" t="s">
        <v>137</v>
      </c>
      <c r="K90" s="85">
        <v>4.46</v>
      </c>
      <c r="L90" s="139">
        <v>-1.9800000000000002E-2</v>
      </c>
      <c r="M90" s="85">
        <f t="shared" si="11"/>
        <v>4.3716919999999995</v>
      </c>
      <c r="N90" s="140"/>
      <c r="O90" s="83">
        <f t="shared" si="8"/>
        <v>41634</v>
      </c>
      <c r="P90" s="83">
        <f t="shared" si="12"/>
        <v>-824.35320000000002</v>
      </c>
      <c r="Q90" s="83">
        <f t="shared" si="13"/>
        <v>40809.646800000002</v>
      </c>
      <c r="R90" s="81" t="s">
        <v>137</v>
      </c>
      <c r="S90" s="142">
        <f t="shared" si="19"/>
        <v>3.09</v>
      </c>
      <c r="T90" s="143">
        <f t="shared" si="20"/>
        <v>28844.215001476496</v>
      </c>
      <c r="U90" s="58"/>
      <c r="V90" s="197">
        <f t="shared" si="21"/>
        <v>0.67999999999999972</v>
      </c>
      <c r="W90" s="197">
        <f>ROUND('RMM-7R_pg2'!P$37*$H90,2)</f>
        <v>1.01</v>
      </c>
      <c r="X90" s="197">
        <f>ROUND('RMM-7R_pg2'!Q$37*$H90,2)</f>
        <v>1.4</v>
      </c>
    </row>
    <row r="91" spans="2:24" s="59" customFormat="1">
      <c r="B91" s="134">
        <v>12</v>
      </c>
      <c r="C91" s="135" t="s">
        <v>161</v>
      </c>
      <c r="D91" s="135"/>
      <c r="E91" s="136" t="s">
        <v>13</v>
      </c>
      <c r="F91" s="137" t="s">
        <v>81</v>
      </c>
      <c r="G91" s="135">
        <v>10136.980188610878</v>
      </c>
      <c r="H91" s="138">
        <v>93</v>
      </c>
      <c r="I91" s="138">
        <f t="shared" si="18"/>
        <v>942739.15754081169</v>
      </c>
      <c r="J91" s="81" t="s">
        <v>138</v>
      </c>
      <c r="K91" s="85">
        <v>6.17</v>
      </c>
      <c r="L91" s="139">
        <v>-1.9800000000000002E-2</v>
      </c>
      <c r="M91" s="85">
        <f t="shared" si="11"/>
        <v>6.0478339999999999</v>
      </c>
      <c r="N91" s="140"/>
      <c r="O91" s="83">
        <f t="shared" si="8"/>
        <v>62545</v>
      </c>
      <c r="P91" s="83">
        <f t="shared" si="12"/>
        <v>-1238.3910000000001</v>
      </c>
      <c r="Q91" s="83">
        <f t="shared" si="13"/>
        <v>61306.608999999997</v>
      </c>
      <c r="R91" s="81" t="s">
        <v>138</v>
      </c>
      <c r="S91" s="142">
        <f t="shared" si="19"/>
        <v>4.33</v>
      </c>
      <c r="T91" s="143">
        <f t="shared" si="20"/>
        <v>43893.124216685101</v>
      </c>
      <c r="U91" s="58"/>
      <c r="V91" s="197">
        <f t="shared" si="21"/>
        <v>1.0899999999999999</v>
      </c>
      <c r="W91" s="197">
        <f>ROUND('RMM-7R_pg2'!P$37*$H91,2)</f>
        <v>1.36</v>
      </c>
      <c r="X91" s="197">
        <f>ROUND('RMM-7R_pg2'!Q$37*$H91,2)</f>
        <v>1.88</v>
      </c>
    </row>
    <row r="92" spans="2:24" s="59" customFormat="1">
      <c r="B92" s="134">
        <v>12</v>
      </c>
      <c r="C92" s="135" t="s">
        <v>161</v>
      </c>
      <c r="D92" s="135"/>
      <c r="E92" s="136" t="s">
        <v>13</v>
      </c>
      <c r="F92" s="137" t="s">
        <v>81</v>
      </c>
      <c r="G92" s="135">
        <v>6172.961751960087</v>
      </c>
      <c r="H92" s="138">
        <v>145</v>
      </c>
      <c r="I92" s="138">
        <f t="shared" si="18"/>
        <v>895079.45403421263</v>
      </c>
      <c r="J92" s="81" t="s">
        <v>139</v>
      </c>
      <c r="K92" s="85">
        <v>9.77</v>
      </c>
      <c r="L92" s="139">
        <v>-1.9800000000000002E-2</v>
      </c>
      <c r="M92" s="85">
        <f t="shared" si="11"/>
        <v>9.5765539999999998</v>
      </c>
      <c r="N92" s="140"/>
      <c r="O92" s="83">
        <f t="shared" si="8"/>
        <v>60310</v>
      </c>
      <c r="P92" s="83">
        <f t="shared" si="12"/>
        <v>-1194.1380000000001</v>
      </c>
      <c r="Q92" s="83">
        <f t="shared" si="13"/>
        <v>59115.862000000001</v>
      </c>
      <c r="R92" s="81" t="s">
        <v>139</v>
      </c>
      <c r="S92" s="142">
        <f t="shared" si="19"/>
        <v>6.9</v>
      </c>
      <c r="T92" s="143">
        <f t="shared" si="20"/>
        <v>42593.436088524606</v>
      </c>
      <c r="U92" s="58"/>
      <c r="V92" s="197">
        <f t="shared" si="21"/>
        <v>1.8399999999999999</v>
      </c>
      <c r="W92" s="197">
        <f>ROUND('RMM-7R_pg2'!P$37*$H92,2)</f>
        <v>2.12</v>
      </c>
      <c r="X92" s="197">
        <f>ROUND('RMM-7R_pg2'!Q$37*$H92,2)</f>
        <v>2.94</v>
      </c>
    </row>
    <row r="93" spans="2:24" s="59" customFormat="1">
      <c r="B93" s="134">
        <v>12</v>
      </c>
      <c r="C93" s="135" t="s">
        <v>161</v>
      </c>
      <c r="D93" s="135"/>
      <c r="E93" s="136" t="s">
        <v>13</v>
      </c>
      <c r="F93" s="137" t="s">
        <v>81</v>
      </c>
      <c r="G93" s="135"/>
      <c r="H93" s="138"/>
      <c r="I93" s="138">
        <v>9608181.8694904</v>
      </c>
      <c r="J93" s="81" t="s">
        <v>158</v>
      </c>
      <c r="K93" s="86">
        <v>6.5279000000000004E-2</v>
      </c>
      <c r="L93" s="139">
        <v>-1.9800000000000002E-2</v>
      </c>
      <c r="M93" s="86">
        <f t="shared" si="11"/>
        <v>6.3986475799999998E-2</v>
      </c>
      <c r="N93" s="140"/>
      <c r="O93" s="83">
        <f>ROUND(ROUND(I93,0)*K93,0)</f>
        <v>627213</v>
      </c>
      <c r="P93" s="83">
        <f t="shared" si="12"/>
        <v>-12418.817400000002</v>
      </c>
      <c r="Q93" s="83">
        <f t="shared" si="13"/>
        <v>614794.18259999994</v>
      </c>
      <c r="R93" s="81" t="s">
        <v>158</v>
      </c>
      <c r="S93" s="180">
        <f>'RMM-7R_pg2'!R37</f>
        <v>4.5465000000000005E-2</v>
      </c>
      <c r="T93" s="143">
        <f>I93*S93</f>
        <v>436835.9886963811</v>
      </c>
      <c r="U93" s="58"/>
      <c r="V93" s="198">
        <f>'RMM-7R_pg2'!O$37</f>
        <v>1.0604000000000001E-2</v>
      </c>
      <c r="W93" s="198">
        <f>'RMM-7R_pg2'!P$37</f>
        <v>1.4593E-2</v>
      </c>
      <c r="X93" s="198">
        <f>'RMM-7R_pg2'!Q$37</f>
        <v>2.0268000000000001E-2</v>
      </c>
    </row>
    <row r="94" spans="2:24" s="59" customFormat="1">
      <c r="B94" s="134">
        <v>12</v>
      </c>
      <c r="C94" s="135" t="s">
        <v>161</v>
      </c>
      <c r="D94" s="135"/>
      <c r="E94" s="136" t="s">
        <v>13</v>
      </c>
      <c r="F94" s="137" t="s">
        <v>82</v>
      </c>
      <c r="G94" s="135"/>
      <c r="H94" s="138"/>
      <c r="I94" s="138"/>
      <c r="J94" s="81" t="s">
        <v>225</v>
      </c>
      <c r="K94" s="85"/>
      <c r="L94" s="139"/>
      <c r="M94" s="85"/>
      <c r="N94" s="140"/>
      <c r="O94" s="83"/>
      <c r="P94" s="83"/>
      <c r="Q94" s="83"/>
      <c r="R94" s="81" t="s">
        <v>225</v>
      </c>
      <c r="S94" s="142"/>
      <c r="T94" s="143"/>
      <c r="U94" s="58"/>
      <c r="V94" s="197"/>
      <c r="W94" s="197"/>
      <c r="X94" s="197"/>
    </row>
    <row r="95" spans="2:24" s="59" customFormat="1">
      <c r="B95" s="134">
        <v>12</v>
      </c>
      <c r="C95" s="135" t="s">
        <v>161</v>
      </c>
      <c r="D95" s="135"/>
      <c r="E95" s="136" t="s">
        <v>13</v>
      </c>
      <c r="F95" s="137" t="s">
        <v>82</v>
      </c>
      <c r="G95" s="135">
        <v>45.764081796404874</v>
      </c>
      <c r="H95" s="138">
        <v>64</v>
      </c>
      <c r="I95" s="138">
        <f t="shared" ref="I95:I138" si="22">G95*H95</f>
        <v>2928.9012349699119</v>
      </c>
      <c r="J95" s="81" t="s">
        <v>140</v>
      </c>
      <c r="K95" s="87">
        <v>8.9600000000000009</v>
      </c>
      <c r="L95" s="139">
        <v>-1.9800000000000002E-2</v>
      </c>
      <c r="M95" s="85">
        <f t="shared" si="11"/>
        <v>8.7825920000000011</v>
      </c>
      <c r="N95" s="140"/>
      <c r="O95" s="83">
        <f t="shared" si="8"/>
        <v>412</v>
      </c>
      <c r="P95" s="83">
        <f t="shared" si="12"/>
        <v>-8.1576000000000004</v>
      </c>
      <c r="Q95" s="83">
        <f t="shared" si="13"/>
        <v>403.8424</v>
      </c>
      <c r="R95" s="81" t="s">
        <v>140</v>
      </c>
      <c r="S95" s="142">
        <f>ROUND(($S$93-$K$93)*H95+K95,2)</f>
        <v>7.69</v>
      </c>
      <c r="T95" s="143">
        <f t="shared" si="20"/>
        <v>351.92578901435348</v>
      </c>
      <c r="U95" s="58"/>
      <c r="V95" s="197">
        <f t="shared" ref="V95" si="23">S95-SUM(W95:X95)</f>
        <v>5.4600000000000009</v>
      </c>
      <c r="W95" s="197">
        <f>ROUND('RMM-7R_pg2'!P$37*$H95,2)</f>
        <v>0.93</v>
      </c>
      <c r="X95" s="197">
        <f>ROUND('RMM-7R_pg2'!Q$37*$H95,2)</f>
        <v>1.3</v>
      </c>
    </row>
    <row r="96" spans="2:24" s="59" customFormat="1">
      <c r="B96" s="134">
        <v>12</v>
      </c>
      <c r="C96" s="135" t="s">
        <v>161</v>
      </c>
      <c r="D96" s="135"/>
      <c r="E96" s="136" t="s">
        <v>13</v>
      </c>
      <c r="F96" s="137" t="s">
        <v>82</v>
      </c>
      <c r="G96" s="135">
        <v>22.882040898202437</v>
      </c>
      <c r="H96" s="138">
        <v>99</v>
      </c>
      <c r="I96" s="138">
        <f t="shared" si="22"/>
        <v>2265.3220489220412</v>
      </c>
      <c r="J96" s="81" t="s">
        <v>127</v>
      </c>
      <c r="K96" s="87">
        <v>12.19</v>
      </c>
      <c r="L96" s="139">
        <v>-1.9800000000000002E-2</v>
      </c>
      <c r="M96" s="85">
        <f t="shared" si="11"/>
        <v>11.948637999999999</v>
      </c>
      <c r="N96" s="140"/>
      <c r="O96" s="83">
        <f t="shared" si="8"/>
        <v>280</v>
      </c>
      <c r="P96" s="83">
        <f t="shared" si="12"/>
        <v>-5.5440000000000005</v>
      </c>
      <c r="Q96" s="83">
        <f t="shared" si="13"/>
        <v>274.45600000000002</v>
      </c>
      <c r="R96" s="81" t="s">
        <v>127</v>
      </c>
      <c r="S96" s="142">
        <f t="shared" ref="S96:S137" si="24">ROUND(($S$93-$K$93)*H96+K96,2)</f>
        <v>10.23</v>
      </c>
      <c r="T96" s="143">
        <f t="shared" si="20"/>
        <v>234.08327838861095</v>
      </c>
      <c r="U96" s="58"/>
      <c r="V96" s="197">
        <f t="shared" ref="V96:V137" si="25">S96-SUM(W96:X96)</f>
        <v>6.7800000000000011</v>
      </c>
      <c r="W96" s="197">
        <f>ROUND('RMM-7R_pg2'!P$37*$H96,2)</f>
        <v>1.44</v>
      </c>
      <c r="X96" s="197">
        <f>ROUND('RMM-7R_pg2'!Q$37*$H96,2)</f>
        <v>2.0099999999999998</v>
      </c>
    </row>
    <row r="97" spans="2:24" s="59" customFormat="1">
      <c r="B97" s="134">
        <v>12</v>
      </c>
      <c r="C97" s="135" t="s">
        <v>161</v>
      </c>
      <c r="D97" s="135"/>
      <c r="E97" s="136" t="s">
        <v>13</v>
      </c>
      <c r="F97" s="137" t="s">
        <v>82</v>
      </c>
      <c r="G97" s="135"/>
      <c r="H97" s="138"/>
      <c r="I97" s="138"/>
      <c r="J97" s="81" t="s">
        <v>224</v>
      </c>
      <c r="K97" s="87"/>
      <c r="L97" s="139"/>
      <c r="M97" s="85"/>
      <c r="N97" s="140"/>
      <c r="O97" s="83"/>
      <c r="P97" s="83"/>
      <c r="Q97" s="83"/>
      <c r="R97" s="81" t="s">
        <v>224</v>
      </c>
      <c r="S97" s="142"/>
      <c r="T97" s="143"/>
      <c r="U97" s="58"/>
      <c r="V97" s="197"/>
      <c r="W97" s="197"/>
      <c r="X97" s="197"/>
    </row>
    <row r="98" spans="2:24" s="59" customFormat="1">
      <c r="B98" s="134">
        <v>12</v>
      </c>
      <c r="C98" s="135" t="s">
        <v>161</v>
      </c>
      <c r="D98" s="135"/>
      <c r="E98" s="136" t="s">
        <v>13</v>
      </c>
      <c r="F98" s="137" t="s">
        <v>82</v>
      </c>
      <c r="G98" s="135">
        <v>404.24938920157643</v>
      </c>
      <c r="H98" s="138">
        <v>69</v>
      </c>
      <c r="I98" s="138">
        <f t="shared" si="22"/>
        <v>27893.207854908775</v>
      </c>
      <c r="J98" s="81" t="s">
        <v>85</v>
      </c>
      <c r="K98" s="87">
        <v>7</v>
      </c>
      <c r="L98" s="139">
        <v>-1.9800000000000002E-2</v>
      </c>
      <c r="M98" s="85">
        <f t="shared" si="11"/>
        <v>6.8613999999999997</v>
      </c>
      <c r="N98" s="140"/>
      <c r="O98" s="83">
        <f t="shared" si="8"/>
        <v>2828</v>
      </c>
      <c r="P98" s="83">
        <f t="shared" si="12"/>
        <v>-55.994400000000006</v>
      </c>
      <c r="Q98" s="83">
        <f t="shared" si="13"/>
        <v>2772.0056</v>
      </c>
      <c r="R98" s="81" t="s">
        <v>85</v>
      </c>
      <c r="S98" s="142">
        <f t="shared" si="24"/>
        <v>5.63</v>
      </c>
      <c r="T98" s="143">
        <f t="shared" si="20"/>
        <v>2275.9240612048752</v>
      </c>
      <c r="U98" s="58"/>
      <c r="V98" s="197">
        <f t="shared" si="25"/>
        <v>3.2199999999999998</v>
      </c>
      <c r="W98" s="197">
        <f>ROUND('RMM-7R_pg2'!P$37*$H98,2)</f>
        <v>1.01</v>
      </c>
      <c r="X98" s="197">
        <f>ROUND('RMM-7R_pg2'!Q$37*$H98,2)</f>
        <v>1.4</v>
      </c>
    </row>
    <row r="99" spans="2:24" s="59" customFormat="1">
      <c r="B99" s="134">
        <v>12</v>
      </c>
      <c r="C99" s="135" t="s">
        <v>161</v>
      </c>
      <c r="D99" s="135"/>
      <c r="E99" s="136" t="s">
        <v>13</v>
      </c>
      <c r="F99" s="137" t="s">
        <v>82</v>
      </c>
      <c r="G99" s="135">
        <v>53.391428762472358</v>
      </c>
      <c r="H99" s="138">
        <v>145</v>
      </c>
      <c r="I99" s="138">
        <f t="shared" si="22"/>
        <v>7741.7571705584924</v>
      </c>
      <c r="J99" s="81" t="s">
        <v>86</v>
      </c>
      <c r="K99" s="87">
        <v>13.33</v>
      </c>
      <c r="L99" s="139">
        <v>-1.9800000000000002E-2</v>
      </c>
      <c r="M99" s="85">
        <f t="shared" ref="M99:M138" si="26">K99*(1+L99)</f>
        <v>13.066065999999999</v>
      </c>
      <c r="N99" s="140"/>
      <c r="O99" s="83">
        <f t="shared" ref="O99:O100" si="27">ROUND(ROUND(G99,0)*K99,0)</f>
        <v>706</v>
      </c>
      <c r="P99" s="83">
        <f t="shared" ref="P99:P138" si="28">L99*O99</f>
        <v>-13.978800000000001</v>
      </c>
      <c r="Q99" s="83">
        <f t="shared" ref="Q99:Q138" si="29">O99+P99</f>
        <v>692.02120000000002</v>
      </c>
      <c r="R99" s="81" t="s">
        <v>86</v>
      </c>
      <c r="S99" s="142">
        <f t="shared" si="24"/>
        <v>10.46</v>
      </c>
      <c r="T99" s="143">
        <f t="shared" si="20"/>
        <v>558.47434485546091</v>
      </c>
      <c r="U99" s="58"/>
      <c r="V99" s="197">
        <f t="shared" si="25"/>
        <v>5.4</v>
      </c>
      <c r="W99" s="197">
        <f>ROUND('RMM-7R_pg2'!P$37*$H99,2)</f>
        <v>2.12</v>
      </c>
      <c r="X99" s="197">
        <f>ROUND('RMM-7R_pg2'!Q$37*$H99,2)</f>
        <v>2.94</v>
      </c>
    </row>
    <row r="100" spans="2:24" s="59" customFormat="1">
      <c r="B100" s="134">
        <v>12</v>
      </c>
      <c r="C100" s="135" t="s">
        <v>161</v>
      </c>
      <c r="D100" s="135"/>
      <c r="E100" s="136" t="s">
        <v>13</v>
      </c>
      <c r="F100" s="137" t="s">
        <v>82</v>
      </c>
      <c r="G100" s="135">
        <v>0</v>
      </c>
      <c r="H100" s="138">
        <v>352</v>
      </c>
      <c r="I100" s="138">
        <f t="shared" si="22"/>
        <v>0</v>
      </c>
      <c r="J100" s="81" t="s">
        <v>141</v>
      </c>
      <c r="K100" s="87">
        <v>28.38</v>
      </c>
      <c r="L100" s="139">
        <v>-1.9800000000000002E-2</v>
      </c>
      <c r="M100" s="85">
        <f t="shared" si="26"/>
        <v>27.818075999999998</v>
      </c>
      <c r="N100" s="140"/>
      <c r="O100" s="83">
        <f t="shared" si="27"/>
        <v>0</v>
      </c>
      <c r="P100" s="83">
        <f t="shared" si="28"/>
        <v>0</v>
      </c>
      <c r="Q100" s="83">
        <f t="shared" si="29"/>
        <v>0</v>
      </c>
      <c r="R100" s="81" t="s">
        <v>208</v>
      </c>
      <c r="S100" s="142"/>
      <c r="T100" s="143"/>
      <c r="U100" s="58"/>
      <c r="V100" s="197"/>
      <c r="W100" s="197"/>
      <c r="X100" s="197"/>
    </row>
    <row r="101" spans="2:24" s="59" customFormat="1">
      <c r="B101" s="134">
        <v>12</v>
      </c>
      <c r="C101" s="135" t="s">
        <v>161</v>
      </c>
      <c r="D101" s="135"/>
      <c r="E101" s="136" t="s">
        <v>13</v>
      </c>
      <c r="F101" s="137" t="s">
        <v>82</v>
      </c>
      <c r="G101" s="135"/>
      <c r="H101" s="138"/>
      <c r="I101" s="138"/>
      <c r="J101" s="81" t="s">
        <v>227</v>
      </c>
      <c r="K101" s="87"/>
      <c r="L101" s="139"/>
      <c r="M101" s="85"/>
      <c r="N101" s="140"/>
      <c r="O101" s="83"/>
      <c r="P101" s="83"/>
      <c r="Q101" s="83"/>
      <c r="R101" s="81" t="s">
        <v>227</v>
      </c>
      <c r="S101" s="142"/>
      <c r="T101" s="143"/>
      <c r="U101" s="58"/>
      <c r="V101" s="197"/>
      <c r="W101" s="197"/>
      <c r="X101" s="197"/>
    </row>
    <row r="102" spans="2:24" s="59" customFormat="1">
      <c r="B102" s="134">
        <v>12</v>
      </c>
      <c r="C102" s="135" t="s">
        <v>161</v>
      </c>
      <c r="D102" s="135"/>
      <c r="E102" s="136" t="s">
        <v>13</v>
      </c>
      <c r="F102" s="137" t="s">
        <v>82</v>
      </c>
      <c r="G102" s="135">
        <v>1416.4478719650542</v>
      </c>
      <c r="H102" s="138">
        <v>28</v>
      </c>
      <c r="I102" s="138">
        <f t="shared" si="22"/>
        <v>39660.540415021518</v>
      </c>
      <c r="J102" s="81" t="s">
        <v>131</v>
      </c>
      <c r="K102" s="87">
        <v>4.08</v>
      </c>
      <c r="L102" s="139">
        <v>-1.9800000000000002E-2</v>
      </c>
      <c r="M102" s="85">
        <f t="shared" si="26"/>
        <v>3.9992160000000001</v>
      </c>
      <c r="N102" s="140"/>
      <c r="O102" s="83">
        <f t="shared" ref="O102:O111" si="30">ROUND(ROUND(G102,0)*K102,0)</f>
        <v>5777</v>
      </c>
      <c r="P102" s="83">
        <f t="shared" si="28"/>
        <v>-114.38460000000001</v>
      </c>
      <c r="Q102" s="83">
        <f t="shared" si="29"/>
        <v>5662.6153999999997</v>
      </c>
      <c r="R102" s="81" t="s">
        <v>131</v>
      </c>
      <c r="S102" s="142">
        <f t="shared" si="24"/>
        <v>3.53</v>
      </c>
      <c r="T102" s="143">
        <f t="shared" si="20"/>
        <v>5000.060988036641</v>
      </c>
      <c r="U102" s="58"/>
      <c r="V102" s="197">
        <f t="shared" si="25"/>
        <v>2.5499999999999998</v>
      </c>
      <c r="W102" s="197">
        <f>ROUND('RMM-7R_pg2'!P$37*$H102,2)</f>
        <v>0.41</v>
      </c>
      <c r="X102" s="197">
        <f>ROUND('RMM-7R_pg2'!Q$37*$H102,2)</f>
        <v>0.56999999999999995</v>
      </c>
    </row>
    <row r="103" spans="2:24" s="59" customFormat="1">
      <c r="B103" s="134">
        <v>12</v>
      </c>
      <c r="C103" s="135" t="s">
        <v>161</v>
      </c>
      <c r="D103" s="135"/>
      <c r="E103" s="136" t="s">
        <v>13</v>
      </c>
      <c r="F103" s="137" t="s">
        <v>82</v>
      </c>
      <c r="G103" s="135">
        <v>6698.5505803475535</v>
      </c>
      <c r="H103" s="138">
        <v>39</v>
      </c>
      <c r="I103" s="138">
        <f t="shared" si="22"/>
        <v>261243.4726335546</v>
      </c>
      <c r="J103" s="81" t="s">
        <v>132</v>
      </c>
      <c r="K103" s="87">
        <v>5.37</v>
      </c>
      <c r="L103" s="139">
        <v>-1.9800000000000002E-2</v>
      </c>
      <c r="M103" s="85">
        <f t="shared" si="26"/>
        <v>5.263674</v>
      </c>
      <c r="N103" s="140"/>
      <c r="O103" s="83">
        <f t="shared" si="30"/>
        <v>35974</v>
      </c>
      <c r="P103" s="83">
        <f t="shared" si="28"/>
        <v>-712.28520000000003</v>
      </c>
      <c r="Q103" s="83">
        <f t="shared" si="29"/>
        <v>35261.714800000002</v>
      </c>
      <c r="R103" s="81" t="s">
        <v>132</v>
      </c>
      <c r="S103" s="142">
        <f t="shared" si="24"/>
        <v>4.5999999999999996</v>
      </c>
      <c r="T103" s="143">
        <f t="shared" si="20"/>
        <v>30813.332669598745</v>
      </c>
      <c r="U103" s="58"/>
      <c r="V103" s="197">
        <f t="shared" si="25"/>
        <v>3.2399999999999998</v>
      </c>
      <c r="W103" s="197">
        <f>ROUND('RMM-7R_pg2'!P$37*$H103,2)</f>
        <v>0.56999999999999995</v>
      </c>
      <c r="X103" s="197">
        <f>ROUND('RMM-7R_pg2'!Q$37*$H103,2)</f>
        <v>0.79</v>
      </c>
    </row>
    <row r="104" spans="2:24" s="59" customFormat="1">
      <c r="B104" s="134">
        <v>12</v>
      </c>
      <c r="C104" s="135" t="s">
        <v>161</v>
      </c>
      <c r="D104" s="135"/>
      <c r="E104" s="136" t="s">
        <v>13</v>
      </c>
      <c r="F104" s="137" t="s">
        <v>82</v>
      </c>
      <c r="G104" s="135">
        <v>3868.5014320042578</v>
      </c>
      <c r="H104" s="138">
        <v>39</v>
      </c>
      <c r="I104" s="138">
        <f t="shared" si="22"/>
        <v>150871.55584816606</v>
      </c>
      <c r="J104" s="81" t="s">
        <v>142</v>
      </c>
      <c r="K104" s="87">
        <v>6.96</v>
      </c>
      <c r="L104" s="139">
        <v>-1.9800000000000002E-2</v>
      </c>
      <c r="M104" s="85">
        <f t="shared" si="26"/>
        <v>6.8221919999999994</v>
      </c>
      <c r="N104" s="140"/>
      <c r="O104" s="83">
        <f t="shared" si="30"/>
        <v>26928</v>
      </c>
      <c r="P104" s="83">
        <f t="shared" si="28"/>
        <v>-533.17439999999999</v>
      </c>
      <c r="Q104" s="83">
        <f t="shared" si="29"/>
        <v>26394.8256</v>
      </c>
      <c r="R104" s="81" t="s">
        <v>142</v>
      </c>
      <c r="S104" s="142">
        <f t="shared" si="24"/>
        <v>6.19</v>
      </c>
      <c r="T104" s="143">
        <f t="shared" si="20"/>
        <v>23946.023864106359</v>
      </c>
      <c r="U104" s="58"/>
      <c r="V104" s="197">
        <f t="shared" si="25"/>
        <v>4.83</v>
      </c>
      <c r="W104" s="197">
        <f>ROUND('RMM-7R_pg2'!P$37*$H104,2)</f>
        <v>0.56999999999999995</v>
      </c>
      <c r="X104" s="197">
        <f>ROUND('RMM-7R_pg2'!Q$37*$H104,2)</f>
        <v>0.79</v>
      </c>
    </row>
    <row r="105" spans="2:24" s="59" customFormat="1">
      <c r="B105" s="134">
        <v>12</v>
      </c>
      <c r="C105" s="135" t="s">
        <v>161</v>
      </c>
      <c r="D105" s="135"/>
      <c r="E105" s="136" t="s">
        <v>13</v>
      </c>
      <c r="F105" s="137" t="s">
        <v>82</v>
      </c>
      <c r="G105" s="135">
        <v>585.5850789389458</v>
      </c>
      <c r="H105" s="138">
        <v>59</v>
      </c>
      <c r="I105" s="138">
        <f t="shared" si="22"/>
        <v>34549.519657397803</v>
      </c>
      <c r="J105" s="81" t="s">
        <v>133</v>
      </c>
      <c r="K105" s="87">
        <v>6.52</v>
      </c>
      <c r="L105" s="139">
        <v>-1.9800000000000002E-2</v>
      </c>
      <c r="M105" s="85">
        <f t="shared" si="26"/>
        <v>6.390903999999999</v>
      </c>
      <c r="N105" s="140"/>
      <c r="O105" s="83">
        <f t="shared" si="30"/>
        <v>3821</v>
      </c>
      <c r="P105" s="83">
        <f t="shared" si="28"/>
        <v>-75.655799999999999</v>
      </c>
      <c r="Q105" s="83">
        <f t="shared" si="29"/>
        <v>3745.3442</v>
      </c>
      <c r="R105" s="81" t="s">
        <v>133</v>
      </c>
      <c r="S105" s="142">
        <f t="shared" si="24"/>
        <v>5.35</v>
      </c>
      <c r="T105" s="143">
        <f t="shared" si="20"/>
        <v>3132.8801723233596</v>
      </c>
      <c r="U105" s="58"/>
      <c r="V105" s="197">
        <f t="shared" si="25"/>
        <v>3.2899999999999996</v>
      </c>
      <c r="W105" s="197">
        <f>ROUND('RMM-7R_pg2'!P$37*$H105,2)</f>
        <v>0.86</v>
      </c>
      <c r="X105" s="197">
        <f>ROUND('RMM-7R_pg2'!Q$37*$H105,2)</f>
        <v>1.2</v>
      </c>
    </row>
    <row r="106" spans="2:24" s="59" customFormat="1">
      <c r="B106" s="134">
        <v>12</v>
      </c>
      <c r="C106" s="135" t="s">
        <v>161</v>
      </c>
      <c r="D106" s="135"/>
      <c r="E106" s="136" t="s">
        <v>13</v>
      </c>
      <c r="F106" s="137" t="s">
        <v>82</v>
      </c>
      <c r="G106" s="135">
        <v>268.71103395510335</v>
      </c>
      <c r="H106" s="138">
        <v>59</v>
      </c>
      <c r="I106" s="138">
        <f t="shared" si="22"/>
        <v>15853.951003351098</v>
      </c>
      <c r="J106" s="81" t="s">
        <v>143</v>
      </c>
      <c r="K106" s="87">
        <v>8.27</v>
      </c>
      <c r="L106" s="139">
        <v>-1.9800000000000002E-2</v>
      </c>
      <c r="M106" s="85">
        <f t="shared" si="26"/>
        <v>8.1062539999999998</v>
      </c>
      <c r="N106" s="140"/>
      <c r="O106" s="83">
        <f t="shared" si="30"/>
        <v>2225</v>
      </c>
      <c r="P106" s="83">
        <f t="shared" si="28"/>
        <v>-44.055000000000007</v>
      </c>
      <c r="Q106" s="83">
        <f t="shared" si="29"/>
        <v>2180.9450000000002</v>
      </c>
      <c r="R106" s="81" t="s">
        <v>143</v>
      </c>
      <c r="S106" s="142">
        <f t="shared" si="24"/>
        <v>7.1</v>
      </c>
      <c r="T106" s="143">
        <f t="shared" si="20"/>
        <v>1907.8483410812337</v>
      </c>
      <c r="U106" s="58"/>
      <c r="V106" s="197">
        <f t="shared" si="25"/>
        <v>5.0399999999999991</v>
      </c>
      <c r="W106" s="197">
        <f>ROUND('RMM-7R_pg2'!P$37*$H106,2)</f>
        <v>0.86</v>
      </c>
      <c r="X106" s="197">
        <f>ROUND('RMM-7R_pg2'!Q$37*$H106,2)</f>
        <v>1.2</v>
      </c>
    </row>
    <row r="107" spans="2:24" s="59" customFormat="1">
      <c r="B107" s="134">
        <v>12</v>
      </c>
      <c r="C107" s="135" t="s">
        <v>161</v>
      </c>
      <c r="D107" s="135"/>
      <c r="E107" s="136" t="s">
        <v>13</v>
      </c>
      <c r="F107" s="137" t="s">
        <v>82</v>
      </c>
      <c r="G107" s="135">
        <v>0</v>
      </c>
      <c r="H107" s="138">
        <v>76</v>
      </c>
      <c r="I107" s="138">
        <f t="shared" si="22"/>
        <v>0</v>
      </c>
      <c r="J107" s="81" t="s">
        <v>144</v>
      </c>
      <c r="K107" s="87">
        <v>8.26</v>
      </c>
      <c r="L107" s="139">
        <v>-1.9800000000000002E-2</v>
      </c>
      <c r="M107" s="85">
        <f t="shared" si="26"/>
        <v>8.0964519999999993</v>
      </c>
      <c r="N107" s="140"/>
      <c r="O107" s="83">
        <f t="shared" si="30"/>
        <v>0</v>
      </c>
      <c r="P107" s="83">
        <f t="shared" si="28"/>
        <v>0</v>
      </c>
      <c r="Q107" s="83">
        <f t="shared" si="29"/>
        <v>0</v>
      </c>
      <c r="R107" s="81" t="s">
        <v>208</v>
      </c>
      <c r="S107" s="142"/>
      <c r="T107" s="143"/>
      <c r="U107" s="58"/>
      <c r="V107" s="197"/>
      <c r="W107" s="197"/>
      <c r="X107" s="197"/>
    </row>
    <row r="108" spans="2:24" s="59" customFormat="1">
      <c r="B108" s="134">
        <v>12</v>
      </c>
      <c r="C108" s="135" t="s">
        <v>161</v>
      </c>
      <c r="D108" s="135"/>
      <c r="E108" s="136" t="s">
        <v>13</v>
      </c>
      <c r="F108" s="137" t="s">
        <v>82</v>
      </c>
      <c r="G108" s="135">
        <v>1739.756882754697</v>
      </c>
      <c r="H108" s="138">
        <v>96</v>
      </c>
      <c r="I108" s="138">
        <f t="shared" si="22"/>
        <v>167016.66074445093</v>
      </c>
      <c r="J108" s="81" t="s">
        <v>134</v>
      </c>
      <c r="K108" s="87">
        <v>9.59</v>
      </c>
      <c r="L108" s="139">
        <v>-1.9800000000000002E-2</v>
      </c>
      <c r="M108" s="85">
        <f t="shared" si="26"/>
        <v>9.4001179999999991</v>
      </c>
      <c r="N108" s="140"/>
      <c r="O108" s="83">
        <f t="shared" si="30"/>
        <v>16687</v>
      </c>
      <c r="P108" s="83">
        <f t="shared" si="28"/>
        <v>-330.40260000000001</v>
      </c>
      <c r="Q108" s="83">
        <f t="shared" si="29"/>
        <v>16356.597400000001</v>
      </c>
      <c r="R108" s="81" t="s">
        <v>134</v>
      </c>
      <c r="S108" s="142">
        <f t="shared" si="24"/>
        <v>7.69</v>
      </c>
      <c r="T108" s="143">
        <f t="shared" si="20"/>
        <v>13378.73042838362</v>
      </c>
      <c r="U108" s="58"/>
      <c r="V108" s="197">
        <f t="shared" si="25"/>
        <v>4.3400000000000007</v>
      </c>
      <c r="W108" s="197">
        <f>ROUND('RMM-7R_pg2'!P$37*$H108,2)</f>
        <v>1.4</v>
      </c>
      <c r="X108" s="197">
        <f>ROUND('RMM-7R_pg2'!Q$37*$H108,2)</f>
        <v>1.95</v>
      </c>
    </row>
    <row r="109" spans="2:24" s="59" customFormat="1">
      <c r="B109" s="134">
        <v>12</v>
      </c>
      <c r="C109" s="135" t="s">
        <v>161</v>
      </c>
      <c r="D109" s="135"/>
      <c r="E109" s="136" t="s">
        <v>13</v>
      </c>
      <c r="F109" s="137" t="s">
        <v>82</v>
      </c>
      <c r="G109" s="135">
        <v>76.71834495521685</v>
      </c>
      <c r="H109" s="138">
        <v>96</v>
      </c>
      <c r="I109" s="138">
        <f t="shared" si="22"/>
        <v>7364.9611157008176</v>
      </c>
      <c r="J109" s="81" t="s">
        <v>145</v>
      </c>
      <c r="K109" s="87">
        <v>11.93</v>
      </c>
      <c r="L109" s="139">
        <v>-1.9800000000000002E-2</v>
      </c>
      <c r="M109" s="85">
        <f t="shared" si="26"/>
        <v>11.693785999999999</v>
      </c>
      <c r="N109" s="140"/>
      <c r="O109" s="83">
        <f t="shared" si="30"/>
        <v>919</v>
      </c>
      <c r="P109" s="83">
        <f t="shared" si="28"/>
        <v>-18.196200000000001</v>
      </c>
      <c r="Q109" s="83">
        <f t="shared" si="29"/>
        <v>900.80380000000002</v>
      </c>
      <c r="R109" s="81" t="s">
        <v>145</v>
      </c>
      <c r="S109" s="142">
        <f t="shared" si="24"/>
        <v>10.029999999999999</v>
      </c>
      <c r="T109" s="143">
        <f t="shared" si="20"/>
        <v>769.48499990082496</v>
      </c>
      <c r="U109" s="58"/>
      <c r="V109" s="197">
        <f t="shared" si="25"/>
        <v>6.68</v>
      </c>
      <c r="W109" s="197">
        <f>ROUND('RMM-7R_pg2'!P$37*$H109,2)</f>
        <v>1.4</v>
      </c>
      <c r="X109" s="197">
        <f>ROUND('RMM-7R_pg2'!Q$37*$H109,2)</f>
        <v>1.95</v>
      </c>
    </row>
    <row r="110" spans="2:24" s="59" customFormat="1">
      <c r="B110" s="134">
        <v>12</v>
      </c>
      <c r="C110" s="135" t="s">
        <v>161</v>
      </c>
      <c r="D110" s="135"/>
      <c r="E110" s="136" t="s">
        <v>13</v>
      </c>
      <c r="F110" s="137" t="s">
        <v>82</v>
      </c>
      <c r="G110" s="135">
        <v>4562.0347166881838</v>
      </c>
      <c r="H110" s="138">
        <v>148</v>
      </c>
      <c r="I110" s="138">
        <f t="shared" si="22"/>
        <v>675181.13806985121</v>
      </c>
      <c r="J110" s="81" t="s">
        <v>135</v>
      </c>
      <c r="K110" s="87">
        <v>14</v>
      </c>
      <c r="L110" s="139">
        <v>-1.9800000000000002E-2</v>
      </c>
      <c r="M110" s="85">
        <f t="shared" si="26"/>
        <v>13.722799999999999</v>
      </c>
      <c r="N110" s="140"/>
      <c r="O110" s="83">
        <f t="shared" si="30"/>
        <v>63868</v>
      </c>
      <c r="P110" s="83">
        <f t="shared" si="28"/>
        <v>-1264.5864000000001</v>
      </c>
      <c r="Q110" s="83">
        <f t="shared" si="29"/>
        <v>62603.4136</v>
      </c>
      <c r="R110" s="81" t="s">
        <v>135</v>
      </c>
      <c r="S110" s="142">
        <f t="shared" si="24"/>
        <v>11.07</v>
      </c>
      <c r="T110" s="143">
        <f t="shared" si="20"/>
        <v>50501.724313738196</v>
      </c>
      <c r="U110" s="58"/>
      <c r="V110" s="197">
        <f t="shared" si="25"/>
        <v>5.91</v>
      </c>
      <c r="W110" s="197">
        <f>ROUND('RMM-7R_pg2'!P$37*$H110,2)</f>
        <v>2.16</v>
      </c>
      <c r="X110" s="197">
        <f>ROUND('RMM-7R_pg2'!Q$37*$H110,2)</f>
        <v>3</v>
      </c>
    </row>
    <row r="111" spans="2:24" s="59" customFormat="1">
      <c r="B111" s="134">
        <v>12</v>
      </c>
      <c r="C111" s="135" t="s">
        <v>161</v>
      </c>
      <c r="D111" s="135"/>
      <c r="E111" s="136" t="s">
        <v>13</v>
      </c>
      <c r="F111" s="137" t="s">
        <v>82</v>
      </c>
      <c r="G111" s="135">
        <v>76.273469660674792</v>
      </c>
      <c r="H111" s="138">
        <v>148</v>
      </c>
      <c r="I111" s="138">
        <f t="shared" si="22"/>
        <v>11288.473509779869</v>
      </c>
      <c r="J111" s="81" t="s">
        <v>146</v>
      </c>
      <c r="K111" s="87">
        <v>15.56</v>
      </c>
      <c r="L111" s="139">
        <v>-1.9800000000000002E-2</v>
      </c>
      <c r="M111" s="85">
        <f t="shared" si="26"/>
        <v>15.251911999999999</v>
      </c>
      <c r="N111" s="140"/>
      <c r="O111" s="83">
        <f t="shared" si="30"/>
        <v>1183</v>
      </c>
      <c r="P111" s="83">
        <f t="shared" si="28"/>
        <v>-23.423400000000001</v>
      </c>
      <c r="Q111" s="83">
        <f t="shared" si="29"/>
        <v>1159.5766000000001</v>
      </c>
      <c r="R111" s="81" t="s">
        <v>146</v>
      </c>
      <c r="S111" s="142">
        <f t="shared" si="24"/>
        <v>12.63</v>
      </c>
      <c r="T111" s="143">
        <f t="shared" si="20"/>
        <v>963.33392181432271</v>
      </c>
      <c r="U111" s="58"/>
      <c r="V111" s="197">
        <f t="shared" si="25"/>
        <v>7.4700000000000006</v>
      </c>
      <c r="W111" s="197">
        <f>ROUND('RMM-7R_pg2'!P$37*$H111,2)</f>
        <v>2.16</v>
      </c>
      <c r="X111" s="197">
        <f>ROUND('RMM-7R_pg2'!Q$37*$H111,2)</f>
        <v>3</v>
      </c>
    </row>
    <row r="112" spans="2:24" s="59" customFormat="1">
      <c r="B112" s="134">
        <v>12</v>
      </c>
      <c r="C112" s="135" t="s">
        <v>161</v>
      </c>
      <c r="D112" s="135"/>
      <c r="E112" s="136" t="s">
        <v>13</v>
      </c>
      <c r="F112" s="137" t="s">
        <v>82</v>
      </c>
      <c r="G112" s="135"/>
      <c r="H112" s="138"/>
      <c r="I112" s="138"/>
      <c r="J112" s="81" t="s">
        <v>223</v>
      </c>
      <c r="K112" s="87"/>
      <c r="L112" s="139"/>
      <c r="M112" s="85"/>
      <c r="N112" s="140"/>
      <c r="O112" s="83"/>
      <c r="P112" s="83"/>
      <c r="Q112" s="83"/>
      <c r="R112" s="81" t="s">
        <v>223</v>
      </c>
      <c r="S112" s="142"/>
      <c r="T112" s="143"/>
      <c r="U112" s="58"/>
      <c r="V112" s="197"/>
      <c r="W112" s="197"/>
      <c r="X112" s="197"/>
    </row>
    <row r="113" spans="2:24" s="59" customFormat="1">
      <c r="B113" s="134">
        <v>12</v>
      </c>
      <c r="C113" s="135" t="s">
        <v>161</v>
      </c>
      <c r="D113" s="135"/>
      <c r="E113" s="136" t="s">
        <v>13</v>
      </c>
      <c r="F113" s="137" t="s">
        <v>82</v>
      </c>
      <c r="G113" s="135">
        <v>587.36312206349123</v>
      </c>
      <c r="H113" s="138">
        <v>39</v>
      </c>
      <c r="I113" s="138">
        <f t="shared" si="22"/>
        <v>22907.16176047616</v>
      </c>
      <c r="J113" s="81" t="s">
        <v>147</v>
      </c>
      <c r="K113" s="87">
        <v>9.19</v>
      </c>
      <c r="L113" s="139">
        <v>-1.9800000000000002E-2</v>
      </c>
      <c r="M113" s="85">
        <f t="shared" si="26"/>
        <v>9.0080379999999991</v>
      </c>
      <c r="N113" s="140"/>
      <c r="O113" s="83">
        <f t="shared" ref="O113:O119" si="31">ROUND(ROUND(G113,0)*K113,0)</f>
        <v>5395</v>
      </c>
      <c r="P113" s="83">
        <f t="shared" si="28"/>
        <v>-106.82100000000001</v>
      </c>
      <c r="Q113" s="83">
        <f t="shared" si="29"/>
        <v>5288.1790000000001</v>
      </c>
      <c r="R113" s="81" t="s">
        <v>147</v>
      </c>
      <c r="S113" s="142">
        <f t="shared" si="24"/>
        <v>8.42</v>
      </c>
      <c r="T113" s="143">
        <f t="shared" si="20"/>
        <v>4945.5974877745957</v>
      </c>
      <c r="U113" s="58"/>
      <c r="V113" s="197">
        <f t="shared" si="25"/>
        <v>7.0600000000000005</v>
      </c>
      <c r="W113" s="197">
        <f>ROUND('RMM-7R_pg2'!P$37*$H113,2)</f>
        <v>0.56999999999999995</v>
      </c>
      <c r="X113" s="197">
        <f>ROUND('RMM-7R_pg2'!Q$37*$H113,2)</f>
        <v>0.79</v>
      </c>
    </row>
    <row r="114" spans="2:24" s="59" customFormat="1">
      <c r="B114" s="134">
        <v>12</v>
      </c>
      <c r="C114" s="135" t="s">
        <v>161</v>
      </c>
      <c r="D114" s="135"/>
      <c r="E114" s="136" t="s">
        <v>13</v>
      </c>
      <c r="F114" s="137" t="s">
        <v>82</v>
      </c>
      <c r="G114" s="135">
        <v>846.6355132334902</v>
      </c>
      <c r="H114" s="138">
        <v>69</v>
      </c>
      <c r="I114" s="138">
        <f t="shared" si="22"/>
        <v>58417.85041311082</v>
      </c>
      <c r="J114" s="81" t="s">
        <v>137</v>
      </c>
      <c r="K114" s="87">
        <v>13.57</v>
      </c>
      <c r="L114" s="139">
        <v>-1.9800000000000002E-2</v>
      </c>
      <c r="M114" s="85">
        <f t="shared" si="26"/>
        <v>13.301314</v>
      </c>
      <c r="N114" s="140"/>
      <c r="O114" s="83">
        <f t="shared" si="31"/>
        <v>11494</v>
      </c>
      <c r="P114" s="83">
        <f t="shared" si="28"/>
        <v>-227.58120000000002</v>
      </c>
      <c r="Q114" s="83">
        <f t="shared" si="29"/>
        <v>11266.418799999999</v>
      </c>
      <c r="R114" s="81" t="s">
        <v>137</v>
      </c>
      <c r="S114" s="142">
        <f t="shared" si="24"/>
        <v>12.2</v>
      </c>
      <c r="T114" s="143">
        <f t="shared" si="20"/>
        <v>10328.95326144858</v>
      </c>
      <c r="U114" s="58"/>
      <c r="V114" s="197">
        <f t="shared" si="25"/>
        <v>9.7899999999999991</v>
      </c>
      <c r="W114" s="197">
        <f>ROUND('RMM-7R_pg2'!P$37*$H114,2)</f>
        <v>1.01</v>
      </c>
      <c r="X114" s="197">
        <f>ROUND('RMM-7R_pg2'!Q$37*$H114,2)</f>
        <v>1.4</v>
      </c>
    </row>
    <row r="115" spans="2:24" s="59" customFormat="1">
      <c r="B115" s="134">
        <v>12</v>
      </c>
      <c r="C115" s="135" t="s">
        <v>161</v>
      </c>
      <c r="D115" s="135"/>
      <c r="E115" s="136" t="s">
        <v>13</v>
      </c>
      <c r="F115" s="137" t="s">
        <v>82</v>
      </c>
      <c r="G115" s="135">
        <v>129.66489842314715</v>
      </c>
      <c r="H115" s="138">
        <v>69</v>
      </c>
      <c r="I115" s="138">
        <f t="shared" si="22"/>
        <v>8946.8779911971542</v>
      </c>
      <c r="J115" s="81" t="s">
        <v>148</v>
      </c>
      <c r="K115" s="87">
        <v>11.09</v>
      </c>
      <c r="L115" s="139">
        <v>-1.9800000000000002E-2</v>
      </c>
      <c r="M115" s="85">
        <f t="shared" si="26"/>
        <v>10.870417999999999</v>
      </c>
      <c r="N115" s="140"/>
      <c r="O115" s="83">
        <f t="shared" si="31"/>
        <v>1442</v>
      </c>
      <c r="P115" s="83">
        <f t="shared" si="28"/>
        <v>-28.551600000000004</v>
      </c>
      <c r="Q115" s="83">
        <f t="shared" si="29"/>
        <v>1413.4484</v>
      </c>
      <c r="R115" s="81" t="s">
        <v>148</v>
      </c>
      <c r="S115" s="142">
        <f t="shared" si="24"/>
        <v>9.7200000000000006</v>
      </c>
      <c r="T115" s="143">
        <f t="shared" si="20"/>
        <v>1260.3428126729905</v>
      </c>
      <c r="U115" s="58"/>
      <c r="V115" s="197">
        <f t="shared" si="25"/>
        <v>7.3100000000000005</v>
      </c>
      <c r="W115" s="197">
        <f>ROUND('RMM-7R_pg2'!P$37*$H115,2)</f>
        <v>1.01</v>
      </c>
      <c r="X115" s="197">
        <f>ROUND('RMM-7R_pg2'!Q$37*$H115,2)</f>
        <v>1.4</v>
      </c>
    </row>
    <row r="116" spans="2:24" s="59" customFormat="1">
      <c r="B116" s="134">
        <v>12</v>
      </c>
      <c r="C116" s="135" t="s">
        <v>161</v>
      </c>
      <c r="D116" s="135"/>
      <c r="E116" s="136" t="s">
        <v>13</v>
      </c>
      <c r="F116" s="137" t="s">
        <v>82</v>
      </c>
      <c r="G116" s="135">
        <v>244.07510291415937</v>
      </c>
      <c r="H116" s="138">
        <v>93</v>
      </c>
      <c r="I116" s="138">
        <f t="shared" si="22"/>
        <v>22698.984571016823</v>
      </c>
      <c r="J116" s="81" t="s">
        <v>138</v>
      </c>
      <c r="K116" s="87">
        <v>13.71</v>
      </c>
      <c r="L116" s="139">
        <v>-1.9800000000000002E-2</v>
      </c>
      <c r="M116" s="85">
        <f t="shared" si="26"/>
        <v>13.438542</v>
      </c>
      <c r="N116" s="140"/>
      <c r="O116" s="83">
        <f t="shared" si="31"/>
        <v>3345</v>
      </c>
      <c r="P116" s="83">
        <f t="shared" si="28"/>
        <v>-66.231000000000009</v>
      </c>
      <c r="Q116" s="83">
        <f t="shared" si="29"/>
        <v>3278.7689999999998</v>
      </c>
      <c r="R116" s="81" t="s">
        <v>138</v>
      </c>
      <c r="S116" s="142">
        <f t="shared" si="24"/>
        <v>11.87</v>
      </c>
      <c r="T116" s="143">
        <f t="shared" si="20"/>
        <v>2897.1714715910716</v>
      </c>
      <c r="U116" s="58"/>
      <c r="V116" s="197">
        <f t="shared" si="25"/>
        <v>8.629999999999999</v>
      </c>
      <c r="W116" s="197">
        <f>ROUND('RMM-7R_pg2'!P$37*$H116,2)</f>
        <v>1.36</v>
      </c>
      <c r="X116" s="197">
        <f>ROUND('RMM-7R_pg2'!Q$37*$H116,2)</f>
        <v>1.88</v>
      </c>
    </row>
    <row r="117" spans="2:24" s="59" customFormat="1">
      <c r="B117" s="134">
        <v>12</v>
      </c>
      <c r="C117" s="135" t="s">
        <v>161</v>
      </c>
      <c r="D117" s="135"/>
      <c r="E117" s="136" t="s">
        <v>13</v>
      </c>
      <c r="F117" s="137" t="s">
        <v>82</v>
      </c>
      <c r="G117" s="135">
        <v>3676.3812376445253</v>
      </c>
      <c r="H117" s="138">
        <v>93</v>
      </c>
      <c r="I117" s="138">
        <f t="shared" si="22"/>
        <v>341903.45510094083</v>
      </c>
      <c r="J117" s="81" t="s">
        <v>149</v>
      </c>
      <c r="K117" s="87">
        <v>14.13</v>
      </c>
      <c r="L117" s="139">
        <v>-1.9800000000000002E-2</v>
      </c>
      <c r="M117" s="85">
        <f t="shared" si="26"/>
        <v>13.850226000000001</v>
      </c>
      <c r="N117" s="140"/>
      <c r="O117" s="83">
        <f t="shared" si="31"/>
        <v>51942</v>
      </c>
      <c r="P117" s="83">
        <f t="shared" si="28"/>
        <v>-1028.4516000000001</v>
      </c>
      <c r="Q117" s="83">
        <f t="shared" si="29"/>
        <v>50913.5484</v>
      </c>
      <c r="R117" s="81" t="s">
        <v>149</v>
      </c>
      <c r="S117" s="142">
        <f t="shared" si="24"/>
        <v>12.29</v>
      </c>
      <c r="T117" s="143">
        <f t="shared" si="20"/>
        <v>45182.725410651212</v>
      </c>
      <c r="U117" s="58"/>
      <c r="V117" s="197">
        <f t="shared" si="25"/>
        <v>9.0499999999999989</v>
      </c>
      <c r="W117" s="197">
        <f>ROUND('RMM-7R_pg2'!P$37*$H117,2)</f>
        <v>1.36</v>
      </c>
      <c r="X117" s="197">
        <f>ROUND('RMM-7R_pg2'!Q$37*$H117,2)</f>
        <v>1.88</v>
      </c>
    </row>
    <row r="118" spans="2:24" s="59" customFormat="1">
      <c r="B118" s="134">
        <v>12</v>
      </c>
      <c r="C118" s="135" t="s">
        <v>161</v>
      </c>
      <c r="D118" s="135"/>
      <c r="E118" s="136" t="s">
        <v>13</v>
      </c>
      <c r="F118" s="137" t="s">
        <v>82</v>
      </c>
      <c r="G118" s="135">
        <v>122.03755145707969</v>
      </c>
      <c r="H118" s="138">
        <v>145</v>
      </c>
      <c r="I118" s="138">
        <f t="shared" si="22"/>
        <v>17695.444961276553</v>
      </c>
      <c r="J118" s="81" t="s">
        <v>139</v>
      </c>
      <c r="K118" s="87">
        <v>14.58</v>
      </c>
      <c r="L118" s="139">
        <v>-1.9800000000000002E-2</v>
      </c>
      <c r="M118" s="85">
        <f t="shared" si="26"/>
        <v>14.291316</v>
      </c>
      <c r="N118" s="140"/>
      <c r="O118" s="83">
        <f t="shared" si="31"/>
        <v>1779</v>
      </c>
      <c r="P118" s="83">
        <f t="shared" si="28"/>
        <v>-35.224200000000003</v>
      </c>
      <c r="Q118" s="83">
        <f t="shared" si="29"/>
        <v>1743.7757999999999</v>
      </c>
      <c r="R118" s="81" t="s">
        <v>139</v>
      </c>
      <c r="S118" s="142">
        <f t="shared" si="24"/>
        <v>11.71</v>
      </c>
      <c r="T118" s="143">
        <f t="shared" si="20"/>
        <v>1429.0597275624032</v>
      </c>
      <c r="U118" s="58"/>
      <c r="V118" s="197">
        <f t="shared" si="25"/>
        <v>6.65</v>
      </c>
      <c r="W118" s="197">
        <f>ROUND('RMM-7R_pg2'!P$37*$H118,2)</f>
        <v>2.12</v>
      </c>
      <c r="X118" s="197">
        <f>ROUND('RMM-7R_pg2'!Q$37*$H118,2)</f>
        <v>2.94</v>
      </c>
    </row>
    <row r="119" spans="2:24" s="59" customFormat="1">
      <c r="B119" s="134">
        <v>12</v>
      </c>
      <c r="C119" s="135" t="s">
        <v>161</v>
      </c>
      <c r="D119" s="135"/>
      <c r="E119" s="136" t="s">
        <v>13</v>
      </c>
      <c r="F119" s="137" t="s">
        <v>82</v>
      </c>
      <c r="G119" s="135">
        <v>351.90980008562769</v>
      </c>
      <c r="H119" s="138">
        <v>145</v>
      </c>
      <c r="I119" s="138">
        <f t="shared" si="22"/>
        <v>51026.921012416016</v>
      </c>
      <c r="J119" s="81" t="s">
        <v>150</v>
      </c>
      <c r="K119" s="88">
        <v>15.79</v>
      </c>
      <c r="L119" s="139">
        <v>-1.9800000000000002E-2</v>
      </c>
      <c r="M119" s="85">
        <f t="shared" si="26"/>
        <v>15.477357999999999</v>
      </c>
      <c r="N119" s="140"/>
      <c r="O119" s="83">
        <f t="shared" si="31"/>
        <v>5558</v>
      </c>
      <c r="P119" s="83">
        <f t="shared" si="28"/>
        <v>-110.04840000000002</v>
      </c>
      <c r="Q119" s="83">
        <f t="shared" si="29"/>
        <v>5447.9516000000003</v>
      </c>
      <c r="R119" s="81" t="s">
        <v>150</v>
      </c>
      <c r="S119" s="142">
        <f t="shared" si="24"/>
        <v>12.92</v>
      </c>
      <c r="T119" s="143">
        <f t="shared" si="20"/>
        <v>4546.6746171063096</v>
      </c>
      <c r="U119" s="58"/>
      <c r="V119" s="197">
        <f t="shared" si="25"/>
        <v>7.8599999999999994</v>
      </c>
      <c r="W119" s="197">
        <f>ROUND('RMM-7R_pg2'!P$37*$H119,2)</f>
        <v>2.12</v>
      </c>
      <c r="X119" s="197">
        <f>ROUND('RMM-7R_pg2'!Q$37*$H119,2)</f>
        <v>2.94</v>
      </c>
    </row>
    <row r="120" spans="2:24" s="59" customFormat="1">
      <c r="B120" s="134">
        <v>12</v>
      </c>
      <c r="C120" s="135" t="s">
        <v>161</v>
      </c>
      <c r="D120" s="135"/>
      <c r="E120" s="136" t="s">
        <v>13</v>
      </c>
      <c r="F120" s="137" t="s">
        <v>82</v>
      </c>
      <c r="G120" s="135"/>
      <c r="H120" s="138"/>
      <c r="I120" s="138"/>
      <c r="J120" s="81" t="s">
        <v>226</v>
      </c>
      <c r="K120" s="87"/>
      <c r="L120" s="139"/>
      <c r="M120" s="85"/>
      <c r="N120" s="140"/>
      <c r="O120" s="83"/>
      <c r="P120" s="83"/>
      <c r="Q120" s="83"/>
      <c r="R120" s="81" t="s">
        <v>226</v>
      </c>
      <c r="S120" s="142"/>
      <c r="T120" s="143"/>
      <c r="U120" s="58"/>
      <c r="V120" s="197"/>
      <c r="W120" s="197"/>
      <c r="X120" s="197"/>
    </row>
    <row r="121" spans="2:24" s="59" customFormat="1">
      <c r="B121" s="134">
        <v>12</v>
      </c>
      <c r="C121" s="135" t="s">
        <v>161</v>
      </c>
      <c r="D121" s="135"/>
      <c r="E121" s="136" t="s">
        <v>13</v>
      </c>
      <c r="F121" s="137" t="s">
        <v>82</v>
      </c>
      <c r="G121" s="135">
        <v>53.391428762472358</v>
      </c>
      <c r="H121" s="138">
        <v>135</v>
      </c>
      <c r="I121" s="138">
        <f t="shared" si="22"/>
        <v>7207.8428829337681</v>
      </c>
      <c r="J121" s="81" t="s">
        <v>151</v>
      </c>
      <c r="K121" s="87">
        <v>13.92</v>
      </c>
      <c r="L121" s="139">
        <v>-1.9800000000000002E-2</v>
      </c>
      <c r="M121" s="85">
        <f t="shared" si="26"/>
        <v>13.644383999999999</v>
      </c>
      <c r="N121" s="140"/>
      <c r="O121" s="83">
        <f t="shared" ref="O121" si="32">ROUND(ROUND(G121,0)*K121,0)</f>
        <v>738</v>
      </c>
      <c r="P121" s="83">
        <f t="shared" si="28"/>
        <v>-14.612400000000001</v>
      </c>
      <c r="Q121" s="83">
        <f t="shared" si="29"/>
        <v>723.38760000000002</v>
      </c>
      <c r="R121" s="81" t="s">
        <v>151</v>
      </c>
      <c r="S121" s="142">
        <f t="shared" si="24"/>
        <v>11.25</v>
      </c>
      <c r="T121" s="143">
        <f t="shared" si="20"/>
        <v>600.65357357781409</v>
      </c>
      <c r="U121" s="58"/>
      <c r="V121" s="197">
        <f t="shared" si="25"/>
        <v>6.54</v>
      </c>
      <c r="W121" s="197">
        <f>ROUND('RMM-7R_pg2'!P$37*$H121,2)</f>
        <v>1.97</v>
      </c>
      <c r="X121" s="197">
        <f>ROUND('RMM-7R_pg2'!Q$37*$H121,2)</f>
        <v>2.74</v>
      </c>
    </row>
    <row r="122" spans="2:24" s="59" customFormat="1">
      <c r="B122" s="134">
        <v>12</v>
      </c>
      <c r="C122" s="135" t="s">
        <v>161</v>
      </c>
      <c r="D122" s="135"/>
      <c r="E122" s="136" t="s">
        <v>13</v>
      </c>
      <c r="F122" s="137" t="s">
        <v>83</v>
      </c>
      <c r="G122" s="137"/>
      <c r="H122" s="138"/>
      <c r="I122" s="138"/>
      <c r="J122" s="81" t="s">
        <v>225</v>
      </c>
      <c r="K122" s="85"/>
      <c r="L122" s="139"/>
      <c r="M122" s="85"/>
      <c r="N122" s="140"/>
      <c r="O122" s="83"/>
      <c r="P122" s="83"/>
      <c r="Q122" s="83"/>
      <c r="R122" s="81" t="s">
        <v>225</v>
      </c>
      <c r="S122" s="142"/>
      <c r="T122" s="143"/>
      <c r="U122" s="58"/>
      <c r="V122" s="197"/>
      <c r="W122" s="197"/>
      <c r="X122" s="197"/>
    </row>
    <row r="123" spans="2:24" s="59" customFormat="1">
      <c r="B123" s="134">
        <v>12</v>
      </c>
      <c r="C123" s="135" t="s">
        <v>161</v>
      </c>
      <c r="D123" s="135"/>
      <c r="E123" s="136" t="s">
        <v>13</v>
      </c>
      <c r="F123" s="137" t="s">
        <v>83</v>
      </c>
      <c r="G123" s="135">
        <v>37.296388686456439</v>
      </c>
      <c r="H123" s="138">
        <v>136</v>
      </c>
      <c r="I123" s="138">
        <f t="shared" si="22"/>
        <v>5072.3088613580758</v>
      </c>
      <c r="J123" s="81" t="s">
        <v>152</v>
      </c>
      <c r="K123" s="87">
        <v>17.73</v>
      </c>
      <c r="L123" s="139">
        <v>-1.9800000000000002E-2</v>
      </c>
      <c r="M123" s="85">
        <f t="shared" si="26"/>
        <v>17.378945999999999</v>
      </c>
      <c r="N123" s="140"/>
      <c r="O123" s="83">
        <f t="shared" ref="O123:O124" si="33">ROUND(ROUND(G123,0)*K123,0)</f>
        <v>656</v>
      </c>
      <c r="P123" s="83">
        <f t="shared" si="28"/>
        <v>-12.988800000000001</v>
      </c>
      <c r="Q123" s="83">
        <f t="shared" si="29"/>
        <v>643.01120000000003</v>
      </c>
      <c r="R123" s="81" t="s">
        <v>152</v>
      </c>
      <c r="S123" s="142">
        <f t="shared" si="24"/>
        <v>15.04</v>
      </c>
      <c r="T123" s="143">
        <f t="shared" si="20"/>
        <v>560.93768584430484</v>
      </c>
      <c r="U123" s="58"/>
      <c r="V123" s="197">
        <f t="shared" si="25"/>
        <v>10.299999999999999</v>
      </c>
      <c r="W123" s="197">
        <f>ROUND('RMM-7R_pg2'!P$37*$H123,2)</f>
        <v>1.98</v>
      </c>
      <c r="X123" s="197">
        <f>ROUND('RMM-7R_pg2'!Q$37*$H123,2)</f>
        <v>2.76</v>
      </c>
    </row>
    <row r="124" spans="2:24" s="59" customFormat="1">
      <c r="B124" s="134">
        <v>12</v>
      </c>
      <c r="C124" s="135" t="s">
        <v>161</v>
      </c>
      <c r="D124" s="135"/>
      <c r="E124" s="136" t="s">
        <v>13</v>
      </c>
      <c r="F124" s="137" t="s">
        <v>83</v>
      </c>
      <c r="G124" s="135">
        <v>12.432129562152145</v>
      </c>
      <c r="H124" s="138">
        <v>209</v>
      </c>
      <c r="I124" s="138">
        <f t="shared" si="22"/>
        <v>2598.3150784897985</v>
      </c>
      <c r="J124" s="81" t="s">
        <v>128</v>
      </c>
      <c r="K124" s="87">
        <v>23.4</v>
      </c>
      <c r="L124" s="139">
        <v>-1.9800000000000002E-2</v>
      </c>
      <c r="M124" s="85">
        <f t="shared" si="26"/>
        <v>22.936679999999999</v>
      </c>
      <c r="N124" s="140"/>
      <c r="O124" s="83">
        <f t="shared" si="33"/>
        <v>281</v>
      </c>
      <c r="P124" s="83">
        <f t="shared" si="28"/>
        <v>-5.5638000000000005</v>
      </c>
      <c r="Q124" s="83">
        <f t="shared" si="29"/>
        <v>275.43619999999999</v>
      </c>
      <c r="R124" s="81" t="s">
        <v>128</v>
      </c>
      <c r="S124" s="142">
        <f t="shared" si="24"/>
        <v>19.260000000000002</v>
      </c>
      <c r="T124" s="143">
        <f t="shared" si="20"/>
        <v>239.44281536705034</v>
      </c>
      <c r="U124" s="58"/>
      <c r="V124" s="197">
        <f t="shared" si="25"/>
        <v>11.970000000000002</v>
      </c>
      <c r="W124" s="197">
        <f>ROUND('RMM-7R_pg2'!P$37*$H124,2)</f>
        <v>3.05</v>
      </c>
      <c r="X124" s="197">
        <f>ROUND('RMM-7R_pg2'!Q$37*$H124,2)</f>
        <v>4.24</v>
      </c>
    </row>
    <row r="125" spans="2:24" s="59" customFormat="1">
      <c r="B125" s="134">
        <v>12</v>
      </c>
      <c r="C125" s="135" t="s">
        <v>161</v>
      </c>
      <c r="D125" s="135"/>
      <c r="E125" s="136" t="s">
        <v>13</v>
      </c>
      <c r="F125" s="137" t="s">
        <v>83</v>
      </c>
      <c r="G125" s="135"/>
      <c r="H125" s="138"/>
      <c r="I125" s="138"/>
      <c r="J125" s="81" t="s">
        <v>224</v>
      </c>
      <c r="K125" s="89"/>
      <c r="L125" s="139"/>
      <c r="M125" s="85"/>
      <c r="N125" s="140"/>
      <c r="O125" s="83"/>
      <c r="P125" s="83"/>
      <c r="Q125" s="83"/>
      <c r="R125" s="81" t="s">
        <v>224</v>
      </c>
      <c r="S125" s="142"/>
      <c r="T125" s="143"/>
      <c r="U125" s="58"/>
      <c r="V125" s="197"/>
      <c r="W125" s="197"/>
      <c r="X125" s="197"/>
    </row>
    <row r="126" spans="2:24" s="59" customFormat="1">
      <c r="B126" s="134">
        <v>12</v>
      </c>
      <c r="C126" s="135" t="s">
        <v>161</v>
      </c>
      <c r="D126" s="135"/>
      <c r="E126" s="136" t="s">
        <v>13</v>
      </c>
      <c r="F126" s="137" t="s">
        <v>83</v>
      </c>
      <c r="G126" s="135">
        <v>24.86425912430429</v>
      </c>
      <c r="H126" s="138">
        <v>69</v>
      </c>
      <c r="I126" s="138">
        <f t="shared" si="22"/>
        <v>1715.6338795769959</v>
      </c>
      <c r="J126" s="81" t="s">
        <v>85</v>
      </c>
      <c r="K126" s="87">
        <v>8.0299999999999994</v>
      </c>
      <c r="L126" s="139">
        <v>-1.9800000000000002E-2</v>
      </c>
      <c r="M126" s="85">
        <f t="shared" si="26"/>
        <v>7.8710059999999986</v>
      </c>
      <c r="N126" s="140"/>
      <c r="O126" s="83">
        <f t="shared" ref="O126:O127" si="34">ROUND(ROUND(G126,0)*K126,0)</f>
        <v>201</v>
      </c>
      <c r="P126" s="83">
        <f t="shared" si="28"/>
        <v>-3.9798000000000004</v>
      </c>
      <c r="Q126" s="83">
        <f t="shared" si="29"/>
        <v>197.02019999999999</v>
      </c>
      <c r="R126" s="81" t="s">
        <v>85</v>
      </c>
      <c r="S126" s="142">
        <f t="shared" si="24"/>
        <v>6.66</v>
      </c>
      <c r="T126" s="143">
        <f t="shared" si="20"/>
        <v>165.59596576786657</v>
      </c>
      <c r="U126" s="58"/>
      <c r="V126" s="197">
        <f t="shared" si="25"/>
        <v>4.25</v>
      </c>
      <c r="W126" s="197">
        <f>ROUND('RMM-7R_pg2'!P$37*$H126,2)</f>
        <v>1.01</v>
      </c>
      <c r="X126" s="197">
        <f>ROUND('RMM-7R_pg2'!Q$37*$H126,2)</f>
        <v>1.4</v>
      </c>
    </row>
    <row r="127" spans="2:24" s="59" customFormat="1">
      <c r="B127" s="134">
        <v>12</v>
      </c>
      <c r="C127" s="135" t="s">
        <v>161</v>
      </c>
      <c r="D127" s="135"/>
      <c r="E127" s="136" t="s">
        <v>13</v>
      </c>
      <c r="F127" s="137" t="s">
        <v>83</v>
      </c>
      <c r="G127" s="135">
        <v>0</v>
      </c>
      <c r="H127" s="138">
        <v>352</v>
      </c>
      <c r="I127" s="138">
        <f t="shared" si="22"/>
        <v>0</v>
      </c>
      <c r="J127" s="81" t="s">
        <v>141</v>
      </c>
      <c r="K127" s="88">
        <v>32.479999999999997</v>
      </c>
      <c r="L127" s="139">
        <v>-1.9800000000000002E-2</v>
      </c>
      <c r="M127" s="85">
        <f t="shared" si="26"/>
        <v>31.836895999999996</v>
      </c>
      <c r="N127" s="140"/>
      <c r="O127" s="83">
        <f t="shared" si="34"/>
        <v>0</v>
      </c>
      <c r="P127" s="83">
        <f t="shared" si="28"/>
        <v>0</v>
      </c>
      <c r="Q127" s="83">
        <f t="shared" si="29"/>
        <v>0</v>
      </c>
      <c r="R127" s="81" t="s">
        <v>208</v>
      </c>
      <c r="S127" s="142"/>
      <c r="T127" s="143"/>
      <c r="U127" s="58"/>
      <c r="V127" s="197"/>
      <c r="W127" s="197"/>
      <c r="X127" s="197"/>
    </row>
    <row r="128" spans="2:24" s="59" customFormat="1">
      <c r="B128" s="134">
        <v>12</v>
      </c>
      <c r="C128" s="135" t="s">
        <v>161</v>
      </c>
      <c r="D128" s="135"/>
      <c r="E128" s="136" t="s">
        <v>13</v>
      </c>
      <c r="F128" s="137" t="s">
        <v>83</v>
      </c>
      <c r="G128" s="135"/>
      <c r="H128" s="138"/>
      <c r="I128" s="138"/>
      <c r="J128" s="81" t="s">
        <v>227</v>
      </c>
      <c r="K128" s="90"/>
      <c r="L128" s="139"/>
      <c r="M128" s="85"/>
      <c r="N128" s="140"/>
      <c r="O128" s="83"/>
      <c r="P128" s="83"/>
      <c r="Q128" s="83"/>
      <c r="R128" s="81" t="s">
        <v>227</v>
      </c>
      <c r="S128" s="142"/>
      <c r="T128" s="143"/>
      <c r="U128" s="58"/>
      <c r="V128" s="197"/>
      <c r="W128" s="197"/>
      <c r="X128" s="197"/>
    </row>
    <row r="129" spans="2:24" s="59" customFormat="1">
      <c r="B129" s="134">
        <v>12</v>
      </c>
      <c r="C129" s="135" t="s">
        <v>161</v>
      </c>
      <c r="D129" s="135"/>
      <c r="E129" s="136" t="s">
        <v>13</v>
      </c>
      <c r="F129" s="137" t="s">
        <v>83</v>
      </c>
      <c r="G129" s="135">
        <v>4183.4735812161462</v>
      </c>
      <c r="H129" s="138">
        <v>28</v>
      </c>
      <c r="I129" s="138">
        <f t="shared" si="22"/>
        <v>117137.2602740521</v>
      </c>
      <c r="J129" s="81" t="s">
        <v>131</v>
      </c>
      <c r="K129" s="87">
        <v>4.68</v>
      </c>
      <c r="L129" s="139">
        <v>-1.9800000000000002E-2</v>
      </c>
      <c r="M129" s="85">
        <f t="shared" si="26"/>
        <v>4.5873359999999996</v>
      </c>
      <c r="N129" s="140"/>
      <c r="O129" s="83">
        <f t="shared" ref="O129:O133" si="35">ROUND(ROUND(G129,0)*K129,0)</f>
        <v>19576</v>
      </c>
      <c r="P129" s="83">
        <f t="shared" si="28"/>
        <v>-387.60480000000001</v>
      </c>
      <c r="Q129" s="83">
        <f t="shared" si="29"/>
        <v>19188.395199999999</v>
      </c>
      <c r="R129" s="81" t="s">
        <v>131</v>
      </c>
      <c r="S129" s="142">
        <f t="shared" si="24"/>
        <v>4.13</v>
      </c>
      <c r="T129" s="143">
        <f t="shared" si="20"/>
        <v>17277.745890422684</v>
      </c>
      <c r="U129" s="58"/>
      <c r="V129" s="197">
        <f t="shared" si="25"/>
        <v>3.15</v>
      </c>
      <c r="W129" s="197">
        <f>ROUND('RMM-7R_pg2'!P$37*$H129,2)</f>
        <v>0.41</v>
      </c>
      <c r="X129" s="197">
        <f>ROUND('RMM-7R_pg2'!Q$37*$H129,2)</f>
        <v>0.56999999999999995</v>
      </c>
    </row>
    <row r="130" spans="2:24">
      <c r="B130" s="7">
        <v>12</v>
      </c>
      <c r="C130" s="100" t="s">
        <v>161</v>
      </c>
      <c r="D130" s="100"/>
      <c r="E130" s="4" t="s">
        <v>13</v>
      </c>
      <c r="F130" s="37" t="s">
        <v>83</v>
      </c>
      <c r="G130" s="100">
        <v>7163.6463381698659</v>
      </c>
      <c r="H130" s="8">
        <v>39</v>
      </c>
      <c r="I130" s="8">
        <f t="shared" si="22"/>
        <v>279382.20718862477</v>
      </c>
      <c r="J130" s="81" t="s">
        <v>132</v>
      </c>
      <c r="K130" s="87">
        <v>6.16</v>
      </c>
      <c r="L130" s="82">
        <v>-1.9800000000000002E-2</v>
      </c>
      <c r="M130" s="85">
        <f t="shared" si="26"/>
        <v>6.0380320000000003</v>
      </c>
      <c r="N130" s="13"/>
      <c r="O130" s="83">
        <f t="shared" si="35"/>
        <v>44130</v>
      </c>
      <c r="P130" s="83">
        <f t="shared" si="28"/>
        <v>-873.77400000000011</v>
      </c>
      <c r="Q130" s="83">
        <f t="shared" si="29"/>
        <v>43256.226000000002</v>
      </c>
      <c r="R130" s="81" t="s">
        <v>132</v>
      </c>
      <c r="S130" s="142">
        <f t="shared" si="24"/>
        <v>5.39</v>
      </c>
      <c r="T130" s="143">
        <f t="shared" si="20"/>
        <v>38612.053762735573</v>
      </c>
      <c r="U130" s="6"/>
      <c r="V130" s="197">
        <f t="shared" si="25"/>
        <v>4.0299999999999994</v>
      </c>
      <c r="W130" s="197">
        <f>ROUND('RMM-7R_pg2'!P$37*$H130,2)</f>
        <v>0.56999999999999995</v>
      </c>
      <c r="X130" s="197">
        <f>ROUND('RMM-7R_pg2'!Q$37*$H130,2)</f>
        <v>0.79</v>
      </c>
    </row>
    <row r="131" spans="2:24">
      <c r="B131" s="7">
        <v>12</v>
      </c>
      <c r="C131" s="100" t="s">
        <v>161</v>
      </c>
      <c r="D131" s="100"/>
      <c r="E131" s="4" t="s">
        <v>13</v>
      </c>
      <c r="F131" s="37" t="s">
        <v>83</v>
      </c>
      <c r="G131" s="100">
        <v>596.74221898330302</v>
      </c>
      <c r="H131" s="8">
        <v>59</v>
      </c>
      <c r="I131" s="8">
        <f t="shared" si="22"/>
        <v>35207.790920014879</v>
      </c>
      <c r="J131" s="81" t="s">
        <v>133</v>
      </c>
      <c r="K131" s="87">
        <v>7.47</v>
      </c>
      <c r="L131" s="82">
        <v>-1.9800000000000002E-2</v>
      </c>
      <c r="M131" s="85">
        <f t="shared" si="26"/>
        <v>7.3220939999999999</v>
      </c>
      <c r="N131" s="13"/>
      <c r="O131" s="83">
        <f t="shared" si="35"/>
        <v>4460</v>
      </c>
      <c r="P131" s="83">
        <f t="shared" si="28"/>
        <v>-88.308000000000007</v>
      </c>
      <c r="Q131" s="83">
        <f t="shared" si="29"/>
        <v>4371.692</v>
      </c>
      <c r="R131" s="81" t="s">
        <v>133</v>
      </c>
      <c r="S131" s="142">
        <f t="shared" si="24"/>
        <v>6.3</v>
      </c>
      <c r="T131" s="143">
        <f t="shared" si="20"/>
        <v>3759.4759795948089</v>
      </c>
      <c r="U131" s="6"/>
      <c r="V131" s="197">
        <f t="shared" si="25"/>
        <v>4.24</v>
      </c>
      <c r="W131" s="197">
        <f>ROUND('RMM-7R_pg2'!P$37*$H131,2)</f>
        <v>0.86</v>
      </c>
      <c r="X131" s="197">
        <f>ROUND('RMM-7R_pg2'!Q$37*$H131,2)</f>
        <v>1.2</v>
      </c>
    </row>
    <row r="132" spans="2:24">
      <c r="B132" s="7">
        <v>12</v>
      </c>
      <c r="C132" s="100" t="s">
        <v>161</v>
      </c>
      <c r="D132" s="100"/>
      <c r="E132" s="4" t="s">
        <v>13</v>
      </c>
      <c r="F132" s="37" t="s">
        <v>83</v>
      </c>
      <c r="G132" s="100">
        <v>1267.3504052172575</v>
      </c>
      <c r="H132" s="8">
        <v>96</v>
      </c>
      <c r="I132" s="8">
        <f t="shared" si="22"/>
        <v>121665.63890085672</v>
      </c>
      <c r="J132" s="81" t="s">
        <v>134</v>
      </c>
      <c r="K132" s="87">
        <v>10.99</v>
      </c>
      <c r="L132" s="82">
        <v>-1.9800000000000002E-2</v>
      </c>
      <c r="M132" s="85">
        <f t="shared" si="26"/>
        <v>10.772397999999999</v>
      </c>
      <c r="N132" s="13"/>
      <c r="O132" s="83">
        <f t="shared" si="35"/>
        <v>13924</v>
      </c>
      <c r="P132" s="83">
        <f t="shared" si="28"/>
        <v>-275.6952</v>
      </c>
      <c r="Q132" s="83">
        <f t="shared" si="29"/>
        <v>13648.3048</v>
      </c>
      <c r="R132" s="81" t="s">
        <v>134</v>
      </c>
      <c r="S132" s="142">
        <f t="shared" si="24"/>
        <v>9.09</v>
      </c>
      <c r="T132" s="143">
        <f t="shared" si="20"/>
        <v>11520.215183424871</v>
      </c>
      <c r="U132" s="6"/>
      <c r="V132" s="197">
        <f t="shared" si="25"/>
        <v>5.74</v>
      </c>
      <c r="W132" s="197">
        <f>ROUND('RMM-7R_pg2'!P$37*$H132,2)</f>
        <v>1.4</v>
      </c>
      <c r="X132" s="197">
        <f>ROUND('RMM-7R_pg2'!Q$37*$H132,2)</f>
        <v>1.95</v>
      </c>
    </row>
    <row r="133" spans="2:24">
      <c r="B133" s="7">
        <v>12</v>
      </c>
      <c r="C133" s="100" t="s">
        <v>161</v>
      </c>
      <c r="D133" s="100"/>
      <c r="E133" s="4" t="s">
        <v>13</v>
      </c>
      <c r="F133" s="37" t="s">
        <v>83</v>
      </c>
      <c r="G133" s="100">
        <v>1657.4336126150999</v>
      </c>
      <c r="H133" s="8">
        <v>148</v>
      </c>
      <c r="I133" s="8">
        <f t="shared" si="22"/>
        <v>245300.17466703479</v>
      </c>
      <c r="J133" s="81" t="s">
        <v>135</v>
      </c>
      <c r="K133" s="87">
        <v>16.02</v>
      </c>
      <c r="L133" s="82">
        <v>-1.9800000000000002E-2</v>
      </c>
      <c r="M133" s="85">
        <f t="shared" si="26"/>
        <v>15.702803999999999</v>
      </c>
      <c r="N133" s="13"/>
      <c r="O133" s="83">
        <f t="shared" si="35"/>
        <v>26545</v>
      </c>
      <c r="P133" s="83">
        <f t="shared" si="28"/>
        <v>-525.59100000000001</v>
      </c>
      <c r="Q133" s="83">
        <f t="shared" si="29"/>
        <v>26019.409</v>
      </c>
      <c r="R133" s="81" t="s">
        <v>135</v>
      </c>
      <c r="S133" s="142">
        <f t="shared" si="24"/>
        <v>13.09</v>
      </c>
      <c r="T133" s="143">
        <f t="shared" si="20"/>
        <v>21695.805989131659</v>
      </c>
      <c r="U133" s="6"/>
      <c r="V133" s="197">
        <f t="shared" si="25"/>
        <v>7.93</v>
      </c>
      <c r="W133" s="197">
        <f>ROUND('RMM-7R_pg2'!P$37*$H133,2)</f>
        <v>2.16</v>
      </c>
      <c r="X133" s="197">
        <f>ROUND('RMM-7R_pg2'!Q$37*$H133,2)</f>
        <v>3</v>
      </c>
    </row>
    <row r="134" spans="2:24">
      <c r="B134" s="7">
        <v>12</v>
      </c>
      <c r="C134" s="100" t="s">
        <v>161</v>
      </c>
      <c r="D134" s="100"/>
      <c r="E134" s="4" t="s">
        <v>13</v>
      </c>
      <c r="F134" s="37" t="s">
        <v>83</v>
      </c>
      <c r="G134" s="100"/>
      <c r="H134" s="8"/>
      <c r="I134" s="8"/>
      <c r="J134" s="81" t="s">
        <v>223</v>
      </c>
      <c r="K134" s="89"/>
      <c r="L134" s="82"/>
      <c r="M134" s="85"/>
      <c r="N134" s="13"/>
      <c r="O134" s="83"/>
      <c r="P134" s="83"/>
      <c r="Q134" s="83"/>
      <c r="R134" s="81" t="s">
        <v>223</v>
      </c>
      <c r="S134" s="142"/>
      <c r="T134" s="143"/>
      <c r="U134" s="6"/>
      <c r="V134" s="197"/>
      <c r="W134" s="197"/>
      <c r="X134" s="197"/>
    </row>
    <row r="135" spans="2:24">
      <c r="B135" s="7">
        <v>12</v>
      </c>
      <c r="C135" s="100" t="s">
        <v>161</v>
      </c>
      <c r="D135" s="100"/>
      <c r="E135" s="4" t="s">
        <v>13</v>
      </c>
      <c r="F135" s="37" t="s">
        <v>83</v>
      </c>
      <c r="G135" s="100">
        <v>34.740939718369631</v>
      </c>
      <c r="H135" s="8">
        <v>69</v>
      </c>
      <c r="I135" s="8">
        <f t="shared" si="22"/>
        <v>2397.1248405675046</v>
      </c>
      <c r="J135" s="81" t="s">
        <v>137</v>
      </c>
      <c r="K135" s="87">
        <v>15.58</v>
      </c>
      <c r="L135" s="82">
        <v>-1.9800000000000002E-2</v>
      </c>
      <c r="M135" s="85">
        <f t="shared" si="26"/>
        <v>15.271516</v>
      </c>
      <c r="N135" s="13"/>
      <c r="O135" s="83">
        <f t="shared" ref="O135:O138" si="36">ROUND(ROUND(G135,0)*K135,0)</f>
        <v>545</v>
      </c>
      <c r="P135" s="83">
        <f t="shared" si="28"/>
        <v>-10.791</v>
      </c>
      <c r="Q135" s="83">
        <f t="shared" si="29"/>
        <v>534.20899999999995</v>
      </c>
      <c r="R135" s="81" t="s">
        <v>137</v>
      </c>
      <c r="S135" s="142">
        <f t="shared" si="24"/>
        <v>14.21</v>
      </c>
      <c r="T135" s="143">
        <f t="shared" si="20"/>
        <v>493.66875339803249</v>
      </c>
      <c r="U135" s="6"/>
      <c r="V135" s="197">
        <f t="shared" si="25"/>
        <v>11.8</v>
      </c>
      <c r="W135" s="197">
        <f>ROUND('RMM-7R_pg2'!P$37*$H135,2)</f>
        <v>1.01</v>
      </c>
      <c r="X135" s="197">
        <f>ROUND('RMM-7R_pg2'!Q$37*$H135,2)</f>
        <v>1.4</v>
      </c>
    </row>
    <row r="136" spans="2:24">
      <c r="B136" s="7">
        <v>12</v>
      </c>
      <c r="C136" s="100" t="s">
        <v>161</v>
      </c>
      <c r="D136" s="100"/>
      <c r="E136" s="4" t="s">
        <v>13</v>
      </c>
      <c r="F136" s="37" t="s">
        <v>83</v>
      </c>
      <c r="G136" s="100">
        <v>748.35610927138612</v>
      </c>
      <c r="H136" s="8">
        <v>93</v>
      </c>
      <c r="I136" s="8">
        <f t="shared" si="22"/>
        <v>69597.118162238912</v>
      </c>
      <c r="J136" s="81" t="s">
        <v>138</v>
      </c>
      <c r="K136" s="87">
        <v>15.73</v>
      </c>
      <c r="L136" s="82">
        <v>-1.9800000000000002E-2</v>
      </c>
      <c r="M136" s="85">
        <f t="shared" si="26"/>
        <v>15.418545999999999</v>
      </c>
      <c r="N136" s="13"/>
      <c r="O136" s="83">
        <f t="shared" si="36"/>
        <v>11766</v>
      </c>
      <c r="P136" s="83">
        <f t="shared" si="28"/>
        <v>-232.96680000000001</v>
      </c>
      <c r="Q136" s="83">
        <f t="shared" si="29"/>
        <v>11533.0332</v>
      </c>
      <c r="R136" s="81" t="s">
        <v>138</v>
      </c>
      <c r="S136" s="142">
        <f t="shared" si="24"/>
        <v>13.89</v>
      </c>
      <c r="T136" s="143">
        <f t="shared" si="20"/>
        <v>10394.666357779553</v>
      </c>
      <c r="U136" s="6"/>
      <c r="V136" s="197">
        <f t="shared" si="25"/>
        <v>10.65</v>
      </c>
      <c r="W136" s="197">
        <f>ROUND('RMM-7R_pg2'!P$37*$H136,2)</f>
        <v>1.36</v>
      </c>
      <c r="X136" s="197">
        <f>ROUND('RMM-7R_pg2'!Q$37*$H136,2)</f>
        <v>1.88</v>
      </c>
    </row>
    <row r="137" spans="2:24">
      <c r="B137" s="7">
        <v>12</v>
      </c>
      <c r="C137" s="100" t="s">
        <v>161</v>
      </c>
      <c r="D137" s="100"/>
      <c r="E137" s="4" t="s">
        <v>13</v>
      </c>
      <c r="F137" s="37" t="s">
        <v>83</v>
      </c>
      <c r="G137" s="100">
        <v>696.5790847977845</v>
      </c>
      <c r="H137" s="8">
        <v>145</v>
      </c>
      <c r="I137" s="8">
        <f t="shared" si="22"/>
        <v>101003.96729567875</v>
      </c>
      <c r="J137" s="81" t="s">
        <v>139</v>
      </c>
      <c r="K137" s="87">
        <v>16.72</v>
      </c>
      <c r="L137" s="82">
        <v>-1.9800000000000002E-2</v>
      </c>
      <c r="M137" s="85">
        <f t="shared" si="26"/>
        <v>16.388943999999999</v>
      </c>
      <c r="N137" s="13"/>
      <c r="O137" s="83">
        <f t="shared" si="36"/>
        <v>11654</v>
      </c>
      <c r="P137" s="83">
        <f t="shared" si="28"/>
        <v>-230.74920000000003</v>
      </c>
      <c r="Q137" s="83">
        <f t="shared" si="29"/>
        <v>11423.2508</v>
      </c>
      <c r="R137" s="81" t="s">
        <v>139</v>
      </c>
      <c r="S137" s="142">
        <f t="shared" si="24"/>
        <v>13.85</v>
      </c>
      <c r="T137" s="143">
        <f t="shared" si="20"/>
        <v>9647.6203244493154</v>
      </c>
      <c r="U137" s="6"/>
      <c r="V137" s="197">
        <f t="shared" si="25"/>
        <v>8.7899999999999991</v>
      </c>
      <c r="W137" s="197">
        <f>ROUND('RMM-7R_pg2'!P$37*$H137,2)</f>
        <v>2.12</v>
      </c>
      <c r="X137" s="197">
        <f>ROUND('RMM-7R_pg2'!Q$37*$H137,2)</f>
        <v>2.94</v>
      </c>
    </row>
    <row r="138" spans="2:24">
      <c r="B138" s="19">
        <v>12</v>
      </c>
      <c r="C138" s="54" t="s">
        <v>161</v>
      </c>
      <c r="D138" s="54"/>
      <c r="E138" s="20" t="s">
        <v>13</v>
      </c>
      <c r="F138" s="20" t="s">
        <v>83</v>
      </c>
      <c r="G138" s="54">
        <v>0</v>
      </c>
      <c r="H138" s="54">
        <v>352</v>
      </c>
      <c r="I138" s="54">
        <f t="shared" si="22"/>
        <v>0</v>
      </c>
      <c r="J138" s="94" t="s">
        <v>153</v>
      </c>
      <c r="K138" s="99">
        <v>33.049999999999997</v>
      </c>
      <c r="L138" s="96">
        <v>-1.9800000000000002E-2</v>
      </c>
      <c r="M138" s="95">
        <f t="shared" si="26"/>
        <v>32.395609999999998</v>
      </c>
      <c r="N138" s="97"/>
      <c r="O138" s="98">
        <f t="shared" si="36"/>
        <v>0</v>
      </c>
      <c r="P138" s="98">
        <f t="shared" si="28"/>
        <v>0</v>
      </c>
      <c r="Q138" s="98">
        <f t="shared" si="29"/>
        <v>0</v>
      </c>
      <c r="R138" s="94" t="s">
        <v>208</v>
      </c>
      <c r="S138" s="181"/>
      <c r="T138" s="182"/>
      <c r="U138" s="6"/>
    </row>
    <row r="139" spans="2:24">
      <c r="B139" s="16"/>
      <c r="C139" s="100"/>
      <c r="D139" s="100"/>
      <c r="F139" s="37"/>
      <c r="G139" s="100"/>
      <c r="I139" s="8"/>
      <c r="J139" s="84" t="s">
        <v>211</v>
      </c>
      <c r="K139" s="10"/>
      <c r="L139" s="10"/>
      <c r="M139" s="10"/>
      <c r="N139" s="10"/>
      <c r="O139" s="10"/>
      <c r="P139" s="10"/>
      <c r="Q139" s="11">
        <f>SUM(Q10:Q138)</f>
        <v>8495304.2018000055</v>
      </c>
      <c r="R139" s="84" t="s">
        <v>212</v>
      </c>
      <c r="S139" s="10"/>
      <c r="T139" s="11">
        <f>SUM(T10:T138)</f>
        <v>6545540.0104901362</v>
      </c>
      <c r="U139" s="6"/>
    </row>
    <row r="140" spans="2:24">
      <c r="B140" s="16"/>
      <c r="C140" s="100"/>
      <c r="D140" s="100"/>
      <c r="F140" s="37"/>
      <c r="G140" s="37"/>
      <c r="I140" s="8"/>
      <c r="J140" s="84" t="s">
        <v>252</v>
      </c>
      <c r="K140" s="48">
        <f>COUNT(K11:K81)-COUNT(K45:K48)</f>
        <v>58</v>
      </c>
      <c r="R140" s="84"/>
      <c r="U140" s="6"/>
    </row>
    <row r="141" spans="2:24">
      <c r="B141" s="8"/>
      <c r="C141" s="100"/>
      <c r="D141" s="100"/>
      <c r="I141" s="8"/>
    </row>
    <row r="142" spans="2:24">
      <c r="B142" s="8"/>
      <c r="C142" s="8"/>
      <c r="D142" s="8"/>
      <c r="I142" s="8"/>
      <c r="J142" s="2" t="s">
        <v>218</v>
      </c>
      <c r="M142" s="18"/>
      <c r="N142" s="18"/>
      <c r="O142" s="18"/>
      <c r="P142" s="18"/>
      <c r="Q142" s="18"/>
    </row>
    <row r="143" spans="2:24">
      <c r="B143" s="8"/>
      <c r="C143" s="8"/>
      <c r="D143" s="8"/>
      <c r="I143" s="8"/>
      <c r="M143" s="39"/>
      <c r="N143" s="39"/>
      <c r="O143" s="39"/>
      <c r="P143" s="39"/>
      <c r="Q143" s="60"/>
      <c r="S143" s="185" t="s">
        <v>210</v>
      </c>
      <c r="T143" s="11">
        <f>COS!C8</f>
        <v>6545700.858338654</v>
      </c>
    </row>
    <row r="144" spans="2:24">
      <c r="S144" s="70" t="s">
        <v>30</v>
      </c>
      <c r="T144" s="11">
        <f>T139-T143</f>
        <v>-160.84784851782024</v>
      </c>
    </row>
    <row r="145" spans="19:20">
      <c r="S145" s="70" t="s">
        <v>31</v>
      </c>
      <c r="T145" s="122">
        <v>0.79511695247454839</v>
      </c>
    </row>
    <row r="146" spans="19:20">
      <c r="T146" s="199">
        <f>T144/T143</f>
        <v>-2.4573052145044799E-5</v>
      </c>
    </row>
  </sheetData>
  <pageMargins left="0.7" right="0.7" top="0.75" bottom="0.75" header="0.3" footer="0.3"/>
  <pageSetup scale="36" fitToHeight="0" orientation="landscape" r:id="rId1"/>
  <rowBreaks count="1" manualBreakCount="1">
    <brk id="81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43"/>
  <sheetViews>
    <sheetView view="pageBreakPreview" zoomScale="70" zoomScaleNormal="70" zoomScaleSheetLayoutView="70" workbookViewId="0"/>
  </sheetViews>
  <sheetFormatPr defaultColWidth="9.140625" defaultRowHeight="15.75"/>
  <cols>
    <col min="1" max="1" width="1.7109375" style="2" customWidth="1"/>
    <col min="2" max="2" width="82.5703125" style="2" bestFit="1" customWidth="1"/>
    <col min="3" max="8" width="15.85546875" style="2" customWidth="1"/>
    <col min="9" max="9" width="1.7109375" style="2" customWidth="1"/>
    <col min="10" max="21" width="13.7109375" style="2" customWidth="1"/>
    <col min="22" max="47" width="13" style="2" customWidth="1"/>
    <col min="48" max="16384" width="9.140625" style="2"/>
  </cols>
  <sheetData>
    <row r="1" spans="2:12">
      <c r="B1" s="1" t="s">
        <v>66</v>
      </c>
      <c r="C1" s="1"/>
      <c r="D1" s="1"/>
      <c r="E1" s="1"/>
      <c r="F1" s="1"/>
      <c r="G1" s="1"/>
      <c r="H1" s="1"/>
    </row>
    <row r="2" spans="2:12">
      <c r="B2" s="1" t="s">
        <v>79</v>
      </c>
      <c r="C2" s="1"/>
      <c r="D2" s="1"/>
      <c r="E2" s="1"/>
      <c r="F2" s="1"/>
      <c r="G2" s="1"/>
      <c r="H2" s="1"/>
    </row>
    <row r="3" spans="2:12">
      <c r="B3" s="1" t="s">
        <v>69</v>
      </c>
      <c r="C3" s="1"/>
      <c r="D3" s="1"/>
      <c r="E3" s="1"/>
      <c r="F3" s="1"/>
      <c r="G3" s="1"/>
      <c r="H3" s="1"/>
      <c r="K3" s="35"/>
      <c r="L3" s="47"/>
    </row>
    <row r="4" spans="2:12">
      <c r="B4" s="1" t="s">
        <v>80</v>
      </c>
      <c r="C4" s="1"/>
      <c r="D4" s="1"/>
      <c r="E4" s="1"/>
      <c r="F4" s="1"/>
      <c r="G4" s="1"/>
      <c r="H4" s="1"/>
      <c r="K4" s="35"/>
      <c r="L4" s="47"/>
    </row>
    <row r="5" spans="2:12">
      <c r="B5" s="1" t="s">
        <v>75</v>
      </c>
      <c r="C5" s="1"/>
      <c r="D5" s="1"/>
      <c r="E5" s="1"/>
      <c r="F5" s="1"/>
      <c r="G5" s="1"/>
      <c r="H5" s="1"/>
    </row>
    <row r="6" spans="2:12">
      <c r="B6" s="1"/>
      <c r="C6" s="1"/>
      <c r="D6" s="1"/>
      <c r="E6" s="1"/>
      <c r="F6" s="1"/>
      <c r="G6" s="1"/>
      <c r="H6" s="1"/>
    </row>
    <row r="7" spans="2:12">
      <c r="B7" s="50"/>
      <c r="C7" s="1"/>
      <c r="F7" s="18"/>
      <c r="G7" s="18"/>
      <c r="H7" s="1"/>
      <c r="I7" s="6"/>
    </row>
    <row r="8" spans="2:12">
      <c r="B8" s="19" t="s">
        <v>0</v>
      </c>
      <c r="C8" s="20" t="s">
        <v>1</v>
      </c>
      <c r="D8" s="20" t="s">
        <v>84</v>
      </c>
      <c r="E8" s="20" t="s">
        <v>6</v>
      </c>
      <c r="F8" s="20" t="s">
        <v>5</v>
      </c>
      <c r="G8" s="20" t="s">
        <v>209</v>
      </c>
      <c r="H8" s="20" t="s">
        <v>2</v>
      </c>
      <c r="I8" s="6"/>
    </row>
    <row r="9" spans="2:12">
      <c r="B9" s="6"/>
      <c r="I9" s="6"/>
    </row>
    <row r="10" spans="2:12">
      <c r="B10" s="6" t="s">
        <v>160</v>
      </c>
      <c r="I10" s="6"/>
    </row>
    <row r="11" spans="2:12">
      <c r="B11" s="9" t="s">
        <v>50</v>
      </c>
      <c r="C11" s="4">
        <v>7</v>
      </c>
      <c r="D11" s="21">
        <f>SUMIFS('RMM-7R_pg3-4'!$G:$G,'RMM-7R_pg3-4'!$R:$R,B11)</f>
        <v>80036.668179696673</v>
      </c>
      <c r="E11" s="21"/>
      <c r="F11" s="145">
        <f>INDEX('RMM-7R_pg2'!R:R,MATCH(B11,'RMM-7R_pg2'!$A:$A,0))</f>
        <v>9.1</v>
      </c>
      <c r="G11" s="184" t="s">
        <v>205</v>
      </c>
      <c r="H11" s="23">
        <f>D11*F11</f>
        <v>728333.68043523969</v>
      </c>
      <c r="I11" s="6"/>
    </row>
    <row r="12" spans="2:12">
      <c r="B12" s="9" t="s">
        <v>51</v>
      </c>
      <c r="C12" s="4">
        <v>7</v>
      </c>
      <c r="D12" s="21">
        <f>SUMIFS('RMM-7R_pg3-4'!$G:$G,'RMM-7R_pg3-4'!$R:$R,B12)</f>
        <v>23297.820701740242</v>
      </c>
      <c r="E12" s="21"/>
      <c r="F12" s="145">
        <f>INDEX('RMM-7R_pg2'!R:R,MATCH(B12,'RMM-7R_pg2'!$A:$A,0))</f>
        <v>10.61</v>
      </c>
      <c r="G12" s="184" t="s">
        <v>205</v>
      </c>
      <c r="H12" s="23">
        <f t="shared" ref="H12:H29" si="0">D12*F12</f>
        <v>247189.87764546394</v>
      </c>
      <c r="I12" s="6"/>
    </row>
    <row r="13" spans="2:12">
      <c r="B13" s="9" t="s">
        <v>52</v>
      </c>
      <c r="C13" s="4">
        <v>7</v>
      </c>
      <c r="D13" s="21">
        <f>SUMIFS('RMM-7R_pg3-4'!$G:$G,'RMM-7R_pg3-4'!$R:$R,B13)</f>
        <v>31461.675344580435</v>
      </c>
      <c r="E13" s="21"/>
      <c r="F13" s="145">
        <f>INDEX('RMM-7R_pg2'!R:R,MATCH(B13,'RMM-7R_pg2'!$A:$A,0))</f>
        <v>12.96</v>
      </c>
      <c r="G13" s="184" t="s">
        <v>205</v>
      </c>
      <c r="H13" s="23">
        <f t="shared" si="0"/>
        <v>407743.31246576249</v>
      </c>
      <c r="I13" s="6"/>
    </row>
    <row r="14" spans="2:12">
      <c r="B14" s="6"/>
      <c r="C14" s="4"/>
      <c r="F14" s="145"/>
      <c r="G14" s="145"/>
      <c r="H14" s="23"/>
      <c r="I14" s="6"/>
    </row>
    <row r="15" spans="2:12">
      <c r="B15" s="6" t="s">
        <v>173</v>
      </c>
      <c r="C15" s="4"/>
      <c r="F15" s="145"/>
      <c r="G15" s="145"/>
      <c r="H15" s="23"/>
      <c r="I15" s="6"/>
    </row>
    <row r="16" spans="2:12">
      <c r="B16" s="9" t="s">
        <v>7</v>
      </c>
      <c r="C16" s="4">
        <v>11</v>
      </c>
      <c r="D16" s="21">
        <f>SUMIFS('RMM-7R_pg3-4'!$G:$G,'RMM-7R_pg3-4'!$R:$R,B16)</f>
        <v>32060.279342838538</v>
      </c>
      <c r="E16" s="21"/>
      <c r="F16" s="145">
        <f>INDEX('RMM-7R_pg2'!R:R,MATCH(B16,'RMM-7R_pg2'!$A:$A,0))</f>
        <v>11.82</v>
      </c>
      <c r="G16" s="184" t="s">
        <v>205</v>
      </c>
      <c r="H16" s="23">
        <f t="shared" si="0"/>
        <v>378952.5018323515</v>
      </c>
      <c r="I16" s="6"/>
    </row>
    <row r="17" spans="2:9">
      <c r="B17" s="9" t="s">
        <v>8</v>
      </c>
      <c r="C17" s="4">
        <v>11</v>
      </c>
      <c r="D17" s="21">
        <f>SUMIFS('RMM-7R_pg3-4'!$G:$G,'RMM-7R_pg3-4'!$R:$R,B17)</f>
        <v>197233.31780693663</v>
      </c>
      <c r="E17" s="21"/>
      <c r="F17" s="145">
        <f>INDEX('RMM-7R_pg2'!R:R,MATCH(B17,'RMM-7R_pg2'!$A:$A,0))</f>
        <v>12.74</v>
      </c>
      <c r="G17" s="184" t="s">
        <v>205</v>
      </c>
      <c r="H17" s="23">
        <f t="shared" si="0"/>
        <v>2512752.4688603724</v>
      </c>
      <c r="I17" s="6"/>
    </row>
    <row r="18" spans="2:9">
      <c r="B18" s="9" t="s">
        <v>72</v>
      </c>
      <c r="C18" s="4">
        <v>11</v>
      </c>
      <c r="D18" s="21">
        <f>SUMIFS('RMM-7R_pg3-4'!$G:$G,'RMM-7R_pg3-4'!$R:$R,B18)</f>
        <v>20643.643092872899</v>
      </c>
      <c r="E18" s="21"/>
      <c r="F18" s="145">
        <f>INDEX('RMM-7R_pg2'!R:R,MATCH(B18,'RMM-7R_pg2'!$A:$A,0))</f>
        <v>13.19</v>
      </c>
      <c r="G18" s="184" t="s">
        <v>205</v>
      </c>
      <c r="H18" s="23">
        <f t="shared" si="0"/>
        <v>272289.65239499352</v>
      </c>
      <c r="I18" s="6"/>
    </row>
    <row r="19" spans="2:9">
      <c r="B19" s="9" t="s">
        <v>9</v>
      </c>
      <c r="C19" s="4">
        <v>11</v>
      </c>
      <c r="D19" s="21">
        <f>SUMIFS('RMM-7R_pg3-4'!$G:$G,'RMM-7R_pg3-4'!$R:$R,B19)</f>
        <v>574.1077419033528</v>
      </c>
      <c r="E19" s="21"/>
      <c r="F19" s="145">
        <f>INDEX('RMM-7R_pg2'!R:R,MATCH(B19,'RMM-7R_pg2'!$A:$A,0))</f>
        <v>13.71</v>
      </c>
      <c r="G19" s="184" t="s">
        <v>205</v>
      </c>
      <c r="H19" s="23">
        <f t="shared" si="0"/>
        <v>7871.0171414949673</v>
      </c>
      <c r="I19" s="6"/>
    </row>
    <row r="20" spans="2:9">
      <c r="B20" s="9" t="s">
        <v>10</v>
      </c>
      <c r="C20" s="4">
        <v>11</v>
      </c>
      <c r="D20" s="21">
        <f>SUMIFS('RMM-7R_pg3-4'!$G:$G,'RMM-7R_pg3-4'!$R:$R,B20)</f>
        <v>22535.613465373277</v>
      </c>
      <c r="E20" s="21"/>
      <c r="F20" s="145">
        <f>INDEX('RMM-7R_pg2'!R:R,MATCH(B20,'RMM-7R_pg2'!$A:$A,0))</f>
        <v>14.6</v>
      </c>
      <c r="G20" s="184" t="s">
        <v>205</v>
      </c>
      <c r="H20" s="23">
        <f t="shared" si="0"/>
        <v>329019.95659444982</v>
      </c>
      <c r="I20" s="6"/>
    </row>
    <row r="21" spans="2:9">
      <c r="B21" s="9" t="s">
        <v>11</v>
      </c>
      <c r="C21" s="4">
        <v>11</v>
      </c>
      <c r="D21" s="21">
        <f>SUMIFS('RMM-7R_pg3-4'!$G:$G,'RMM-7R_pg3-4'!$R:$R,B21)</f>
        <v>7799.6965729399371</v>
      </c>
      <c r="E21" s="21"/>
      <c r="F21" s="145">
        <f>INDEX('RMM-7R_pg2'!R:R,MATCH(B21,'RMM-7R_pg2'!$A:$A,0))</f>
        <v>17.75</v>
      </c>
      <c r="G21" s="184" t="s">
        <v>205</v>
      </c>
      <c r="H21" s="23">
        <f t="shared" si="0"/>
        <v>138444.61416968389</v>
      </c>
      <c r="I21" s="6"/>
    </row>
    <row r="22" spans="2:9">
      <c r="B22" s="9" t="s">
        <v>159</v>
      </c>
      <c r="C22" s="4">
        <v>11</v>
      </c>
      <c r="D22" s="21">
        <f>SUMIFS('RMM-7R_pg3-4'!$G:$G,'RMM-7R_pg3-4'!$R:$R,B22)</f>
        <v>5104.3342939970698</v>
      </c>
      <c r="E22" s="21"/>
      <c r="F22" s="145">
        <f>INDEX('RMM-7R_pg2'!R:R,MATCH(B22,'RMM-7R_pg2'!$A:$A,0))</f>
        <v>23.15</v>
      </c>
      <c r="G22" s="184" t="s">
        <v>205</v>
      </c>
      <c r="H22" s="23">
        <f t="shared" si="0"/>
        <v>118165.33890603216</v>
      </c>
      <c r="I22" s="6"/>
    </row>
    <row r="23" spans="2:9">
      <c r="B23" s="9" t="s">
        <v>228</v>
      </c>
      <c r="C23" s="4">
        <v>11</v>
      </c>
      <c r="D23" s="21">
        <f>SUMIFS('RMM-7R_pg3-4'!$G:$G,'RMM-7R_pg3-4'!$R:$R,B23)</f>
        <v>0</v>
      </c>
      <c r="E23" s="21"/>
      <c r="F23" s="145">
        <f>INDEX('RMM-7R_pg2'!R:R,MATCH(B23,'RMM-7R_pg2'!$A:$A,0))</f>
        <v>6.04</v>
      </c>
      <c r="G23" s="184" t="s">
        <v>205</v>
      </c>
      <c r="H23" s="23">
        <f t="shared" si="0"/>
        <v>0</v>
      </c>
      <c r="I23" s="6"/>
    </row>
    <row r="24" spans="2:9">
      <c r="B24" s="9" t="s">
        <v>229</v>
      </c>
      <c r="C24" s="4">
        <v>11</v>
      </c>
      <c r="D24" s="21">
        <f>SUMIFS('RMM-7R_pg3-4'!$G:$G,'RMM-7R_pg3-4'!$R:$R,B24)</f>
        <v>276</v>
      </c>
      <c r="E24" s="21"/>
      <c r="F24" s="145">
        <f>INDEX('RMM-7R_pg2'!R:R,MATCH(B24,'RMM-7R_pg2'!$A:$A,0))</f>
        <v>6.57</v>
      </c>
      <c r="G24" s="184" t="s">
        <v>205</v>
      </c>
      <c r="H24" s="23">
        <f t="shared" si="0"/>
        <v>1813.3200000000002</v>
      </c>
      <c r="I24" s="6"/>
    </row>
    <row r="25" spans="2:9">
      <c r="B25" s="9" t="s">
        <v>230</v>
      </c>
      <c r="C25" s="4">
        <v>11</v>
      </c>
      <c r="D25" s="21">
        <f>SUMIFS('RMM-7R_pg3-4'!$G:$G,'RMM-7R_pg3-4'!$R:$R,B25)</f>
        <v>0</v>
      </c>
      <c r="E25" s="21"/>
      <c r="F25" s="145">
        <f>INDEX('RMM-7R_pg2'!R:R,MATCH(B25,'RMM-7R_pg2'!$A:$A,0))</f>
        <v>6.99</v>
      </c>
      <c r="G25" s="184" t="s">
        <v>205</v>
      </c>
      <c r="H25" s="23">
        <f t="shared" si="0"/>
        <v>0</v>
      </c>
      <c r="I25" s="6"/>
    </row>
    <row r="26" spans="2:9">
      <c r="B26" s="9" t="s">
        <v>231</v>
      </c>
      <c r="C26" s="4">
        <v>11</v>
      </c>
      <c r="D26" s="21">
        <f>SUMIFS('RMM-7R_pg3-4'!$G:$G,'RMM-7R_pg3-4'!$R:$R,B26)</f>
        <v>0</v>
      </c>
      <c r="E26" s="21"/>
      <c r="F26" s="145">
        <f>INDEX('RMM-7R_pg2'!R:R,MATCH(B26,'RMM-7R_pg2'!$A:$A,0))</f>
        <v>7.46</v>
      </c>
      <c r="G26" s="184" t="s">
        <v>205</v>
      </c>
      <c r="H26" s="23">
        <f t="shared" si="0"/>
        <v>0</v>
      </c>
      <c r="I26" s="6"/>
    </row>
    <row r="27" spans="2:9">
      <c r="B27" s="9" t="s">
        <v>232</v>
      </c>
      <c r="C27" s="4">
        <v>11</v>
      </c>
      <c r="D27" s="21">
        <f>SUMIFS('RMM-7R_pg3-4'!$G:$G,'RMM-7R_pg3-4'!$R:$R,B27)</f>
        <v>12</v>
      </c>
      <c r="E27" s="21"/>
      <c r="F27" s="145">
        <f>INDEX('RMM-7R_pg2'!R:R,MATCH(B27,'RMM-7R_pg2'!$A:$A,0))</f>
        <v>8</v>
      </c>
      <c r="G27" s="184" t="s">
        <v>205</v>
      </c>
      <c r="H27" s="23">
        <f t="shared" si="0"/>
        <v>96</v>
      </c>
      <c r="I27" s="6"/>
    </row>
    <row r="28" spans="2:9">
      <c r="B28" s="9" t="s">
        <v>233</v>
      </c>
      <c r="C28" s="4">
        <v>11</v>
      </c>
      <c r="D28" s="21">
        <f>SUMIFS('RMM-7R_pg3-4'!$G:$G,'RMM-7R_pg3-4'!$R:$R,B28)</f>
        <v>0</v>
      </c>
      <c r="E28" s="21"/>
      <c r="F28" s="145">
        <f>INDEX('RMM-7R_pg2'!R:R,MATCH(B28,'RMM-7R_pg2'!$A:$A,0))</f>
        <v>9.7200000000000006</v>
      </c>
      <c r="G28" s="184" t="s">
        <v>205</v>
      </c>
      <c r="H28" s="23">
        <f t="shared" si="0"/>
        <v>0</v>
      </c>
      <c r="I28" s="6"/>
    </row>
    <row r="29" spans="2:9">
      <c r="B29" s="9" t="s">
        <v>234</v>
      </c>
      <c r="C29" s="4">
        <v>11</v>
      </c>
      <c r="D29" s="21">
        <f>SUMIFS('RMM-7R_pg3-4'!$G:$G,'RMM-7R_pg3-4'!$R:$R,B29)</f>
        <v>0</v>
      </c>
      <c r="E29" s="21"/>
      <c r="F29" s="145">
        <f>INDEX('RMM-7R_pg2'!R:R,MATCH(B29,'RMM-7R_pg2'!$A:$A,0))</f>
        <v>5.52</v>
      </c>
      <c r="G29" s="184" t="s">
        <v>205</v>
      </c>
      <c r="H29" s="23">
        <f t="shared" si="0"/>
        <v>0</v>
      </c>
      <c r="I29" s="6"/>
    </row>
    <row r="30" spans="2:9">
      <c r="B30" s="84"/>
      <c r="D30" s="21"/>
      <c r="E30" s="21"/>
      <c r="F30" s="145"/>
      <c r="G30" s="184"/>
      <c r="H30" s="22"/>
      <c r="I30" s="6"/>
    </row>
    <row r="31" spans="2:9">
      <c r="B31" s="12" t="s">
        <v>174</v>
      </c>
      <c r="C31" s="4">
        <v>12</v>
      </c>
      <c r="D31" s="21"/>
      <c r="E31" s="21">
        <f>SUM('RMM-7R_pg3-4'!I83:I138)</f>
        <v>26868874.204370778</v>
      </c>
      <c r="F31" s="183">
        <f>'RMM-7R_pg2'!R37</f>
        <v>4.5465000000000005E-2</v>
      </c>
      <c r="G31" s="184" t="s">
        <v>206</v>
      </c>
      <c r="H31" s="23">
        <f>SUM('RMM-7R_pg3-4'!T83:T138)</f>
        <v>1402868.2700442893</v>
      </c>
      <c r="I31" s="6"/>
    </row>
    <row r="32" spans="2:9">
      <c r="B32" s="6"/>
      <c r="C32" s="4"/>
      <c r="H32" s="22"/>
      <c r="I32" s="6"/>
    </row>
    <row r="33" spans="2:9">
      <c r="B33" s="51"/>
      <c r="C33" s="52"/>
      <c r="D33" s="52"/>
      <c r="E33" s="52"/>
      <c r="F33" s="52"/>
      <c r="G33" s="52"/>
      <c r="H33" s="53"/>
      <c r="I33" s="6"/>
    </row>
    <row r="34" spans="2:9">
      <c r="B34" s="12" t="s">
        <v>212</v>
      </c>
      <c r="H34" s="23">
        <f>SUM(H11:H32)</f>
        <v>6545540.0104901334</v>
      </c>
      <c r="I34" s="6"/>
    </row>
    <row r="35" spans="2:9">
      <c r="B35" s="12" t="s">
        <v>252</v>
      </c>
      <c r="F35" s="4">
        <f>COUNT(F11:F29)</f>
        <v>17</v>
      </c>
      <c r="G35" s="4"/>
      <c r="I35" s="6"/>
    </row>
    <row r="38" spans="2:9">
      <c r="D38" s="21"/>
      <c r="E38" s="21"/>
      <c r="F38" s="21"/>
      <c r="G38" s="21"/>
    </row>
    <row r="39" spans="2:9">
      <c r="D39" s="21"/>
      <c r="E39" s="21"/>
      <c r="F39" s="21"/>
      <c r="G39" s="21"/>
    </row>
    <row r="40" spans="2:9">
      <c r="D40" s="145"/>
      <c r="E40" s="145"/>
      <c r="F40" s="145"/>
      <c r="G40" s="145"/>
    </row>
    <row r="41" spans="2:9">
      <c r="D41" s="21"/>
      <c r="E41" s="21"/>
      <c r="F41" s="21"/>
      <c r="G41" s="21"/>
    </row>
    <row r="42" spans="2:9">
      <c r="D42" s="21"/>
      <c r="E42" s="21"/>
      <c r="F42" s="21"/>
      <c r="G42" s="21"/>
    </row>
    <row r="43" spans="2:9">
      <c r="D43" s="21"/>
      <c r="E43" s="21"/>
      <c r="F43" s="21"/>
      <c r="G43" s="21"/>
    </row>
  </sheetData>
  <pageMargins left="0.7" right="0.7" top="0.75" bottom="0.75" header="0.3" footer="0.3"/>
  <pageSetup scale="6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9"/>
  <sheetViews>
    <sheetView zoomScale="70" zoomScaleNormal="70" workbookViewId="0">
      <selection activeCell="F34" sqref="F34"/>
    </sheetView>
  </sheetViews>
  <sheetFormatPr defaultColWidth="9.140625" defaultRowHeight="15.75"/>
  <cols>
    <col min="1" max="1" width="41" style="2" customWidth="1"/>
    <col min="2" max="3" width="20.7109375" style="21" customWidth="1"/>
    <col min="4" max="13" width="20.7109375" style="2" customWidth="1"/>
    <col min="14" max="30" width="24.85546875" style="2" customWidth="1"/>
    <col min="31" max="16384" width="9.140625" style="2"/>
  </cols>
  <sheetData>
    <row r="1" spans="1:4">
      <c r="A1" s="161" t="s">
        <v>184</v>
      </c>
      <c r="B1" s="155"/>
      <c r="C1" s="155"/>
    </row>
    <row r="2" spans="1:4">
      <c r="A2" s="161" t="s">
        <v>185</v>
      </c>
      <c r="B2" s="155"/>
      <c r="C2" s="155"/>
    </row>
    <row r="3" spans="1:4">
      <c r="A3" s="155"/>
      <c r="B3" s="155" t="s">
        <v>198</v>
      </c>
      <c r="C3" s="161"/>
    </row>
    <row r="4" spans="1:4">
      <c r="A4" s="155"/>
      <c r="B4" s="155" t="s">
        <v>199</v>
      </c>
      <c r="C4" s="100" t="s">
        <v>198</v>
      </c>
    </row>
    <row r="5" spans="1:4">
      <c r="A5" s="20" t="s">
        <v>196</v>
      </c>
      <c r="B5" s="54" t="s">
        <v>200</v>
      </c>
      <c r="C5" s="20" t="s">
        <v>201</v>
      </c>
      <c r="D5" s="154" t="s">
        <v>197</v>
      </c>
    </row>
    <row r="7" spans="1:4">
      <c r="A7" s="119" t="s">
        <v>76</v>
      </c>
      <c r="B7" s="156">
        <v>1.2720550582633373E-3</v>
      </c>
      <c r="C7" s="156"/>
    </row>
    <row r="8" spans="1:4">
      <c r="A8" s="2" t="s">
        <v>17</v>
      </c>
      <c r="B8" s="157">
        <v>2502559.4872746724</v>
      </c>
      <c r="C8" s="157">
        <v>6545700.858338654</v>
      </c>
    </row>
    <row r="9" spans="1:4">
      <c r="A9" s="2" t="s">
        <v>77</v>
      </c>
      <c r="B9" s="158">
        <v>17.443419040020377</v>
      </c>
      <c r="C9" s="158"/>
    </row>
    <row r="10" spans="1:4">
      <c r="A10" s="2" t="s">
        <v>18</v>
      </c>
      <c r="B10" s="159">
        <v>4.9121078289458171E-2</v>
      </c>
      <c r="C10" s="159"/>
    </row>
    <row r="11" spans="1:4">
      <c r="A11" s="2" t="s">
        <v>19</v>
      </c>
      <c r="B11" s="158">
        <v>296.54692348319378</v>
      </c>
      <c r="C11" s="158"/>
    </row>
    <row r="12" spans="1:4">
      <c r="B12" s="160"/>
      <c r="C12" s="160"/>
    </row>
    <row r="13" spans="1:4">
      <c r="A13" s="119" t="s">
        <v>78</v>
      </c>
      <c r="B13" s="156">
        <v>1.4451420582157935E-3</v>
      </c>
      <c r="C13" s="156"/>
    </row>
    <row r="14" spans="1:4">
      <c r="A14" s="2" t="s">
        <v>17</v>
      </c>
      <c r="B14" s="157">
        <v>1707080.0584537289</v>
      </c>
      <c r="C14" s="157"/>
    </row>
    <row r="15" spans="1:4">
      <c r="A15" s="2" t="s">
        <v>77</v>
      </c>
      <c r="B15" s="158">
        <v>11.89874324502026</v>
      </c>
      <c r="C15" s="158"/>
    </row>
    <row r="16" spans="1:4">
      <c r="A16" s="2" t="s">
        <v>18</v>
      </c>
      <c r="B16" s="159">
        <v>3.3507140838836318E-2</v>
      </c>
      <c r="C16" s="159"/>
    </row>
    <row r="17" spans="1:3">
      <c r="A17" s="2" t="s">
        <v>19</v>
      </c>
      <c r="B17" s="158">
        <v>202.28463780705403</v>
      </c>
      <c r="C17" s="158"/>
    </row>
    <row r="18" spans="1:3">
      <c r="B18" s="160"/>
      <c r="C18" s="160"/>
    </row>
    <row r="19" spans="1:3">
      <c r="A19" s="119" t="s">
        <v>176</v>
      </c>
      <c r="B19" s="156">
        <v>1.0735125251442042E-3</v>
      </c>
      <c r="C19" s="156"/>
    </row>
    <row r="20" spans="1:3">
      <c r="A20" s="2" t="s">
        <v>17</v>
      </c>
      <c r="B20" s="157">
        <v>25500.087611867784</v>
      </c>
      <c r="C20" s="157"/>
    </row>
    <row r="21" spans="1:3">
      <c r="A21" s="2" t="s">
        <v>77</v>
      </c>
      <c r="B21" s="158">
        <v>0.17774151465044535</v>
      </c>
      <c r="C21" s="158"/>
    </row>
    <row r="22" spans="1:3">
      <c r="A22" s="2" t="s">
        <v>18</v>
      </c>
      <c r="B22" s="159">
        <v>5.0052428577220052E-4</v>
      </c>
      <c r="C22" s="159"/>
    </row>
    <row r="23" spans="1:3">
      <c r="A23" s="2" t="s">
        <v>19</v>
      </c>
      <c r="B23" s="158">
        <v>3.0216954155548978</v>
      </c>
      <c r="C23" s="158"/>
    </row>
    <row r="24" spans="1:3">
      <c r="B24" s="160"/>
      <c r="C24" s="160"/>
    </row>
    <row r="25" spans="1:3">
      <c r="A25" s="119" t="s">
        <v>177</v>
      </c>
      <c r="B25" s="156">
        <v>2.2191353148495545E-3</v>
      </c>
      <c r="C25" s="156"/>
    </row>
    <row r="26" spans="1:3">
      <c r="A26" s="2" t="s">
        <v>17</v>
      </c>
      <c r="B26" s="157">
        <v>938119.06716485508</v>
      </c>
      <c r="C26" s="157"/>
    </row>
    <row r="27" spans="1:3">
      <c r="A27" s="2" t="s">
        <v>77</v>
      </c>
      <c r="B27" s="158">
        <v>6.5389070993913716</v>
      </c>
      <c r="C27" s="158"/>
    </row>
    <row r="28" spans="1:3">
      <c r="A28" s="2" t="s">
        <v>18</v>
      </c>
      <c r="B28" s="159">
        <v>1.8413716188309961E-2</v>
      </c>
      <c r="C28" s="159"/>
    </row>
    <row r="29" spans="1:3">
      <c r="A29" s="2" t="s">
        <v>19</v>
      </c>
      <c r="B29" s="158">
        <v>111.16471941756785</v>
      </c>
      <c r="C29" s="158"/>
    </row>
    <row r="30" spans="1:3">
      <c r="B30" s="160"/>
      <c r="C30" s="160"/>
    </row>
    <row r="31" spans="1:3">
      <c r="A31" s="119" t="s">
        <v>178</v>
      </c>
      <c r="B31" s="156">
        <v>1.0306457260055627E-3</v>
      </c>
      <c r="C31" s="156"/>
    </row>
    <row r="32" spans="1:3">
      <c r="A32" s="2" t="s">
        <v>17</v>
      </c>
      <c r="B32" s="157">
        <v>624943.48493543605</v>
      </c>
      <c r="C32" s="157"/>
    </row>
    <row r="33" spans="1:3">
      <c r="A33" s="2" t="s">
        <v>77</v>
      </c>
      <c r="B33" s="158">
        <v>4.3560007821955917</v>
      </c>
      <c r="C33" s="158"/>
    </row>
    <row r="34" spans="1:3">
      <c r="A34" s="2" t="s">
        <v>18</v>
      </c>
      <c r="B34" s="159">
        <v>1.226660065668644E-2</v>
      </c>
      <c r="C34" s="159"/>
    </row>
    <row r="35" spans="1:3">
      <c r="A35" s="2" t="s">
        <v>19</v>
      </c>
      <c r="B35" s="158">
        <v>74.054210799316991</v>
      </c>
      <c r="C35" s="158"/>
    </row>
    <row r="36" spans="1:3">
      <c r="B36" s="160"/>
      <c r="C36" s="160"/>
    </row>
    <row r="37" spans="1:3">
      <c r="A37" s="119" t="s">
        <v>179</v>
      </c>
      <c r="B37" s="156">
        <v>9.2304470420920867E-4</v>
      </c>
      <c r="C37" s="156"/>
    </row>
    <row r="38" spans="1:3">
      <c r="A38" s="2" t="s">
        <v>17</v>
      </c>
      <c r="B38" s="157">
        <v>118517.41874161533</v>
      </c>
      <c r="C38" s="157"/>
    </row>
    <row r="39" spans="1:3">
      <c r="A39" s="2" t="s">
        <v>77</v>
      </c>
      <c r="B39" s="158">
        <v>0.82609384878316594</v>
      </c>
      <c r="C39" s="158"/>
    </row>
    <row r="40" spans="1:3">
      <c r="A40" s="2" t="s">
        <v>18</v>
      </c>
      <c r="B40" s="159">
        <v>2.3262997080686033E-3</v>
      </c>
      <c r="C40" s="159"/>
    </row>
    <row r="41" spans="1:3">
      <c r="A41" s="2" t="s">
        <v>19</v>
      </c>
      <c r="B41" s="158">
        <v>14.044012174619661</v>
      </c>
      <c r="C41" s="158"/>
    </row>
    <row r="42" spans="1:3">
      <c r="B42" s="160"/>
      <c r="C42" s="160"/>
    </row>
    <row r="43" spans="1:3">
      <c r="A43" s="119" t="s">
        <v>20</v>
      </c>
      <c r="B43" s="156">
        <v>1.0957550878416401E-3</v>
      </c>
      <c r="C43" s="156"/>
    </row>
    <row r="44" spans="1:3">
      <c r="A44" s="2" t="s">
        <v>17</v>
      </c>
      <c r="B44" s="157">
        <v>387610.63335414522</v>
      </c>
      <c r="C44" s="157"/>
    </row>
    <row r="45" spans="1:3">
      <c r="A45" s="2" t="s">
        <v>77</v>
      </c>
      <c r="B45" s="158">
        <v>2.7017358573670385</v>
      </c>
      <c r="C45" s="158"/>
    </row>
    <row r="46" spans="1:3">
      <c r="A46" s="2" t="s">
        <v>18</v>
      </c>
      <c r="B46" s="159">
        <v>7.6081517197220117E-3</v>
      </c>
      <c r="C46" s="159"/>
    </row>
    <row r="47" spans="1:3">
      <c r="A47" s="2" t="s">
        <v>19</v>
      </c>
      <c r="B47" s="158">
        <v>45.930872538706623</v>
      </c>
      <c r="C47" s="158"/>
    </row>
    <row r="48" spans="1:3">
      <c r="B48" s="160"/>
      <c r="C48" s="160"/>
    </row>
    <row r="49" spans="1:3">
      <c r="A49" s="119" t="s">
        <v>180</v>
      </c>
      <c r="B49" s="156">
        <v>1.0735125251442033E-3</v>
      </c>
      <c r="C49" s="156"/>
    </row>
    <row r="50" spans="1:3">
      <c r="A50" s="2" t="s">
        <v>17</v>
      </c>
      <c r="B50" s="157">
        <v>-15416.41712619486</v>
      </c>
      <c r="C50" s="157"/>
    </row>
    <row r="51" spans="1:3">
      <c r="A51" s="2" t="s">
        <v>77</v>
      </c>
      <c r="B51" s="158">
        <v>-0.10745599670872016</v>
      </c>
      <c r="C51" s="158"/>
    </row>
    <row r="52" spans="1:3">
      <c r="A52" s="2" t="s">
        <v>18</v>
      </c>
      <c r="B52" s="159">
        <v>-3.0259861411863648E-4</v>
      </c>
      <c r="C52" s="159"/>
    </row>
    <row r="53" spans="1:3">
      <c r="A53" s="2" t="s">
        <v>19</v>
      </c>
      <c r="B53" s="158">
        <v>-1.8268061531217987</v>
      </c>
      <c r="C53" s="158"/>
    </row>
    <row r="54" spans="1:3">
      <c r="B54" s="160"/>
      <c r="C54" s="160"/>
    </row>
    <row r="55" spans="1:3">
      <c r="A55" s="119" t="s">
        <v>181</v>
      </c>
      <c r="B55" s="156">
        <v>2.3999861764739464E-3</v>
      </c>
      <c r="C55" s="156"/>
    </row>
    <row r="56" spans="1:3">
      <c r="A56" s="2" t="s">
        <v>17</v>
      </c>
      <c r="B56" s="157">
        <v>84365.39635120047</v>
      </c>
      <c r="C56" s="157"/>
    </row>
    <row r="57" spans="1:3">
      <c r="A57" s="2" t="s">
        <v>77</v>
      </c>
      <c r="B57" s="158">
        <v>0.5880463455572098</v>
      </c>
      <c r="C57" s="158"/>
    </row>
    <row r="58" spans="1:3">
      <c r="A58" s="2" t="s">
        <v>18</v>
      </c>
      <c r="B58" s="159">
        <v>1.655952340058657E-3</v>
      </c>
      <c r="C58" s="159"/>
    </row>
    <row r="59" spans="1:3">
      <c r="A59" s="2" t="s">
        <v>19</v>
      </c>
      <c r="B59" s="158">
        <v>9.9970845302998548</v>
      </c>
      <c r="C59" s="158"/>
    </row>
    <row r="60" spans="1:3">
      <c r="B60" s="160"/>
      <c r="C60" s="160"/>
    </row>
    <row r="61" spans="1:3">
      <c r="A61" s="119" t="s">
        <v>182</v>
      </c>
      <c r="B61" s="156">
        <v>9.8293761178627954E-4</v>
      </c>
      <c r="C61" s="156"/>
    </row>
    <row r="62" spans="1:3">
      <c r="A62" s="2" t="s">
        <v>17</v>
      </c>
      <c r="B62" s="157">
        <v>249949.13198231018</v>
      </c>
      <c r="C62" s="157"/>
    </row>
    <row r="63" spans="1:3">
      <c r="A63" s="2" t="s">
        <v>77</v>
      </c>
      <c r="B63" s="158">
        <v>1.7422033202514879</v>
      </c>
      <c r="C63" s="158"/>
    </row>
    <row r="64" spans="1:3">
      <c r="A64" s="2" t="s">
        <v>18</v>
      </c>
      <c r="B64" s="159">
        <v>4.9060855268043442E-3</v>
      </c>
      <c r="C64" s="159"/>
    </row>
    <row r="65" spans="1:3">
      <c r="A65" s="2" t="s">
        <v>19</v>
      </c>
      <c r="B65" s="158">
        <v>29.618335345693826</v>
      </c>
      <c r="C65" s="158"/>
    </row>
    <row r="66" spans="1:3">
      <c r="B66" s="160"/>
      <c r="C66" s="160"/>
    </row>
    <row r="67" spans="1:3">
      <c r="A67" s="119" t="s">
        <v>183</v>
      </c>
      <c r="B67" s="156">
        <v>8.7355199979986115E-4</v>
      </c>
      <c r="C67" s="156"/>
    </row>
    <row r="68" spans="1:3">
      <c r="A68" s="2" t="s">
        <v>17</v>
      </c>
      <c r="B68" s="157">
        <v>68712.522146857984</v>
      </c>
      <c r="C68" s="157"/>
    </row>
    <row r="69" spans="1:3">
      <c r="A69" s="2" t="s">
        <v>77</v>
      </c>
      <c r="B69" s="158">
        <v>0.4789421882672602</v>
      </c>
      <c r="C69" s="158"/>
    </row>
    <row r="70" spans="1:3">
      <c r="A70" s="2" t="s">
        <v>18</v>
      </c>
      <c r="B70" s="159">
        <v>1.3487124669782067E-3</v>
      </c>
      <c r="C70" s="159"/>
    </row>
    <row r="71" spans="1:3">
      <c r="A71" s="2" t="s">
        <v>19</v>
      </c>
      <c r="B71" s="158">
        <v>8.1422588158381313</v>
      </c>
      <c r="C71" s="158"/>
    </row>
    <row r="72" spans="1:3">
      <c r="B72" s="160"/>
      <c r="C72" s="160"/>
    </row>
    <row r="73" spans="1:3">
      <c r="A73" s="119" t="s">
        <v>21</v>
      </c>
      <c r="B73" s="156">
        <v>3.9756470471969085E-4</v>
      </c>
      <c r="C73" s="156"/>
    </row>
    <row r="74" spans="1:3">
      <c r="A74" s="2" t="s">
        <v>17</v>
      </c>
      <c r="B74" s="157">
        <v>152597.50290987533</v>
      </c>
      <c r="C74" s="157"/>
    </row>
    <row r="75" spans="1:3">
      <c r="A75" s="2" t="s">
        <v>77</v>
      </c>
      <c r="B75" s="158">
        <v>1.0636399259449578</v>
      </c>
      <c r="C75" s="158"/>
    </row>
    <row r="76" spans="1:3">
      <c r="A76" s="2" t="s">
        <v>18</v>
      </c>
      <c r="B76" s="159">
        <v>2.9952350484882193E-3</v>
      </c>
      <c r="C76" s="159"/>
    </row>
    <row r="77" spans="1:3">
      <c r="A77" s="2" t="s">
        <v>19</v>
      </c>
      <c r="B77" s="158">
        <v>18.082415322890785</v>
      </c>
      <c r="C77" s="158"/>
    </row>
    <row r="78" spans="1:3">
      <c r="B78" s="160"/>
      <c r="C78" s="160"/>
    </row>
    <row r="79" spans="1:3">
      <c r="A79" s="119" t="s">
        <v>22</v>
      </c>
      <c r="B79" s="156">
        <v>8.4340187962422749E-5</v>
      </c>
      <c r="C79" s="156"/>
    </row>
    <row r="80" spans="1:3">
      <c r="A80" s="2" t="s">
        <v>17</v>
      </c>
      <c r="B80" s="157">
        <v>4262.1126220167025</v>
      </c>
      <c r="C80" s="157"/>
    </row>
    <row r="81" spans="1:3">
      <c r="A81" s="2" t="s">
        <v>77</v>
      </c>
      <c r="B81" s="158">
        <v>2.9707911775780048E-2</v>
      </c>
      <c r="C81" s="158"/>
    </row>
    <row r="82" spans="1:3">
      <c r="A82" s="2" t="s">
        <v>18</v>
      </c>
      <c r="B82" s="159">
        <v>8.3658178296719027E-5</v>
      </c>
      <c r="C82" s="159"/>
    </row>
    <row r="83" spans="1:3">
      <c r="A83" s="2" t="s">
        <v>19</v>
      </c>
      <c r="B83" s="158">
        <v>0.50504948714500564</v>
      </c>
      <c r="C83" s="158"/>
    </row>
    <row r="84" spans="1:3">
      <c r="B84" s="160"/>
      <c r="C84" s="160"/>
    </row>
    <row r="85" spans="1:3">
      <c r="A85" s="119" t="s">
        <v>23</v>
      </c>
      <c r="B85" s="156">
        <v>3.747305878679935E-6</v>
      </c>
      <c r="C85" s="156"/>
    </row>
    <row r="86" spans="1:3">
      <c r="A86" s="2" t="s">
        <v>17</v>
      </c>
      <c r="B86" s="157">
        <v>786.85342480014333</v>
      </c>
      <c r="C86" s="157"/>
    </row>
    <row r="87" spans="1:3">
      <c r="A87" s="2" t="s">
        <v>77</v>
      </c>
      <c r="B87" s="158">
        <v>5.48455054980981E-3</v>
      </c>
      <c r="C87" s="158"/>
    </row>
    <row r="88" spans="1:3">
      <c r="A88" s="2" t="s">
        <v>18</v>
      </c>
      <c r="B88" s="159">
        <v>1.5444623346007966E-5</v>
      </c>
      <c r="C88" s="159"/>
    </row>
    <row r="89" spans="1:3">
      <c r="A89" s="2" t="s">
        <v>19</v>
      </c>
      <c r="B89" s="158">
        <v>9.3240126176104193E-2</v>
      </c>
      <c r="C89" s="158"/>
    </row>
    <row r="90" spans="1:3">
      <c r="B90" s="160"/>
      <c r="C90" s="160"/>
    </row>
    <row r="91" spans="1:3">
      <c r="A91" s="119" t="s">
        <v>24</v>
      </c>
      <c r="B91" s="156">
        <v>2.0427204157152292E-3</v>
      </c>
      <c r="C91" s="156"/>
    </row>
    <row r="92" spans="1:3">
      <c r="A92" s="2" t="s">
        <v>17</v>
      </c>
      <c r="B92" s="157">
        <v>146059.13787985945</v>
      </c>
      <c r="C92" s="157"/>
    </row>
    <row r="93" spans="1:3">
      <c r="A93" s="2" t="s">
        <v>77</v>
      </c>
      <c r="B93" s="158">
        <v>1.0180660078682346</v>
      </c>
      <c r="C93" s="158"/>
    </row>
    <row r="94" spans="1:3">
      <c r="A94" s="2" t="s">
        <v>18</v>
      </c>
      <c r="B94" s="159">
        <v>2.8668978232763518E-3</v>
      </c>
      <c r="C94" s="159"/>
    </row>
    <row r="95" spans="1:3">
      <c r="A95" s="2" t="s">
        <v>19</v>
      </c>
      <c r="B95" s="158">
        <v>17.307635724595265</v>
      </c>
      <c r="C95" s="158"/>
    </row>
    <row r="96" spans="1:3">
      <c r="B96" s="160"/>
      <c r="C96" s="160"/>
    </row>
    <row r="97" spans="1:3">
      <c r="A97" s="119" t="s">
        <v>26</v>
      </c>
      <c r="B97" s="156">
        <v>3.5904043547416826E-5</v>
      </c>
      <c r="C97" s="156"/>
    </row>
    <row r="98" spans="1:3">
      <c r="A98" s="2" t="s">
        <v>17</v>
      </c>
      <c r="B98" s="157">
        <v>1437.1014661081513</v>
      </c>
      <c r="C98" s="157"/>
    </row>
    <row r="99" spans="1:3">
      <c r="A99" s="2" t="s">
        <v>77</v>
      </c>
      <c r="B99" s="158">
        <v>1.001692994864691E-2</v>
      </c>
      <c r="C99" s="158"/>
    </row>
    <row r="100" spans="1:3">
      <c r="A100" s="2" t="s">
        <v>18</v>
      </c>
      <c r="B100" s="159">
        <v>2.82079103356178E-5</v>
      </c>
      <c r="C100" s="159"/>
    </row>
    <row r="101" spans="1:3">
      <c r="A101" s="2" t="s">
        <v>19</v>
      </c>
      <c r="B101" s="158">
        <v>0.17029286243727351</v>
      </c>
      <c r="C101" s="158"/>
    </row>
    <row r="102" spans="1:3">
      <c r="B102" s="160"/>
      <c r="C102" s="160"/>
    </row>
    <row r="103" spans="1:3">
      <c r="A103" s="119" t="s">
        <v>25</v>
      </c>
      <c r="B103" s="156">
        <v>4.4361441693575167E-6</v>
      </c>
      <c r="C103" s="156"/>
    </row>
    <row r="104" spans="1:3">
      <c r="A104" s="2" t="s">
        <v>17</v>
      </c>
      <c r="B104" s="157">
        <v>52.297517022783836</v>
      </c>
      <c r="C104" s="157"/>
    </row>
    <row r="105" spans="1:3">
      <c r="A105" s="2" t="s">
        <v>77</v>
      </c>
      <c r="B105" s="158">
        <v>3.6452580201179133E-4</v>
      </c>
      <c r="C105" s="158"/>
    </row>
    <row r="106" spans="1:3">
      <c r="A106" s="2" t="s">
        <v>18</v>
      </c>
      <c r="B106" s="159">
        <v>1.0265132321861492E-6</v>
      </c>
      <c r="C106" s="159"/>
    </row>
    <row r="107" spans="1:3">
      <c r="A107" s="2" t="s">
        <v>19</v>
      </c>
      <c r="B107" s="158">
        <v>6.1971225290655095E-3</v>
      </c>
      <c r="C107" s="158"/>
    </row>
    <row r="108" spans="1:3">
      <c r="B108" s="160"/>
      <c r="C108" s="160"/>
    </row>
    <row r="109" spans="1:3">
      <c r="A109" s="119" t="s">
        <v>27</v>
      </c>
      <c r="B109" s="156">
        <v>6.2185702599728424E-3</v>
      </c>
      <c r="C109" s="156"/>
    </row>
    <row r="110" spans="1:3">
      <c r="A110" s="2" t="s">
        <v>17</v>
      </c>
      <c r="B110" s="157">
        <v>247291.22174439012</v>
      </c>
      <c r="C110" s="157"/>
    </row>
    <row r="111" spans="1:3">
      <c r="A111" s="2" t="s">
        <v>77</v>
      </c>
      <c r="B111" s="158">
        <v>1.7236770705113509</v>
      </c>
      <c r="C111" s="158"/>
    </row>
    <row r="112" spans="1:3">
      <c r="A112" s="2" t="s">
        <v>18</v>
      </c>
      <c r="B112" s="159">
        <v>4.8539151717949596E-3</v>
      </c>
      <c r="C112" s="159"/>
    </row>
    <row r="113" spans="1:3">
      <c r="A113" s="2" t="s">
        <v>19</v>
      </c>
      <c r="B113" s="158">
        <v>29.303379754045515</v>
      </c>
      <c r="C113" s="158"/>
    </row>
    <row r="114" spans="1:3">
      <c r="B114" s="160"/>
      <c r="C114" s="160"/>
    </row>
    <row r="115" spans="1:3">
      <c r="A115" s="119" t="s">
        <v>28</v>
      </c>
      <c r="B115" s="156">
        <v>9.12414072540009E-4</v>
      </c>
      <c r="C115" s="156"/>
    </row>
    <row r="116" spans="1:3">
      <c r="A116" s="2" t="s">
        <v>17</v>
      </c>
      <c r="B116" s="157">
        <v>7980.0708125308474</v>
      </c>
      <c r="C116" s="157"/>
    </row>
    <row r="117" spans="1:3">
      <c r="A117" s="2" t="s">
        <v>77</v>
      </c>
      <c r="B117" s="158">
        <v>5.5622941176755883E-2</v>
      </c>
      <c r="C117" s="158"/>
    </row>
    <row r="118" spans="1:3">
      <c r="A118" s="2" t="s">
        <v>18</v>
      </c>
      <c r="B118" s="159">
        <v>1.5663551061662509E-4</v>
      </c>
      <c r="C118" s="159"/>
    </row>
    <row r="119" spans="1:3">
      <c r="A119" s="2" t="s">
        <v>19</v>
      </c>
      <c r="B119" s="158">
        <v>0.9456180604966048</v>
      </c>
      <c r="C119" s="158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view="pageBreakPreview" zoomScale="70" zoomScaleNormal="100" zoomScaleSheetLayoutView="70" workbookViewId="0"/>
  </sheetViews>
  <sheetFormatPr defaultColWidth="9.140625" defaultRowHeight="15.75"/>
  <cols>
    <col min="1" max="2" width="18.5703125" style="4" customWidth="1"/>
    <col min="3" max="3" width="18.5703125" style="2" customWidth="1"/>
    <col min="4" max="4" width="1.7109375" style="2" customWidth="1"/>
    <col min="5" max="6" width="18.5703125" style="4" customWidth="1"/>
    <col min="7" max="7" width="1.7109375" style="4" customWidth="1"/>
    <col min="8" max="23" width="18.5703125" style="2" customWidth="1"/>
    <col min="24" max="24" width="11.7109375" style="2" customWidth="1"/>
    <col min="25" max="16384" width="9.140625" style="2"/>
  </cols>
  <sheetData>
    <row r="1" spans="1:10">
      <c r="A1" s="1" t="s">
        <v>189</v>
      </c>
      <c r="B1" s="1"/>
      <c r="C1" s="1"/>
      <c r="D1" s="1"/>
      <c r="E1" s="1"/>
      <c r="F1" s="1"/>
      <c r="G1" s="1"/>
      <c r="H1" s="1"/>
      <c r="I1" s="1"/>
      <c r="J1" s="1"/>
    </row>
    <row r="2" spans="1:10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>
      <c r="A3" s="1"/>
      <c r="B3" s="1"/>
      <c r="C3" s="1"/>
      <c r="D3" s="1"/>
      <c r="E3" s="24" t="s">
        <v>191</v>
      </c>
      <c r="F3" s="24"/>
      <c r="G3" s="17"/>
      <c r="H3" s="24" t="s">
        <v>193</v>
      </c>
      <c r="I3" s="24"/>
      <c r="J3" s="24"/>
    </row>
    <row r="4" spans="1:10" s="149" customFormat="1">
      <c r="A4" s="148" t="s">
        <v>53</v>
      </c>
      <c r="B4" s="148" t="s">
        <v>41</v>
      </c>
      <c r="C4" s="148" t="s">
        <v>54</v>
      </c>
      <c r="D4" s="148"/>
      <c r="E4" s="148" t="s">
        <v>190</v>
      </c>
      <c r="F4" s="148" t="s">
        <v>192</v>
      </c>
      <c r="G4" s="148"/>
      <c r="H4" s="24" t="s">
        <v>190</v>
      </c>
      <c r="I4" s="20" t="s">
        <v>194</v>
      </c>
      <c r="J4" s="148" t="s">
        <v>195</v>
      </c>
    </row>
    <row r="5" spans="1:10">
      <c r="A5" s="4" t="s">
        <v>16</v>
      </c>
      <c r="B5" s="4">
        <v>1</v>
      </c>
      <c r="C5" s="21">
        <v>30865.358164224595</v>
      </c>
      <c r="D5" s="21"/>
      <c r="E5" s="147">
        <v>0.8</v>
      </c>
      <c r="F5" s="147">
        <v>0.2</v>
      </c>
      <c r="G5" s="147"/>
      <c r="H5" s="49">
        <f>C5*E5</f>
        <v>24692.286531379679</v>
      </c>
      <c r="I5" s="49">
        <f>C5*F5</f>
        <v>6173.0716328449198</v>
      </c>
    </row>
    <row r="6" spans="1:10">
      <c r="A6" s="4" t="s">
        <v>16</v>
      </c>
      <c r="B6" s="4">
        <v>2</v>
      </c>
      <c r="C6" s="21">
        <v>4213.9982760975008</v>
      </c>
      <c r="D6" s="21"/>
      <c r="E6" s="147">
        <v>0</v>
      </c>
      <c r="F6" s="147">
        <v>1</v>
      </c>
      <c r="G6" s="147"/>
      <c r="H6" s="49">
        <f>C6*E6</f>
        <v>0</v>
      </c>
      <c r="I6" s="49">
        <f t="shared" ref="I6:I13" si="0">C6*F6</f>
        <v>4213.9982760975008</v>
      </c>
    </row>
    <row r="7" spans="1:10">
      <c r="A7" s="4" t="s">
        <v>16</v>
      </c>
      <c r="B7" s="4">
        <v>3</v>
      </c>
      <c r="C7" s="21">
        <v>2768.4584842036097</v>
      </c>
      <c r="D7" s="21"/>
      <c r="E7" s="147">
        <v>0</v>
      </c>
      <c r="F7" s="147">
        <v>1</v>
      </c>
      <c r="G7" s="147"/>
      <c r="H7" s="49">
        <f>C7*E7</f>
        <v>0</v>
      </c>
      <c r="I7" s="49">
        <f t="shared" si="0"/>
        <v>2768.4584842036097</v>
      </c>
    </row>
    <row r="8" spans="1:10">
      <c r="A8" s="4" t="s">
        <v>55</v>
      </c>
      <c r="B8" s="4">
        <v>1</v>
      </c>
      <c r="C8" s="21">
        <v>42834.170222042085</v>
      </c>
      <c r="D8" s="21"/>
      <c r="E8" s="147">
        <v>0.6</v>
      </c>
      <c r="F8" s="147">
        <v>0.4</v>
      </c>
      <c r="G8" s="147"/>
      <c r="H8" s="49">
        <f t="shared" ref="H8:H13" si="1">C8*E8</f>
        <v>25700.502133225251</v>
      </c>
      <c r="I8" s="49">
        <f t="shared" si="0"/>
        <v>17133.668088816834</v>
      </c>
    </row>
    <row r="9" spans="1:10">
      <c r="A9" s="4" t="s">
        <v>55</v>
      </c>
      <c r="B9" s="4">
        <v>2</v>
      </c>
      <c r="C9" s="21">
        <v>16109.604788578805</v>
      </c>
      <c r="D9" s="21"/>
      <c r="E9" s="147">
        <v>0</v>
      </c>
      <c r="F9" s="147">
        <v>1</v>
      </c>
      <c r="G9" s="147"/>
      <c r="H9" s="49">
        <f t="shared" si="1"/>
        <v>0</v>
      </c>
      <c r="I9" s="49">
        <f t="shared" si="0"/>
        <v>16109.604788578805</v>
      </c>
    </row>
    <row r="10" spans="1:10">
      <c r="A10" s="4" t="s">
        <v>55</v>
      </c>
      <c r="B10" s="4">
        <v>3</v>
      </c>
      <c r="C10" s="21">
        <v>23860.941407958067</v>
      </c>
      <c r="D10" s="21"/>
      <c r="E10" s="147">
        <v>0</v>
      </c>
      <c r="F10" s="147">
        <v>1</v>
      </c>
      <c r="G10" s="147"/>
      <c r="H10" s="49">
        <f t="shared" si="1"/>
        <v>0</v>
      </c>
      <c r="I10" s="49">
        <f t="shared" si="0"/>
        <v>23860.941407958067</v>
      </c>
    </row>
    <row r="11" spans="1:10">
      <c r="A11" s="4" t="s">
        <v>56</v>
      </c>
      <c r="B11" s="4">
        <v>1</v>
      </c>
      <c r="C11" s="21">
        <v>4486.9018414859274</v>
      </c>
      <c r="D11" s="21"/>
      <c r="E11" s="147">
        <v>0.6</v>
      </c>
      <c r="F11" s="147">
        <v>0.4</v>
      </c>
      <c r="G11" s="147"/>
      <c r="H11" s="49">
        <f t="shared" si="1"/>
        <v>2692.1411048915566</v>
      </c>
      <c r="I11" s="49">
        <f t="shared" si="0"/>
        <v>1794.7607365943711</v>
      </c>
    </row>
    <row r="12" spans="1:10">
      <c r="A12" s="4" t="s">
        <v>56</v>
      </c>
      <c r="B12" s="4">
        <v>2</v>
      </c>
      <c r="C12" s="21">
        <v>2306.0551879306672</v>
      </c>
      <c r="D12" s="21"/>
      <c r="E12" s="147">
        <v>0</v>
      </c>
      <c r="F12" s="147">
        <v>1</v>
      </c>
      <c r="G12" s="147"/>
      <c r="H12" s="49">
        <f t="shared" si="1"/>
        <v>0</v>
      </c>
      <c r="I12" s="49">
        <f t="shared" si="0"/>
        <v>2306.0551879306672</v>
      </c>
    </row>
    <row r="13" spans="1:10">
      <c r="A13" s="37" t="s">
        <v>56</v>
      </c>
      <c r="B13" s="37">
        <v>3</v>
      </c>
      <c r="C13" s="30">
        <v>3450.7386400102528</v>
      </c>
      <c r="D13" s="30"/>
      <c r="E13" s="179">
        <v>0</v>
      </c>
      <c r="F13" s="179">
        <v>1</v>
      </c>
      <c r="G13" s="179"/>
      <c r="H13" s="164">
        <f t="shared" si="1"/>
        <v>0</v>
      </c>
      <c r="I13" s="164">
        <f t="shared" si="0"/>
        <v>3450.7386400102528</v>
      </c>
      <c r="J13" s="14"/>
    </row>
    <row r="14" spans="1:10">
      <c r="A14" s="37" t="s">
        <v>207</v>
      </c>
      <c r="B14" s="4">
        <v>1</v>
      </c>
      <c r="C14" s="30">
        <v>1850.2379519440681</v>
      </c>
      <c r="D14" s="30"/>
      <c r="E14" s="147">
        <v>0.6</v>
      </c>
      <c r="F14" s="147">
        <v>0.4</v>
      </c>
      <c r="G14" s="179"/>
      <c r="H14" s="164">
        <f>C14*E14</f>
        <v>1110.1427711664408</v>
      </c>
      <c r="I14" s="164">
        <f>C14*F14</f>
        <v>740.09518077762732</v>
      </c>
      <c r="J14" s="14"/>
    </row>
    <row r="15" spans="1:10">
      <c r="A15" s="37" t="s">
        <v>207</v>
      </c>
      <c r="B15" s="4">
        <v>2</v>
      </c>
      <c r="C15" s="30">
        <v>668.16244913327193</v>
      </c>
      <c r="D15" s="30"/>
      <c r="E15" s="147">
        <v>0</v>
      </c>
      <c r="F15" s="147">
        <v>1</v>
      </c>
      <c r="G15" s="179"/>
      <c r="H15" s="164">
        <f>C15*E15</f>
        <v>0</v>
      </c>
      <c r="I15" s="164">
        <f>C15*F15</f>
        <v>668.16244913327193</v>
      </c>
      <c r="J15" s="14"/>
    </row>
    <row r="16" spans="1:10">
      <c r="A16" s="20" t="s">
        <v>207</v>
      </c>
      <c r="B16" s="20">
        <v>3</v>
      </c>
      <c r="C16" s="150">
        <v>1381.5368124085037</v>
      </c>
      <c r="D16" s="150"/>
      <c r="E16" s="151">
        <v>0</v>
      </c>
      <c r="F16" s="151">
        <v>1</v>
      </c>
      <c r="G16" s="151"/>
      <c r="H16" s="152">
        <f>C16*E16</f>
        <v>0</v>
      </c>
      <c r="I16" s="152">
        <f>C16*F16</f>
        <v>1381.5368124085037</v>
      </c>
      <c r="J16" s="52"/>
    </row>
    <row r="17" spans="1:10">
      <c r="A17" s="4" t="s">
        <v>57</v>
      </c>
      <c r="B17" s="4">
        <v>1</v>
      </c>
      <c r="H17" s="49">
        <f>H5+H8+H11+H14</f>
        <v>54195.072540662928</v>
      </c>
      <c r="I17" s="49">
        <f>I5+I8+I11+I14</f>
        <v>25841.595639033752</v>
      </c>
      <c r="J17" s="153">
        <f>H17/SUM(H17:I17)</f>
        <v>0.6771280435985324</v>
      </c>
    </row>
    <row r="18" spans="1:10">
      <c r="A18" s="4" t="s">
        <v>57</v>
      </c>
      <c r="B18" s="4">
        <v>2</v>
      </c>
      <c r="H18" s="49">
        <f t="shared" ref="H18:I18" si="2">H6+H9+H12+H15</f>
        <v>0</v>
      </c>
      <c r="I18" s="49">
        <f t="shared" si="2"/>
        <v>23297.820701740246</v>
      </c>
      <c r="J18" s="153">
        <f t="shared" ref="J18:J19" si="3">H18/SUM(H18:I18)</f>
        <v>0</v>
      </c>
    </row>
    <row r="19" spans="1:10">
      <c r="A19" s="4" t="s">
        <v>57</v>
      </c>
      <c r="B19" s="4">
        <v>3</v>
      </c>
      <c r="H19" s="49">
        <f t="shared" ref="H19:I19" si="4">H7+H10+H13+H16</f>
        <v>0</v>
      </c>
      <c r="I19" s="49">
        <f t="shared" si="4"/>
        <v>31461.675344580432</v>
      </c>
      <c r="J19" s="153">
        <f t="shared" si="3"/>
        <v>0</v>
      </c>
    </row>
    <row r="22" spans="1:10">
      <c r="B22" s="37"/>
      <c r="C22" s="146"/>
      <c r="D22" s="146"/>
      <c r="E22" s="37"/>
      <c r="F22" s="37"/>
      <c r="G22" s="37"/>
    </row>
    <row r="23" spans="1:10">
      <c r="B23" s="37"/>
      <c r="C23" s="146"/>
      <c r="D23" s="146"/>
      <c r="E23" s="37"/>
      <c r="F23" s="37"/>
      <c r="G23" s="37"/>
    </row>
    <row r="24" spans="1:10">
      <c r="B24" s="37"/>
      <c r="C24" s="146"/>
      <c r="D24" s="146"/>
      <c r="E24" s="37"/>
      <c r="F24" s="37"/>
      <c r="G24" s="37"/>
    </row>
  </sheetData>
  <pageMargins left="0.7" right="0.7" top="0.75" bottom="0.75" header="0.3" footer="0.3"/>
  <pageSetup scale="41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6</vt:i4>
      </vt:variant>
    </vt:vector>
  </HeadingPairs>
  <TitlesOfParts>
    <vt:vector size="13" baseType="lpstr">
      <vt:lpstr>RMM-7R_pg1</vt:lpstr>
      <vt:lpstr>RMM-7R_pg2</vt:lpstr>
      <vt:lpstr>RMM-7R_pg3-4</vt:lpstr>
      <vt:lpstr>RMM-7R_pg5</vt:lpstr>
      <vt:lpstr>Not Exhibits&gt;</vt:lpstr>
      <vt:lpstr>COS</vt:lpstr>
      <vt:lpstr>AreaLightsByClass</vt:lpstr>
      <vt:lpstr>'RMM-7R_pg1'!Print_Area</vt:lpstr>
      <vt:lpstr>'RMM-7R_pg2'!Print_Area</vt:lpstr>
      <vt:lpstr>'RMM-7R_pg3-4'!Print_Area</vt:lpstr>
      <vt:lpstr>'RMM-7R_pg5'!Print_Area</vt:lpstr>
      <vt:lpstr>'RMM-7R_pg1'!Print_Titles</vt:lpstr>
      <vt:lpstr>'RMM-7R_pg3-4'!Print_Titles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2020-11-12T21:35:05Z</dcterms:modified>
</cp:coreProperties>
</file>