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XHIBIT3" sheetId="1" r:id="rId1"/>
  </sheets>
  <definedNames>
    <definedName name="%INCR">'EXHIBIT3'!$B$16:$J$34</definedName>
    <definedName name="%INCR2">'EXHIBIT3'!$B$63:$H$81</definedName>
    <definedName name="COTWO">'EXHIBIT3'!$A$86:$K$139</definedName>
    <definedName name="EXH%">'EXHIBIT3'!$A$1:$K$49</definedName>
    <definedName name="_xlnm.Print_Area" localSheetId="0">'EXHIBIT3'!$A$1:$S$49</definedName>
  </definedNames>
  <calcPr fullCalcOnLoad="1"/>
</workbook>
</file>

<file path=xl/sharedStrings.xml><?xml version="1.0" encoding="utf-8"?>
<sst xmlns="http://schemas.openxmlformats.org/spreadsheetml/2006/main" count="187" uniqueCount="119">
  <si>
    <t>Questar Gas Company</t>
  </si>
  <si>
    <t>Docket No. 02-057-02</t>
  </si>
  <si>
    <t>Settlement Exhibit No. 3</t>
  </si>
  <si>
    <t>Utah Jurisdiction</t>
  </si>
  <si>
    <t>Revenues By Rate Class</t>
  </si>
  <si>
    <t>Ending December 2002 Test Year</t>
  </si>
  <si>
    <t>($000)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</si>
  <si>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</si>
  <si>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</si>
  <si>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</si>
  <si>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</si>
  <si>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</si>
  <si>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</si>
  <si>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</si>
  <si>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</si>
  <si>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</si>
  <si>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</si>
  <si>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</si>
  <si>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</si>
  <si>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</si>
  <si>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Current</t>
  </si>
  <si>
    <t>Revenues</t>
  </si>
  <si>
    <t>% Increase</t>
  </si>
  <si>
    <t>1/3  Way To</t>
  </si>
  <si>
    <t>Cost of</t>
  </si>
  <si>
    <t>Difference</t>
  </si>
  <si>
    <t>Percent</t>
  </si>
  <si>
    <t>To Be</t>
  </si>
  <si>
    <t>Total Revenue</t>
  </si>
  <si>
    <t>W/O  CO2</t>
  </si>
  <si>
    <t>Multiplied</t>
  </si>
  <si>
    <t>with CO2</t>
  </si>
  <si>
    <t>Cost of Service</t>
  </si>
  <si>
    <t>Service</t>
  </si>
  <si>
    <t>Between</t>
  </si>
  <si>
    <t>Change</t>
  </si>
  <si>
    <t>Mitigated</t>
  </si>
  <si>
    <t>Requirement</t>
  </si>
  <si>
    <t xml:space="preserve"> Change</t>
  </si>
  <si>
    <t>CO2</t>
  </si>
  <si>
    <t>(a) - (b)</t>
  </si>
  <si>
    <t>by this %</t>
  </si>
  <si>
    <t>CO2 Costs</t>
  </si>
  <si>
    <t>(b) +(d)</t>
  </si>
  <si>
    <t>With CO2</t>
  </si>
  <si>
    <t>% Incr &amp; COS</t>
  </si>
  <si>
    <t>(a) to (f)</t>
  </si>
  <si>
    <t xml:space="preserve"> Over 200%</t>
  </si>
  <si>
    <t xml:space="preserve"> (a)*(i)</t>
  </si>
  <si>
    <t>Spread</t>
  </si>
  <si>
    <t>(f) + (k)</t>
  </si>
  <si>
    <t>(a) to (d)</t>
  </si>
  <si>
    <t>GS1 &amp; GSS</t>
  </si>
  <si>
    <t>F1</t>
  </si>
  <si>
    <t>F3</t>
  </si>
  <si>
    <t>FT-1 Credit</t>
  </si>
  <si>
    <t>FT-2 COS</t>
  </si>
  <si>
    <t>FTE</t>
  </si>
  <si>
    <t>MT</t>
  </si>
  <si>
    <t>NGV Sales</t>
  </si>
  <si>
    <t>NGV Lease</t>
  </si>
  <si>
    <t>I Sales</t>
  </si>
  <si>
    <t>I Trans.</t>
  </si>
  <si>
    <t>487, 488, IC</t>
  </si>
  <si>
    <t xml:space="preserve">        Total</t>
  </si>
  <si>
    <t>200 % of Overall Increase</t>
  </si>
  <si>
    <t>*</t>
  </si>
  <si>
    <t>For illustrative purposed, this exhibit was developed by using the current</t>
  </si>
  <si>
    <t xml:space="preserve"> Denominator used for mitigation calculation</t>
  </si>
  <si>
    <t>Commission-authorized return on equity for QGC.</t>
  </si>
  <si>
    <t>+ CO2</t>
  </si>
  <si>
    <t>Rate Design</t>
  </si>
  <si>
    <t>Exhibit - 1</t>
  </si>
  <si>
    <t>% Increase  Double Weighted  -  CO2 Allocation</t>
  </si>
  <si>
    <t xml:space="preserve">      Description         </t>
  </si>
  <si>
    <t xml:space="preserve">  GS1  </t>
  </si>
  <si>
    <t xml:space="preserve">  F1  </t>
  </si>
  <si>
    <t xml:space="preserve">  F3  </t>
  </si>
  <si>
    <t xml:space="preserve">  FT-2</t>
  </si>
  <si>
    <t xml:space="preserve"> I Sales </t>
  </si>
  <si>
    <t xml:space="preserve"> I Trans </t>
  </si>
  <si>
    <t xml:space="preserve">  Total  </t>
  </si>
  <si>
    <t>Class revenue using % increase</t>
  </si>
  <si>
    <t xml:space="preserve">       Alloc % (before CO2 allocation)</t>
  </si>
  <si>
    <t xml:space="preserve">        CO2 alloc. - Dbl weighting of FT &amp; IT</t>
  </si>
  <si>
    <t xml:space="preserve">        Reduction due to double weighting</t>
  </si>
  <si>
    <t xml:space="preserve">               </t>
  </si>
  <si>
    <t xml:space="preserve">              </t>
  </si>
  <si>
    <t>CO2 cost alloc.  (after double weighting)</t>
  </si>
  <si>
    <t>Allocation of CO2 processing costs</t>
  </si>
  <si>
    <t>_________________________________</t>
  </si>
  <si>
    <t>line</t>
  </si>
  <si>
    <t>Percent of line 1 by class, to the total.</t>
  </si>
  <si>
    <t>Result of FT-2 and I Trans percents being doubled.</t>
  </si>
  <si>
    <t>Percent reduction being spread back to the remaining classes of the FT-2 and I Trans doubled percents.</t>
  </si>
  <si>
    <t>Line 2, plus line 3, plus line 4.</t>
  </si>
  <si>
    <t>CO2 total costs spread to each rate class based on the percents shown on line 5</t>
  </si>
  <si>
    <t>overview</t>
  </si>
  <si>
    <t>CO2 removal costs are allocated to the various rate classes using the following method:</t>
  </si>
  <si>
    <t xml:space="preserve">(a) </t>
  </si>
  <si>
    <t>Total percent increase for each rate class, exclusive of the $5 million annual CO2 recovery is first determined.</t>
  </si>
  <si>
    <t xml:space="preserve">(b) </t>
  </si>
  <si>
    <t>This in turn derives a percentage allocation for each rate class.</t>
  </si>
  <si>
    <t xml:space="preserve">(c) </t>
  </si>
  <si>
    <t>The percentage weights for I-T &amp; FT-2 are then doubled.</t>
  </si>
  <si>
    <t xml:space="preserve">(d) </t>
  </si>
  <si>
    <t>The cost allocations of the remaining classes are reduced on a pro-rata basis to account for the double-weighting to I-T &amp; FT-2.</t>
  </si>
  <si>
    <t xml:space="preserve">(e) </t>
  </si>
  <si>
    <t>Adding together the results of (b), (c), and (d) above yields the allocation percentages for CO2 costs by rate class.</t>
  </si>
  <si>
    <t xml:space="preserve">(f) </t>
  </si>
  <si>
    <t>Each rate class' % derived from (e) above is then multiplied times the total CO2 ($5 M.) annual cost recovery to derive each class's CO2 cost.</t>
  </si>
  <si>
    <t>Cost of Servicd  Double Weighted  -  CO2 Allocation</t>
  </si>
  <si>
    <t>Class revenue using Cost of Service</t>
  </si>
  <si>
    <t>Assuming  11.0 % ROE  -  $10.1 million *</t>
  </si>
  <si>
    <t>I Trans. **</t>
  </si>
  <si>
    <t>FT-2 **</t>
  </si>
  <si>
    <t>**</t>
  </si>
  <si>
    <t>Does not include CO2 costs to be recovered pursuant to Docket 01-057-14.</t>
  </si>
  <si>
    <t>H:\state\Utah\Generals\0205702\exhibits\Exhibit3.xls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</si>
</sst>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000"/>
    <numFmt numFmtId="166" formatCode="0.0"/>
    <numFmt numFmtId="167" formatCode="#,##0.00000_);\(#,##0.00000\)"/>
    <numFmt numFmtId="168" formatCode="&quot;$&quot;#,##0.0_);\(&quot;$&quot;#,##0.0\)"/>
    <numFmt numFmtId="169" formatCode="&quot;$&quot;#,##0.000_);\(&quot;$&quot;#,##0.000\)"/>
    <numFmt numFmtId="170" formatCode="0.0000%"/>
    <numFmt numFmtId="171" formatCode="#,##0.0"/>
  </numFmts>
  <fonts count="16">
    <font>
      <sz val="12"/>
      <name val="Arial"/>
      <family val="0"/>
    </font>
    <font>
      <sz val="13"/>
      <color indexed="8"/>
      <name val="Arial"/>
      <family val="0"/>
    </font>
    <font>
      <u val="single"/>
      <sz val="13"/>
      <color indexed="8"/>
      <name val="Arial"/>
      <family val="0"/>
    </font>
    <font>
      <sz val="18"/>
      <color indexed="8"/>
      <name val="Arial"/>
      <family val="0"/>
    </font>
    <font>
      <b/>
      <u val="single"/>
      <sz val="13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b/>
      <sz val="13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u val="single"/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u val="single"/>
      <sz val="14"/>
      <color indexed="8"/>
      <name val="Arial"/>
      <family val="0"/>
    </font>
    <font>
      <b/>
      <u val="single"/>
      <sz val="14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3">
    <xf numFmtId="0" fontId="0" fillId="2" borderId="0" xfId="0" applyNumberFormat="1" applyAlignment="1">
      <alignment/>
    </xf>
    <xf numFmtId="10" fontId="0" fillId="2" borderId="0" xfId="0" applyNumberFormat="1" applyAlignment="1">
      <alignment/>
    </xf>
    <xf numFmtId="0" fontId="0" fillId="2" borderId="0" xfId="0" applyNumberFormat="1" applyAlignment="1">
      <alignment horizontal="center"/>
    </xf>
    <xf numFmtId="0" fontId="1" fillId="2" borderId="0" xfId="0" applyNumberFormat="1" applyFont="1" applyAlignment="1">
      <alignment horizontal="centerContinuous"/>
    </xf>
    <xf numFmtId="164" fontId="2" fillId="2" borderId="0" xfId="0" applyNumberFormat="1" applyFont="1" applyAlignment="1">
      <alignment/>
    </xf>
    <xf numFmtId="0" fontId="3" fillId="2" borderId="0" xfId="0" applyNumberFormat="1" applyFont="1" applyAlignment="1">
      <alignment horizontal="centerContinuous"/>
    </xf>
    <xf numFmtId="165" fontId="1" fillId="2" borderId="0" xfId="0" applyNumberFormat="1" applyFont="1" applyAlignment="1">
      <alignment/>
    </xf>
    <xf numFmtId="164" fontId="1" fillId="2" borderId="0" xfId="0" applyNumberFormat="1" applyFont="1" applyAlignment="1">
      <alignment/>
    </xf>
    <xf numFmtId="166" fontId="1" fillId="2" borderId="0" xfId="0" applyNumberFormat="1" applyFont="1" applyAlignment="1">
      <alignment/>
    </xf>
    <xf numFmtId="165" fontId="1" fillId="2" borderId="0" xfId="0" applyNumberFormat="1" applyFont="1" applyAlignment="1">
      <alignment/>
    </xf>
    <xf numFmtId="10" fontId="1" fillId="2" borderId="0" xfId="0" applyNumberFormat="1" applyFont="1" applyAlignment="1">
      <alignment/>
    </xf>
    <xf numFmtId="37" fontId="1" fillId="2" borderId="0" xfId="0" applyNumberFormat="1" applyFont="1" applyAlignment="1">
      <alignment/>
    </xf>
    <xf numFmtId="164" fontId="1" fillId="2" borderId="0" xfId="0" applyNumberFormat="1" applyFont="1" applyAlignment="1">
      <alignment/>
    </xf>
    <xf numFmtId="39" fontId="1" fillId="2" borderId="0" xfId="0" applyNumberFormat="1" applyFont="1" applyAlignment="1">
      <alignment/>
    </xf>
    <xf numFmtId="167" fontId="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164" fontId="1" fillId="2" borderId="0" xfId="0" applyNumberFormat="1" applyFont="1" applyAlignment="1">
      <alignment horizontal="right"/>
    </xf>
    <xf numFmtId="0" fontId="1" fillId="2" borderId="0" xfId="0" applyNumberFormat="1" applyFont="1" applyAlignment="1">
      <alignment horizontal="right"/>
    </xf>
    <xf numFmtId="168" fontId="1" fillId="2" borderId="0" xfId="0" applyNumberFormat="1" applyFont="1" applyAlignment="1">
      <alignment/>
    </xf>
    <xf numFmtId="5" fontId="1" fillId="2" borderId="0" xfId="0" applyNumberFormat="1" applyFont="1" applyAlignment="1">
      <alignment/>
    </xf>
    <xf numFmtId="168" fontId="1" fillId="2" borderId="0" xfId="0" applyNumberFormat="1" applyFont="1" applyAlignment="1">
      <alignment/>
    </xf>
    <xf numFmtId="0" fontId="4" fillId="2" borderId="0" xfId="0" applyNumberFormat="1" applyFont="1" applyAlignment="1">
      <alignment horizontal="center"/>
    </xf>
    <xf numFmtId="0" fontId="6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center"/>
    </xf>
    <xf numFmtId="5" fontId="8" fillId="2" borderId="0" xfId="0" applyNumberFormat="1" applyFont="1" applyAlignment="1">
      <alignment horizontal="centerContinuous"/>
    </xf>
    <xf numFmtId="0" fontId="9" fillId="2" borderId="0" xfId="0" applyNumberFormat="1" applyFont="1" applyAlignment="1">
      <alignment horizontal="centerContinuous"/>
    </xf>
    <xf numFmtId="168" fontId="7" fillId="2" borderId="0" xfId="0" applyNumberFormat="1" applyFont="1" applyAlignment="1">
      <alignment/>
    </xf>
    <xf numFmtId="0" fontId="10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center"/>
    </xf>
    <xf numFmtId="168" fontId="4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9" fillId="2" borderId="0" xfId="0" applyNumberFormat="1" applyFont="1" applyAlignment="1">
      <alignment horizontal="center"/>
    </xf>
    <xf numFmtId="0" fontId="11" fillId="2" borderId="0" xfId="0" applyNumberFormat="1" applyFont="1" applyAlignment="1">
      <alignment/>
    </xf>
    <xf numFmtId="0" fontId="12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centerContinuous"/>
    </xf>
    <xf numFmtId="168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169" fontId="1" fillId="2" borderId="0" xfId="0" applyNumberFormat="1" applyFont="1" applyFill="1" applyAlignment="1">
      <alignment/>
    </xf>
    <xf numFmtId="0" fontId="1" fillId="2" borderId="0" xfId="0" applyNumberFormat="1" applyFont="1" applyAlignment="1">
      <alignment horizontal="right"/>
    </xf>
    <xf numFmtId="168" fontId="2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168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1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center"/>
    </xf>
    <xf numFmtId="168" fontId="4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10" fontId="1" fillId="2" borderId="0" xfId="0" applyNumberFormat="1" applyFont="1" applyFill="1" applyAlignment="1">
      <alignment horizontal="center"/>
    </xf>
    <xf numFmtId="0" fontId="3" fillId="2" borderId="0" xfId="0" applyNumberFormat="1" applyFont="1" applyAlignment="1">
      <alignment horizontal="right"/>
    </xf>
    <xf numFmtId="164" fontId="1" fillId="2" borderId="0" xfId="0" applyNumberFormat="1" applyFont="1" applyAlignment="1">
      <alignment horizontal="right"/>
    </xf>
    <xf numFmtId="168" fontId="7" fillId="2" borderId="0" xfId="0" applyNumberFormat="1" applyFont="1" applyAlignment="1">
      <alignment/>
    </xf>
    <xf numFmtId="0" fontId="13" fillId="2" borderId="0" xfId="0" applyNumberFormat="1" applyFont="1" applyAlignment="1">
      <alignment horizontal="right"/>
    </xf>
    <xf numFmtId="170" fontId="13" fillId="2" borderId="0" xfId="0" applyNumberFormat="1" applyFont="1" applyAlignment="1">
      <alignment/>
    </xf>
    <xf numFmtId="39" fontId="13" fillId="2" borderId="0" xfId="0" applyNumberFormat="1" applyFont="1" applyAlignment="1">
      <alignment/>
    </xf>
    <xf numFmtId="0" fontId="13" fillId="2" borderId="0" xfId="0" applyNumberFormat="1" applyFont="1" applyAlignment="1">
      <alignment/>
    </xf>
    <xf numFmtId="0" fontId="8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left"/>
    </xf>
    <xf numFmtId="5" fontId="13" fillId="2" borderId="0" xfId="0" applyNumberFormat="1" applyFont="1" applyAlignment="1">
      <alignment/>
    </xf>
    <xf numFmtId="5" fontId="13" fillId="2" borderId="0" xfId="0" applyNumberFormat="1" applyFont="1" applyAlignment="1">
      <alignment/>
    </xf>
    <xf numFmtId="0" fontId="13" fillId="2" borderId="0" xfId="0" applyNumberFormat="1" applyFont="1" applyAlignment="1">
      <alignment horizontal="left"/>
    </xf>
    <xf numFmtId="170" fontId="14" fillId="2" borderId="0" xfId="0" applyNumberFormat="1" applyFont="1" applyAlignment="1">
      <alignment/>
    </xf>
    <xf numFmtId="0" fontId="14" fillId="2" borderId="0" xfId="0" applyNumberFormat="1" applyFont="1" applyAlignment="1">
      <alignment/>
    </xf>
    <xf numFmtId="0" fontId="15" fillId="2" borderId="0" xfId="0" applyNumberFormat="1" applyFont="1" applyAlignment="1">
      <alignment/>
    </xf>
    <xf numFmtId="0" fontId="15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Continuous"/>
    </xf>
    <xf numFmtId="0" fontId="1" fillId="2" borderId="0" xfId="0" applyNumberFormat="1" applyFont="1" applyAlignment="1">
      <alignment horizontal="right"/>
    </xf>
    <xf numFmtId="10" fontId="7" fillId="2" borderId="0" xfId="0" applyNumberFormat="1" applyFont="1" applyAlignment="1">
      <alignment/>
    </xf>
    <xf numFmtId="0" fontId="3" fillId="2" borderId="0" xfId="0" applyNumberFormat="1" applyFont="1" applyAlignment="1">
      <alignment horizontal="centerContinuous"/>
    </xf>
    <xf numFmtId="0" fontId="9" fillId="2" borderId="0" xfId="0" applyNumberFormat="1" applyFont="1" applyAlignment="1">
      <alignment horizontal="centerContinuous"/>
    </xf>
    <xf numFmtId="0" fontId="12" fillId="2" borderId="0" xfId="0" applyNumberFormat="1" applyFont="1" applyAlignment="1">
      <alignment horizontal="centerContinuous"/>
    </xf>
    <xf numFmtId="0" fontId="7" fillId="2" borderId="0" xfId="0" applyNumberFormat="1" applyFont="1" applyAlignment="1">
      <alignment horizontal="centerContinuous"/>
    </xf>
    <xf numFmtId="0" fontId="7" fillId="2" borderId="0" xfId="0" applyNumberFormat="1" applyFont="1" applyAlignment="1">
      <alignment horizontal="right"/>
    </xf>
    <xf numFmtId="170" fontId="14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171" fontId="1" fillId="2" borderId="0" xfId="0" applyNumberFormat="1" applyFont="1" applyAlignment="1">
      <alignment/>
    </xf>
    <xf numFmtId="171" fontId="2" fillId="2" borderId="0" xfId="0" applyNumberFormat="1" applyFont="1" applyAlignment="1">
      <alignment/>
    </xf>
    <xf numFmtId="49" fontId="1" fillId="2" borderId="0" xfId="0" applyNumberFormat="1" applyFont="1" applyAlignment="1">
      <alignment horizontal="right"/>
    </xf>
    <xf numFmtId="49" fontId="1" fillId="2" borderId="0" xfId="0" applyNumberFormat="1" applyFont="1" applyAlignment="1">
      <alignment horizontal="right"/>
    </xf>
    <xf numFmtId="49" fontId="0" fillId="2" borderId="0" xfId="0" applyNumberFormat="1" applyAlignment="1">
      <alignment horizontal="right"/>
    </xf>
    <xf numFmtId="49" fontId="1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4"/>
  <sheetViews>
    <sheetView tabSelected="1" showOutlineSymbols="0" zoomScale="87" zoomScaleNormal="87" workbookViewId="0" topLeftCell="J1">
      <selection activeCell="R31" sqref="R31"/>
    </sheetView>
  </sheetViews>
  <sheetFormatPr defaultColWidth="8.6640625" defaultRowHeight="15"/>
  <cols>
    <col min="1" max="1" width="5.6640625" style="0" customWidth="1"/>
    <col min="2" max="2" width="12.6640625" style="0" customWidth="1"/>
    <col min="3" max="3" width="13.6640625" style="0" customWidth="1"/>
    <col min="4" max="4" width="12.6640625" style="0" customWidth="1"/>
    <col min="5" max="5" width="13.6640625" style="0" customWidth="1"/>
    <col min="6" max="6" width="10.6640625" style="0" hidden="1" customWidth="1"/>
    <col min="7" max="7" width="12.6640625" style="0" customWidth="1"/>
    <col min="8" max="8" width="14.6640625" style="0" hidden="1" customWidth="1"/>
    <col min="9" max="10" width="13.6640625" style="0" customWidth="1"/>
    <col min="11" max="11" width="14.6640625" style="0" customWidth="1"/>
    <col min="12" max="13" width="13.6640625" style="0" hidden="1" customWidth="1"/>
    <col min="14" max="14" width="12.6640625" style="0" customWidth="1"/>
    <col min="15" max="17" width="11.6640625" style="0" customWidth="1"/>
    <col min="18" max="19" width="12.6640625" style="0" customWidth="1"/>
    <col min="20" max="20" width="13.6640625" style="0" customWidth="1"/>
    <col min="21" max="16384" width="11.4453125" style="0" customWidth="1"/>
  </cols>
  <sheetData>
    <row r="1" spans="2:19" ht="16.5">
      <c r="B1" s="79"/>
      <c r="C1" s="79"/>
      <c r="D1" s="80"/>
      <c r="E1" s="80"/>
      <c r="F1" s="79"/>
      <c r="G1" s="79"/>
      <c r="H1" s="79"/>
      <c r="I1" s="79"/>
      <c r="J1" s="79"/>
      <c r="K1" s="79"/>
      <c r="L1" s="80"/>
      <c r="M1" s="80"/>
      <c r="N1" s="80"/>
      <c r="O1" s="80"/>
      <c r="P1" s="80"/>
      <c r="Q1" s="80"/>
      <c r="R1" s="80"/>
      <c r="S1" s="78" t="s">
        <v>0</v>
      </c>
    </row>
    <row r="2" spans="2:19" ht="16.5">
      <c r="B2" s="79"/>
      <c r="C2" s="79"/>
      <c r="D2" s="80"/>
      <c r="E2" s="80"/>
      <c r="F2" s="79"/>
      <c r="G2" s="79"/>
      <c r="H2" s="79"/>
      <c r="I2" s="79"/>
      <c r="J2" s="79"/>
      <c r="K2" s="81"/>
      <c r="L2" s="80"/>
      <c r="M2" s="80"/>
      <c r="N2" s="80"/>
      <c r="O2" s="80"/>
      <c r="P2" s="80"/>
      <c r="Q2" s="80"/>
      <c r="R2" s="80"/>
      <c r="S2" s="78" t="s">
        <v>1</v>
      </c>
    </row>
    <row r="3" spans="1:19" ht="16.5">
      <c r="A3" s="41"/>
      <c r="B3" s="41"/>
      <c r="C3" s="43"/>
      <c r="D3" s="43"/>
      <c r="E3" s="43"/>
      <c r="F3" s="41"/>
      <c r="G3" s="41"/>
      <c r="H3" s="41"/>
      <c r="I3" s="41"/>
      <c r="J3" s="41"/>
      <c r="K3" s="41"/>
      <c r="L3" s="43"/>
      <c r="M3" s="43"/>
      <c r="N3" s="43"/>
      <c r="O3" s="43"/>
      <c r="S3" s="47" t="s">
        <v>2</v>
      </c>
    </row>
    <row r="4" spans="1:11" ht="16.5">
      <c r="A4" s="15"/>
      <c r="B4" s="15"/>
      <c r="C4" s="15"/>
      <c r="F4" s="15"/>
      <c r="G4" s="15"/>
      <c r="H4" s="15"/>
      <c r="I4" s="15"/>
      <c r="J4" s="15"/>
      <c r="K4" s="15"/>
    </row>
    <row r="5" spans="1:13" ht="16.5">
      <c r="A5" s="35"/>
      <c r="F5" s="34"/>
      <c r="H5" s="34"/>
      <c r="I5" s="34"/>
      <c r="J5" s="34"/>
      <c r="K5" s="2"/>
      <c r="L5" s="2"/>
      <c r="M5" s="17"/>
    </row>
    <row r="6" spans="1:19" ht="23.25">
      <c r="A6" s="69" t="s">
        <v>3</v>
      </c>
      <c r="B6" s="66"/>
      <c r="C6" s="66"/>
      <c r="D6" s="66"/>
      <c r="E6" s="66"/>
      <c r="F6" s="66"/>
      <c r="G6" s="66"/>
      <c r="H6" s="3"/>
      <c r="I6" s="3"/>
      <c r="J6" s="3"/>
      <c r="K6" s="3"/>
      <c r="L6" s="66"/>
      <c r="M6" s="3"/>
      <c r="N6" s="66"/>
      <c r="O6" s="66"/>
      <c r="P6" s="66"/>
      <c r="Q6" s="66"/>
      <c r="R6" s="66"/>
      <c r="S6" s="66"/>
    </row>
    <row r="7" spans="1:19" ht="23.25">
      <c r="A7" s="69" t="s">
        <v>4</v>
      </c>
      <c r="B7" s="70"/>
      <c r="C7" s="66"/>
      <c r="D7" s="66"/>
      <c r="E7" s="66"/>
      <c r="F7" s="70"/>
      <c r="G7" s="70"/>
      <c r="H7" s="70"/>
      <c r="I7" s="70"/>
      <c r="J7" s="70"/>
      <c r="K7" s="70"/>
      <c r="L7" s="70"/>
      <c r="M7" s="3"/>
      <c r="N7" s="66"/>
      <c r="O7" s="66"/>
      <c r="P7" s="66"/>
      <c r="Q7" s="66"/>
      <c r="R7" s="66"/>
      <c r="S7" s="66"/>
    </row>
    <row r="8" spans="1:19" ht="23.25">
      <c r="A8" s="69" t="s">
        <v>5</v>
      </c>
      <c r="B8" s="70"/>
      <c r="C8" s="66"/>
      <c r="D8" s="66"/>
      <c r="E8" s="66"/>
      <c r="F8" s="70"/>
      <c r="G8" s="70"/>
      <c r="H8" s="70"/>
      <c r="I8" s="70"/>
      <c r="J8" s="70"/>
      <c r="K8" s="70"/>
      <c r="L8" s="70"/>
      <c r="M8" s="3"/>
      <c r="N8" s="66"/>
      <c r="O8" s="66"/>
      <c r="P8" s="66"/>
      <c r="Q8" s="66"/>
      <c r="R8" s="66"/>
      <c r="S8" s="66"/>
    </row>
    <row r="9" spans="1:19" ht="23.25">
      <c r="A9" s="69" t="s">
        <v>113</v>
      </c>
      <c r="B9" s="70"/>
      <c r="C9" s="66"/>
      <c r="D9" s="66"/>
      <c r="E9" s="66"/>
      <c r="F9" s="70"/>
      <c r="G9" s="70"/>
      <c r="H9" s="70"/>
      <c r="I9" s="70"/>
      <c r="J9" s="70"/>
      <c r="K9" s="70"/>
      <c r="L9" s="70"/>
      <c r="M9" s="3"/>
      <c r="N9" s="66"/>
      <c r="O9" s="66"/>
      <c r="P9" s="66"/>
      <c r="Q9" s="66"/>
      <c r="R9" s="66"/>
      <c r="S9" s="66"/>
    </row>
    <row r="10" spans="1:19" ht="16.5" customHeight="1">
      <c r="A10" s="24" t="s">
        <v>6</v>
      </c>
      <c r="B10" s="71"/>
      <c r="C10" s="70"/>
      <c r="D10" s="71"/>
      <c r="E10" s="71"/>
      <c r="F10" s="70"/>
      <c r="G10" s="72"/>
      <c r="H10" s="72"/>
      <c r="I10" s="71"/>
      <c r="J10" s="70"/>
      <c r="K10" s="70"/>
      <c r="L10" s="70"/>
      <c r="M10" s="72"/>
      <c r="N10" s="71"/>
      <c r="O10" s="71"/>
      <c r="P10" s="71"/>
      <c r="Q10" s="66"/>
      <c r="R10" s="66"/>
      <c r="S10" s="66"/>
    </row>
    <row r="11" spans="1:13" ht="23.25">
      <c r="A11" s="25"/>
      <c r="B11" s="25"/>
      <c r="C11" s="25"/>
      <c r="F11" s="25"/>
      <c r="G11" s="25"/>
      <c r="H11" s="25"/>
      <c r="I11" s="25"/>
      <c r="J11" s="25"/>
      <c r="L11" s="25"/>
      <c r="M11" s="15"/>
    </row>
    <row r="12" spans="1:21" ht="16.5">
      <c r="A12" s="15"/>
      <c r="B12" s="15"/>
      <c r="C12" s="44" t="s">
        <v>7</v>
      </c>
      <c r="D12" s="44" t="s">
        <v>8</v>
      </c>
      <c r="E12" s="44" t="s">
        <v>9</v>
      </c>
      <c r="F12" s="44"/>
      <c r="G12" s="44" t="s">
        <v>10</v>
      </c>
      <c r="H12" s="44" t="s">
        <v>8</v>
      </c>
      <c r="I12" s="44" t="s">
        <v>11</v>
      </c>
      <c r="J12" s="44" t="s">
        <v>12</v>
      </c>
      <c r="K12" s="44" t="s">
        <v>13</v>
      </c>
      <c r="L12" s="44" t="s">
        <v>13</v>
      </c>
      <c r="M12" s="44" t="s">
        <v>14</v>
      </c>
      <c r="N12" s="44" t="s">
        <v>14</v>
      </c>
      <c r="O12" s="44" t="s">
        <v>15</v>
      </c>
      <c r="P12" s="44" t="s">
        <v>16</v>
      </c>
      <c r="Q12" s="44" t="s">
        <v>17</v>
      </c>
      <c r="R12" s="44" t="s">
        <v>18</v>
      </c>
      <c r="S12" s="44" t="s">
        <v>19</v>
      </c>
      <c r="T12" s="28"/>
      <c r="U12" s="28"/>
    </row>
    <row r="13" spans="1:20" ht="16.5">
      <c r="A13" s="15"/>
      <c r="B13" s="15"/>
      <c r="C13" s="44"/>
      <c r="D13" s="15"/>
      <c r="E13" s="15"/>
      <c r="F13" s="44"/>
      <c r="G13" s="44"/>
      <c r="H13" s="44"/>
      <c r="I13" s="44"/>
      <c r="J13" s="44"/>
      <c r="K13" s="44"/>
      <c r="L13" s="44"/>
      <c r="M13" s="44"/>
      <c r="N13" s="15"/>
      <c r="O13" s="15"/>
      <c r="P13" s="15"/>
      <c r="Q13" s="34"/>
      <c r="R13" s="15"/>
      <c r="S13" s="34"/>
      <c r="T13" s="2"/>
    </row>
    <row r="14" spans="1:20" ht="16.5">
      <c r="A14" s="15"/>
      <c r="B14" s="15"/>
      <c r="C14" s="44"/>
      <c r="D14" s="15"/>
      <c r="E14" s="15"/>
      <c r="F14" s="44"/>
      <c r="G14" s="44"/>
      <c r="H14" s="44"/>
      <c r="I14" s="44"/>
      <c r="J14" s="44"/>
      <c r="K14" s="44"/>
      <c r="L14" s="44"/>
      <c r="M14" s="44"/>
      <c r="N14" s="15"/>
      <c r="O14" s="15"/>
      <c r="P14" s="15"/>
      <c r="Q14" s="15"/>
      <c r="R14" s="15"/>
      <c r="S14" s="15"/>
      <c r="T14" s="2"/>
    </row>
    <row r="15" spans="1:20" ht="16.5">
      <c r="A15" s="15"/>
      <c r="B15" s="15"/>
      <c r="C15" s="44"/>
      <c r="D15" s="15"/>
      <c r="E15" s="44" t="s">
        <v>20</v>
      </c>
      <c r="F15" s="44"/>
      <c r="G15" s="44"/>
      <c r="H15" s="44"/>
      <c r="I15" s="44"/>
      <c r="J15" s="44"/>
      <c r="K15" s="44"/>
      <c r="L15" s="44"/>
      <c r="M15" s="44"/>
      <c r="N15" s="15"/>
      <c r="O15" s="15"/>
      <c r="P15" s="15"/>
      <c r="Q15" s="34"/>
      <c r="R15" s="15"/>
      <c r="S15" s="15"/>
      <c r="T15" s="2"/>
    </row>
    <row r="16" spans="1:21" ht="16.5">
      <c r="A16" s="15"/>
      <c r="B16" s="15"/>
      <c r="C16" s="15"/>
      <c r="D16" s="15"/>
      <c r="E16" s="44" t="s">
        <v>21</v>
      </c>
      <c r="F16" s="15"/>
      <c r="G16" s="15"/>
      <c r="H16" s="15"/>
      <c r="I16" s="44" t="s">
        <v>22</v>
      </c>
      <c r="J16" s="34" t="s">
        <v>23</v>
      </c>
      <c r="K16" s="44" t="s">
        <v>24</v>
      </c>
      <c r="L16" s="44" t="s">
        <v>25</v>
      </c>
      <c r="M16" s="44" t="s">
        <v>25</v>
      </c>
      <c r="N16" s="34" t="s">
        <v>26</v>
      </c>
      <c r="O16" s="15"/>
      <c r="P16" s="34" t="s">
        <v>27</v>
      </c>
      <c r="Q16" s="34"/>
      <c r="R16" s="34" t="s">
        <v>28</v>
      </c>
      <c r="S16" s="34" t="s">
        <v>26</v>
      </c>
      <c r="T16" s="2"/>
      <c r="U16" s="2"/>
    </row>
    <row r="17" spans="1:21" ht="16.5">
      <c r="A17" s="15"/>
      <c r="B17" s="15"/>
      <c r="C17" s="44" t="s">
        <v>20</v>
      </c>
      <c r="D17" s="44"/>
      <c r="E17" s="44" t="s">
        <v>29</v>
      </c>
      <c r="F17" s="44" t="s">
        <v>30</v>
      </c>
      <c r="G17" s="44" t="s">
        <v>22</v>
      </c>
      <c r="H17" s="44"/>
      <c r="I17" s="44" t="s">
        <v>31</v>
      </c>
      <c r="J17" s="34" t="s">
        <v>32</v>
      </c>
      <c r="K17" s="44" t="s">
        <v>33</v>
      </c>
      <c r="L17" s="44" t="s">
        <v>34</v>
      </c>
      <c r="M17" s="44" t="s">
        <v>34</v>
      </c>
      <c r="N17" s="48" t="s">
        <v>35</v>
      </c>
      <c r="O17" s="34" t="s">
        <v>26</v>
      </c>
      <c r="P17" s="34" t="s">
        <v>36</v>
      </c>
      <c r="Q17" s="34" t="s">
        <v>36</v>
      </c>
      <c r="R17" s="34" t="s">
        <v>37</v>
      </c>
      <c r="S17" s="34" t="s">
        <v>38</v>
      </c>
      <c r="T17" s="2"/>
      <c r="U17" s="2"/>
    </row>
    <row r="18" spans="1:21" ht="16.5">
      <c r="A18" s="15"/>
      <c r="B18" s="15"/>
      <c r="C18" s="45" t="s">
        <v>21</v>
      </c>
      <c r="D18" s="45" t="s">
        <v>42</v>
      </c>
      <c r="E18" s="45" t="s">
        <v>40</v>
      </c>
      <c r="F18" s="45" t="s">
        <v>41</v>
      </c>
      <c r="G18" s="45" t="s">
        <v>21</v>
      </c>
      <c r="H18" s="45" t="s">
        <v>42</v>
      </c>
      <c r="I18" s="45" t="s">
        <v>43</v>
      </c>
      <c r="J18" s="45" t="s">
        <v>31</v>
      </c>
      <c r="K18" s="45" t="s">
        <v>44</v>
      </c>
      <c r="L18" s="65" t="s">
        <v>45</v>
      </c>
      <c r="M18" s="65" t="str">
        <f>"col "&amp;+J12&amp;" &amp; col "&amp;+K12</f>
        <v>col (f) &amp; col (g)</v>
      </c>
      <c r="N18" s="65" t="s">
        <v>46</v>
      </c>
      <c r="O18" s="65" t="s">
        <v>47</v>
      </c>
      <c r="P18" s="65" t="s">
        <v>48</v>
      </c>
      <c r="Q18" s="65" t="s">
        <v>49</v>
      </c>
      <c r="R18" s="65" t="s">
        <v>50</v>
      </c>
      <c r="S18" s="65" t="s">
        <v>51</v>
      </c>
      <c r="T18" s="22"/>
      <c r="U18" s="22"/>
    </row>
    <row r="19" spans="1:19" ht="16.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21" ht="16.5">
      <c r="A20" s="44">
        <v>1</v>
      </c>
      <c r="B20" s="15" t="s">
        <v>52</v>
      </c>
      <c r="C20" s="76">
        <v>199106.275</v>
      </c>
      <c r="D20" s="18">
        <v>4656.41420530075</v>
      </c>
      <c r="E20" s="20">
        <f aca="true" t="shared" si="0" ref="E20:E31">C20-D20</f>
        <v>194449.86079469926</v>
      </c>
      <c r="F20" s="9">
        <v>1.0707609654911512</v>
      </c>
      <c r="G20" s="20">
        <f aca="true" t="shared" si="1" ref="G20:G30">E20*F20</f>
        <v>208209.32068415213</v>
      </c>
      <c r="H20" s="20">
        <f>E115/1000</f>
        <v>4656.413527212998</v>
      </c>
      <c r="I20" s="20">
        <f aca="true" t="shared" si="2" ref="I20:I31">G20+H20</f>
        <v>212865.73421136514</v>
      </c>
      <c r="J20" s="20">
        <f aca="true" t="shared" si="3" ref="J20:J31">I20-(+I20-K20)/3</f>
        <v>212630.9804861983</v>
      </c>
      <c r="K20" s="20">
        <v>212161.4730358646</v>
      </c>
      <c r="L20" s="20">
        <f aca="true" t="shared" si="4" ref="L20:L31">-I20+K20</f>
        <v>-704.2611755005491</v>
      </c>
      <c r="M20" s="12">
        <f aca="true" t="shared" si="5" ref="M20:M31">K20-J20</f>
        <v>-469.50745033370913</v>
      </c>
      <c r="N20" s="10">
        <f aca="true" t="shared" si="6" ref="N20:N30">(J20-C20)/C20</f>
        <v>0.06792706802534629</v>
      </c>
      <c r="O20" s="10">
        <v>0</v>
      </c>
      <c r="P20" s="20">
        <f aca="true" t="shared" si="7" ref="P20:P30">C20*O20</f>
        <v>0</v>
      </c>
      <c r="Q20" s="20">
        <f aca="true" t="shared" si="8" ref="Q20:Q30">IF(P20=0,+P$34*(J20/T$39),-P20)</f>
        <v>208.36588198235174</v>
      </c>
      <c r="R20" s="20">
        <f aca="true" t="shared" si="9" ref="R20:R31">Q20+J20</f>
        <v>212839.34636818065</v>
      </c>
      <c r="S20" s="10">
        <f aca="true" t="shared" si="10" ref="S20:S30">(+R20-$C20)/$C20</f>
        <v>0.06897357387747148</v>
      </c>
      <c r="T20" s="42"/>
      <c r="U20" s="1"/>
    </row>
    <row r="21" spans="1:21" ht="16.5">
      <c r="A21" s="44">
        <f aca="true" t="shared" si="11" ref="A21:A31">A20+1</f>
        <v>2</v>
      </c>
      <c r="B21" s="15" t="s">
        <v>53</v>
      </c>
      <c r="C21" s="76">
        <v>3088.03</v>
      </c>
      <c r="D21" s="7">
        <v>72.21841712405487</v>
      </c>
      <c r="E21" s="20">
        <f t="shared" si="0"/>
        <v>3015.8115828759455</v>
      </c>
      <c r="F21" s="9">
        <f aca="true" t="shared" si="12" ref="F21:F30">$F$20</f>
        <v>1.0707609654911512</v>
      </c>
      <c r="G21" s="20">
        <f t="shared" si="1"/>
        <v>3229.2133222196444</v>
      </c>
      <c r="H21" s="12">
        <f>F115/1000</f>
        <v>72.2184412610904</v>
      </c>
      <c r="I21" s="20">
        <f t="shared" si="2"/>
        <v>3301.431763480735</v>
      </c>
      <c r="J21" s="20">
        <f t="shared" si="3"/>
        <v>3182.8536622465567</v>
      </c>
      <c r="K21" s="12">
        <v>2945.6974597782</v>
      </c>
      <c r="L21" s="20">
        <f t="shared" si="4"/>
        <v>-355.7343037025348</v>
      </c>
      <c r="M21" s="12">
        <f t="shared" si="5"/>
        <v>-237.1562024683567</v>
      </c>
      <c r="N21" s="10">
        <f t="shared" si="6"/>
        <v>0.030706846192088976</v>
      </c>
      <c r="O21" s="10">
        <v>0</v>
      </c>
      <c r="P21" s="20">
        <f t="shared" si="7"/>
        <v>0</v>
      </c>
      <c r="Q21" s="20">
        <f t="shared" si="8"/>
        <v>3.1190097935790204</v>
      </c>
      <c r="R21" s="20">
        <f t="shared" si="9"/>
        <v>3185.972672040136</v>
      </c>
      <c r="S21" s="10">
        <f t="shared" si="10"/>
        <v>0.031716878411199266</v>
      </c>
      <c r="T21" s="42"/>
      <c r="U21" s="1"/>
    </row>
    <row r="22" spans="1:21" ht="16.5">
      <c r="A22" s="44">
        <f t="shared" si="11"/>
        <v>3</v>
      </c>
      <c r="B22" s="15" t="s">
        <v>54</v>
      </c>
      <c r="C22" s="76">
        <v>167.052</v>
      </c>
      <c r="D22" s="7">
        <v>3.906753326394484</v>
      </c>
      <c r="E22" s="20">
        <f t="shared" si="0"/>
        <v>163.1452466736055</v>
      </c>
      <c r="F22" s="9">
        <f t="shared" si="12"/>
        <v>1.0707609654911512</v>
      </c>
      <c r="G22" s="20">
        <f t="shared" si="1"/>
        <v>174.68956184352186</v>
      </c>
      <c r="H22" s="12">
        <f>G115/1000</f>
        <v>3.906774375701619</v>
      </c>
      <c r="I22" s="20">
        <f t="shared" si="2"/>
        <v>178.59633621922347</v>
      </c>
      <c r="J22" s="20">
        <f t="shared" si="3"/>
        <v>164.85243054169402</v>
      </c>
      <c r="K22" s="12">
        <v>137.36461918663514</v>
      </c>
      <c r="L22" s="20">
        <f t="shared" si="4"/>
        <v>-41.231717032588335</v>
      </c>
      <c r="M22" s="12">
        <f t="shared" si="5"/>
        <v>-27.48781135505888</v>
      </c>
      <c r="N22" s="10">
        <f t="shared" si="6"/>
        <v>-0.013166974704319453</v>
      </c>
      <c r="O22" s="10">
        <v>0</v>
      </c>
      <c r="P22" s="20">
        <f t="shared" si="7"/>
        <v>0</v>
      </c>
      <c r="Q22" s="20">
        <f t="shared" si="8"/>
        <v>0.161545707065881</v>
      </c>
      <c r="R22" s="20">
        <f t="shared" si="9"/>
        <v>165.0139762487599</v>
      </c>
      <c r="S22" s="10">
        <f t="shared" si="10"/>
        <v>-0.012199936254819481</v>
      </c>
      <c r="T22" s="42"/>
      <c r="U22" s="1"/>
    </row>
    <row r="23" spans="1:21" ht="16.5">
      <c r="A23" s="44">
        <f t="shared" si="11"/>
        <v>4</v>
      </c>
      <c r="B23" s="15" t="s">
        <v>55</v>
      </c>
      <c r="C23" s="76">
        <v>1446.149</v>
      </c>
      <c r="D23" s="7"/>
      <c r="E23" s="20">
        <f t="shared" si="0"/>
        <v>1446.149</v>
      </c>
      <c r="F23" s="9">
        <f t="shared" si="12"/>
        <v>1.0707609654911512</v>
      </c>
      <c r="G23" s="20">
        <f t="shared" si="1"/>
        <v>1548.4798994840626</v>
      </c>
      <c r="H23" s="12"/>
      <c r="I23" s="20">
        <f t="shared" si="2"/>
        <v>1548.4798994840626</v>
      </c>
      <c r="J23" s="20">
        <f t="shared" si="3"/>
        <v>1548.4798994840628</v>
      </c>
      <c r="K23" s="12">
        <v>1548.479899484063</v>
      </c>
      <c r="L23" s="20">
        <f t="shared" si="4"/>
        <v>0</v>
      </c>
      <c r="M23" s="12">
        <f t="shared" si="5"/>
        <v>0</v>
      </c>
      <c r="N23" s="10">
        <f t="shared" si="6"/>
        <v>0.07076096549115127</v>
      </c>
      <c r="O23" s="10">
        <v>0</v>
      </c>
      <c r="P23" s="20">
        <f t="shared" si="7"/>
        <v>0</v>
      </c>
      <c r="Q23" s="20">
        <f t="shared" si="8"/>
        <v>1.517419424254045</v>
      </c>
      <c r="R23" s="20">
        <f t="shared" si="9"/>
        <v>1549.9973189083169</v>
      </c>
      <c r="S23" s="10">
        <f t="shared" si="10"/>
        <v>0.07181024839647711</v>
      </c>
      <c r="T23" s="42"/>
      <c r="U23" s="1"/>
    </row>
    <row r="24" spans="1:21" ht="16.5">
      <c r="A24" s="44">
        <f t="shared" si="11"/>
        <v>5</v>
      </c>
      <c r="B24" s="15" t="s">
        <v>115</v>
      </c>
      <c r="C24" s="76">
        <v>1959.691</v>
      </c>
      <c r="D24" s="7">
        <v>91.77934493734531</v>
      </c>
      <c r="E24" s="20">
        <f t="shared" si="0"/>
        <v>1867.9116550626547</v>
      </c>
      <c r="F24" s="9">
        <f t="shared" si="12"/>
        <v>1.0707609654911512</v>
      </c>
      <c r="G24" s="20">
        <f t="shared" si="1"/>
        <v>2000.0868872270623</v>
      </c>
      <c r="H24" s="12">
        <f>H115/1000</f>
        <v>91.77751442829457</v>
      </c>
      <c r="I24" s="20">
        <f t="shared" si="2"/>
        <v>2091.8644016553567</v>
      </c>
      <c r="J24" s="20">
        <f t="shared" si="3"/>
        <v>2149.8746582589392</v>
      </c>
      <c r="K24" s="12">
        <v>2265.895171466104</v>
      </c>
      <c r="L24" s="20">
        <f t="shared" si="4"/>
        <v>174.0307698107472</v>
      </c>
      <c r="M24" s="12">
        <f t="shared" si="5"/>
        <v>116.02051320716464</v>
      </c>
      <c r="N24" s="10">
        <f t="shared" si="6"/>
        <v>0.09704777858291905</v>
      </c>
      <c r="O24" s="10">
        <f>IF(N24&gt;$N$36,N24-$N$36," ")</f>
        <v>0.004530378285139955</v>
      </c>
      <c r="P24" s="20">
        <f t="shared" si="7"/>
        <v>8.878141551984204</v>
      </c>
      <c r="Q24" s="20">
        <f t="shared" si="8"/>
        <v>-8.878141551984204</v>
      </c>
      <c r="R24" s="20">
        <f t="shared" si="9"/>
        <v>2140.996516706955</v>
      </c>
      <c r="S24" s="10">
        <f t="shared" si="10"/>
        <v>0.09251740029777904</v>
      </c>
      <c r="T24" s="42"/>
      <c r="U24" s="1"/>
    </row>
    <row r="25" spans="1:21" ht="16.5">
      <c r="A25" s="44">
        <f t="shared" si="11"/>
        <v>6</v>
      </c>
      <c r="B25" s="15" t="s">
        <v>57</v>
      </c>
      <c r="C25" s="76">
        <v>111.276</v>
      </c>
      <c r="D25" s="30"/>
      <c r="E25" s="20">
        <f t="shared" si="0"/>
        <v>111.276</v>
      </c>
      <c r="F25" s="9">
        <f t="shared" si="12"/>
        <v>1.0707609654911512</v>
      </c>
      <c r="G25" s="20">
        <f t="shared" si="1"/>
        <v>119.14999719599334</v>
      </c>
      <c r="H25" s="15"/>
      <c r="I25" s="20">
        <f t="shared" si="2"/>
        <v>119.14999719599334</v>
      </c>
      <c r="J25" s="20">
        <f t="shared" si="3"/>
        <v>119.14999719599334</v>
      </c>
      <c r="K25" s="12">
        <v>119.14999719599335</v>
      </c>
      <c r="L25" s="20">
        <f t="shared" si="4"/>
        <v>0</v>
      </c>
      <c r="M25" s="12">
        <f t="shared" si="5"/>
        <v>0</v>
      </c>
      <c r="N25" s="10">
        <f t="shared" si="6"/>
        <v>0.0707609654911512</v>
      </c>
      <c r="O25" s="10">
        <v>0</v>
      </c>
      <c r="P25" s="20">
        <f t="shared" si="7"/>
        <v>0</v>
      </c>
      <c r="Q25" s="20">
        <f t="shared" si="8"/>
        <v>0.11676000457303715</v>
      </c>
      <c r="R25" s="20">
        <f t="shared" si="9"/>
        <v>119.26675720056637</v>
      </c>
      <c r="S25" s="10">
        <f t="shared" si="10"/>
        <v>0.07181024839647704</v>
      </c>
      <c r="T25" s="42"/>
      <c r="U25" s="1"/>
    </row>
    <row r="26" spans="1:21" ht="16.5">
      <c r="A26" s="44">
        <f t="shared" si="11"/>
        <v>7</v>
      </c>
      <c r="B26" s="15" t="s">
        <v>58</v>
      </c>
      <c r="C26" s="76">
        <v>3.918</v>
      </c>
      <c r="D26" s="30"/>
      <c r="E26" s="20">
        <f t="shared" si="0"/>
        <v>3.918</v>
      </c>
      <c r="F26" s="9">
        <f t="shared" si="12"/>
        <v>1.0707609654911512</v>
      </c>
      <c r="G26" s="20">
        <f t="shared" si="1"/>
        <v>4.19524146279433</v>
      </c>
      <c r="H26" s="15"/>
      <c r="I26" s="20">
        <f t="shared" si="2"/>
        <v>4.19524146279433</v>
      </c>
      <c r="J26" s="20">
        <f t="shared" si="3"/>
        <v>4.19524146279433</v>
      </c>
      <c r="K26" s="12">
        <v>4.195241462794331</v>
      </c>
      <c r="L26" s="20">
        <f t="shared" si="4"/>
        <v>0</v>
      </c>
      <c r="M26" s="12">
        <f t="shared" si="5"/>
        <v>0</v>
      </c>
      <c r="N26" s="10">
        <f t="shared" si="6"/>
        <v>0.0707609654911511</v>
      </c>
      <c r="O26" s="10">
        <v>0</v>
      </c>
      <c r="P26" s="20">
        <f t="shared" si="7"/>
        <v>0</v>
      </c>
      <c r="Q26" s="20">
        <f t="shared" si="8"/>
        <v>0.004111090423066606</v>
      </c>
      <c r="R26" s="20">
        <f t="shared" si="9"/>
        <v>4.1993525532173965</v>
      </c>
      <c r="S26" s="10">
        <f t="shared" si="10"/>
        <v>0.07181024839647687</v>
      </c>
      <c r="T26" s="42"/>
      <c r="U26" s="1"/>
    </row>
    <row r="27" spans="1:21" ht="16.5">
      <c r="A27" s="44">
        <f t="shared" si="11"/>
        <v>8</v>
      </c>
      <c r="B27" s="15" t="s">
        <v>59</v>
      </c>
      <c r="C27" s="76">
        <v>348.39</v>
      </c>
      <c r="D27" s="7"/>
      <c r="E27" s="20">
        <f t="shared" si="0"/>
        <v>348.39</v>
      </c>
      <c r="F27" s="9">
        <f t="shared" si="12"/>
        <v>1.0707609654911512</v>
      </c>
      <c r="G27" s="20">
        <f t="shared" si="1"/>
        <v>373.04241276746217</v>
      </c>
      <c r="H27" s="12"/>
      <c r="I27" s="20">
        <f t="shared" si="2"/>
        <v>373.04241276746217</v>
      </c>
      <c r="J27" s="20">
        <f t="shared" si="3"/>
        <v>373.04241276746217</v>
      </c>
      <c r="K27" s="12">
        <v>373.0424127674622</v>
      </c>
      <c r="L27" s="20">
        <f t="shared" si="4"/>
        <v>0</v>
      </c>
      <c r="M27" s="12">
        <f t="shared" si="5"/>
        <v>0</v>
      </c>
      <c r="N27" s="10">
        <f t="shared" si="6"/>
        <v>0.07076096549115124</v>
      </c>
      <c r="O27" s="10">
        <v>0</v>
      </c>
      <c r="P27" s="20">
        <f t="shared" si="7"/>
        <v>0</v>
      </c>
      <c r="Q27" s="20">
        <f t="shared" si="8"/>
        <v>0.3655596713864662</v>
      </c>
      <c r="R27" s="20">
        <f t="shared" si="9"/>
        <v>373.4079724388486</v>
      </c>
      <c r="S27" s="10">
        <f t="shared" si="10"/>
        <v>0.07181024839647702</v>
      </c>
      <c r="T27" s="42"/>
      <c r="U27" s="1"/>
    </row>
    <row r="28" spans="1:21" ht="16.5">
      <c r="A28" s="44">
        <f t="shared" si="11"/>
        <v>9</v>
      </c>
      <c r="B28" s="15" t="s">
        <v>60</v>
      </c>
      <c r="C28" s="76">
        <v>360.431</v>
      </c>
      <c r="D28" s="7"/>
      <c r="E28" s="20">
        <f t="shared" si="0"/>
        <v>360.431</v>
      </c>
      <c r="F28" s="9">
        <f t="shared" si="12"/>
        <v>1.0707609654911512</v>
      </c>
      <c r="G28" s="20">
        <f t="shared" si="1"/>
        <v>385.9354455529411</v>
      </c>
      <c r="H28" s="12"/>
      <c r="I28" s="20">
        <f t="shared" si="2"/>
        <v>385.9354455529411</v>
      </c>
      <c r="J28" s="20">
        <f t="shared" si="3"/>
        <v>385.9354455529411</v>
      </c>
      <c r="K28" s="12">
        <v>385.93544555294113</v>
      </c>
      <c r="L28" s="20">
        <f t="shared" si="4"/>
        <v>0</v>
      </c>
      <c r="M28" s="12">
        <f t="shared" si="5"/>
        <v>0</v>
      </c>
      <c r="N28" s="10">
        <f t="shared" si="6"/>
        <v>0.07076096549115113</v>
      </c>
      <c r="O28" s="10">
        <v>0</v>
      </c>
      <c r="P28" s="20">
        <f t="shared" si="7"/>
        <v>0</v>
      </c>
      <c r="Q28" s="20">
        <f t="shared" si="8"/>
        <v>0.3781940868494945</v>
      </c>
      <c r="R28" s="20">
        <f t="shared" si="9"/>
        <v>386.31363963979055</v>
      </c>
      <c r="S28" s="10">
        <f t="shared" si="10"/>
        <v>0.07181024839647691</v>
      </c>
      <c r="T28" s="42"/>
      <c r="U28" s="1"/>
    </row>
    <row r="29" spans="1:21" ht="16.5">
      <c r="A29" s="44">
        <f t="shared" si="11"/>
        <v>10</v>
      </c>
      <c r="B29" s="15" t="s">
        <v>61</v>
      </c>
      <c r="C29" s="76">
        <v>906.279</v>
      </c>
      <c r="D29" s="7">
        <v>21.194787419880317</v>
      </c>
      <c r="E29" s="20">
        <f t="shared" si="0"/>
        <v>885.0842125801197</v>
      </c>
      <c r="F29" s="9">
        <f t="shared" si="12"/>
        <v>1.0707609654911512</v>
      </c>
      <c r="G29" s="20">
        <f t="shared" si="1"/>
        <v>947.7136260032643</v>
      </c>
      <c r="H29" s="12">
        <f>I115/1000</f>
        <v>21.194759838537678</v>
      </c>
      <c r="I29" s="20">
        <f t="shared" si="2"/>
        <v>968.908385841802</v>
      </c>
      <c r="J29" s="20">
        <f t="shared" si="3"/>
        <v>1041.4350902430374</v>
      </c>
      <c r="K29" s="12">
        <v>1186.4884990455084</v>
      </c>
      <c r="L29" s="20">
        <f t="shared" si="4"/>
        <v>217.58011320370645</v>
      </c>
      <c r="M29" s="12">
        <f t="shared" si="5"/>
        <v>145.05340880247104</v>
      </c>
      <c r="N29" s="10">
        <f t="shared" si="6"/>
        <v>0.14913298249549797</v>
      </c>
      <c r="O29" s="10">
        <f>IF(N29&gt;$N$36,N29-$N$36," ")</f>
        <v>0.05661558219771888</v>
      </c>
      <c r="P29" s="20">
        <f t="shared" si="7"/>
        <v>51.30951321856647</v>
      </c>
      <c r="Q29" s="20">
        <f t="shared" si="8"/>
        <v>-51.30951321856647</v>
      </c>
      <c r="R29" s="20">
        <f t="shared" si="9"/>
        <v>990.1255770244709</v>
      </c>
      <c r="S29" s="10">
        <f t="shared" si="10"/>
        <v>0.09251740029777904</v>
      </c>
      <c r="T29" s="42"/>
      <c r="U29" s="1"/>
    </row>
    <row r="30" spans="1:21" ht="16.5">
      <c r="A30" s="44">
        <f t="shared" si="11"/>
        <v>11</v>
      </c>
      <c r="B30" s="15" t="s">
        <v>114</v>
      </c>
      <c r="C30" s="76">
        <v>3298.74</v>
      </c>
      <c r="D30" s="7">
        <v>154.4864918915755</v>
      </c>
      <c r="E30" s="20">
        <f t="shared" si="0"/>
        <v>3144.2535081084243</v>
      </c>
      <c r="F30" s="9">
        <f t="shared" si="12"/>
        <v>1.0707609654911512</v>
      </c>
      <c r="G30" s="20">
        <f t="shared" si="1"/>
        <v>3366.7439220911156</v>
      </c>
      <c r="H30" s="12">
        <f>J115/1000</f>
        <v>154.488982883378</v>
      </c>
      <c r="I30" s="20">
        <f t="shared" si="2"/>
        <v>3521.2329049744935</v>
      </c>
      <c r="J30" s="20">
        <f t="shared" si="3"/>
        <v>3757.7716760482276</v>
      </c>
      <c r="K30" s="12">
        <v>4230.849218195695</v>
      </c>
      <c r="L30" s="20">
        <f t="shared" si="4"/>
        <v>709.6163132212018</v>
      </c>
      <c r="M30" s="12">
        <f t="shared" si="5"/>
        <v>473.07754214746774</v>
      </c>
      <c r="N30" s="10">
        <f t="shared" si="6"/>
        <v>0.13915363928294677</v>
      </c>
      <c r="O30" s="10">
        <f>IF(N30&gt;$N$36,N30-$N$36," ")</f>
        <v>0.04663623898516768</v>
      </c>
      <c r="P30" s="20">
        <f t="shared" si="7"/>
        <v>153.84082698993203</v>
      </c>
      <c r="Q30" s="20">
        <f t="shared" si="8"/>
        <v>-153.84082698993203</v>
      </c>
      <c r="R30" s="20">
        <f t="shared" si="9"/>
        <v>3603.9308490582957</v>
      </c>
      <c r="S30" s="10">
        <f t="shared" si="10"/>
        <v>0.09251740029777915</v>
      </c>
      <c r="T30" s="42"/>
      <c r="U30" s="1"/>
    </row>
    <row r="31" spans="1:21" ht="16.5">
      <c r="A31" s="44">
        <f t="shared" si="11"/>
        <v>12</v>
      </c>
      <c r="B31" s="15" t="s">
        <v>63</v>
      </c>
      <c r="C31" s="77">
        <v>7847.872</v>
      </c>
      <c r="D31" s="73"/>
      <c r="E31" s="40">
        <f t="shared" si="0"/>
        <v>7847.872</v>
      </c>
      <c r="F31" s="6">
        <f>G31/E31</f>
        <v>0.4332032938355773</v>
      </c>
      <c r="G31" s="4">
        <v>3399.724</v>
      </c>
      <c r="H31" s="4"/>
      <c r="I31" s="40">
        <f t="shared" si="2"/>
        <v>3399.724</v>
      </c>
      <c r="J31" s="40">
        <f t="shared" si="3"/>
        <v>3399.724</v>
      </c>
      <c r="K31" s="4">
        <v>3399.724</v>
      </c>
      <c r="L31" s="40">
        <f t="shared" si="4"/>
        <v>0</v>
      </c>
      <c r="M31" s="4">
        <f t="shared" si="5"/>
        <v>0</v>
      </c>
      <c r="N31" s="10"/>
      <c r="O31" s="10"/>
      <c r="P31" s="41"/>
      <c r="Q31" s="15"/>
      <c r="R31" s="40">
        <f t="shared" si="9"/>
        <v>3399.724</v>
      </c>
      <c r="S31" s="10"/>
      <c r="T31" s="42"/>
      <c r="U31" s="1"/>
    </row>
    <row r="32" spans="1:19" ht="16.5">
      <c r="A32" s="44"/>
      <c r="B32" s="15"/>
      <c r="C32" s="50"/>
      <c r="D32" s="15"/>
      <c r="E32" s="15"/>
      <c r="F32" s="15"/>
      <c r="G32" s="50"/>
      <c r="H32" s="50"/>
      <c r="I32" s="50"/>
      <c r="J32" s="15"/>
      <c r="K32" s="50"/>
      <c r="L32" s="50"/>
      <c r="M32" s="15"/>
      <c r="N32" s="10"/>
      <c r="O32" s="10"/>
      <c r="P32" s="15"/>
      <c r="Q32" s="15"/>
      <c r="R32" s="15"/>
      <c r="S32" s="15"/>
    </row>
    <row r="33" spans="1:19" ht="16.5">
      <c r="A33" s="44"/>
      <c r="B33" s="15"/>
      <c r="C33" s="15"/>
      <c r="D33" s="15"/>
      <c r="E33" s="15"/>
      <c r="F33" s="15"/>
      <c r="G33" s="12"/>
      <c r="H33" s="15"/>
      <c r="I33" s="12"/>
      <c r="J33" s="15"/>
      <c r="K33" s="12"/>
      <c r="L33" s="12"/>
      <c r="M33" s="15"/>
      <c r="N33" s="10"/>
      <c r="O33" s="10"/>
      <c r="P33" s="15"/>
      <c r="Q33" s="15"/>
      <c r="R33" s="15"/>
      <c r="S33" s="15"/>
    </row>
    <row r="34" spans="1:20" ht="16.5">
      <c r="A34" s="44">
        <f>A31+1</f>
        <v>13</v>
      </c>
      <c r="B34" s="15" t="s">
        <v>64</v>
      </c>
      <c r="C34" s="20">
        <f>SUM(C20:C31)</f>
        <v>218644.10300000003</v>
      </c>
      <c r="D34" s="19">
        <f>SUM(D20:D31)</f>
        <v>5000.000000000001</v>
      </c>
      <c r="E34" s="20">
        <f>SUM(E20:E31)</f>
        <v>213644.10300000006</v>
      </c>
      <c r="F34" s="9"/>
      <c r="G34" s="20">
        <v>223758.295</v>
      </c>
      <c r="H34" s="20">
        <f aca="true" t="shared" si="13" ref="H34:M34">SUM(H20:H31)</f>
        <v>5000</v>
      </c>
      <c r="I34" s="20">
        <f t="shared" si="13"/>
        <v>228758.29499999998</v>
      </c>
      <c r="J34" s="20">
        <f t="shared" si="13"/>
        <v>228758.29499999995</v>
      </c>
      <c r="K34" s="20">
        <f t="shared" si="13"/>
        <v>228758.29499999995</v>
      </c>
      <c r="L34" s="20">
        <f t="shared" si="13"/>
        <v>-1.6711965145077556E-11</v>
      </c>
      <c r="M34" s="20">
        <f t="shared" si="13"/>
        <v>-2.1259438653942198E-11</v>
      </c>
      <c r="N34" s="10">
        <f>(J34-C34)/C34</f>
        <v>0.046258700148889546</v>
      </c>
      <c r="O34" s="10"/>
      <c r="P34" s="20">
        <f>SUM(P20:P30)</f>
        <v>214.0284817604827</v>
      </c>
      <c r="Q34" s="20">
        <f>SUM(Q20:Q31)</f>
        <v>0</v>
      </c>
      <c r="R34" s="51">
        <f>SUM(R20:R31)</f>
        <v>228758.29499999998</v>
      </c>
      <c r="S34" s="15"/>
      <c r="T34" s="26"/>
    </row>
    <row r="35" spans="1:19" ht="16.5">
      <c r="A35" s="15"/>
      <c r="B35" s="15"/>
      <c r="C35" s="20"/>
      <c r="D35" s="20"/>
      <c r="E35" s="38" t="str">
        <f>IF(ROUND(SUM(G20:G31),1)=ROUND(G34,1),"  ",SUM(G20:G31))</f>
        <v>  </v>
      </c>
      <c r="F35" s="38"/>
      <c r="G35" s="38"/>
      <c r="H35" s="20"/>
      <c r="I35" s="20"/>
      <c r="J35" s="15"/>
      <c r="K35" s="15"/>
      <c r="L35" s="15"/>
      <c r="M35" s="15"/>
      <c r="N35" s="10"/>
      <c r="O35" s="10"/>
      <c r="P35" s="15"/>
      <c r="Q35" s="15"/>
      <c r="R35" s="15"/>
      <c r="S35" s="15"/>
    </row>
    <row r="36" spans="1:19" ht="16.5">
      <c r="A36" s="44">
        <f>A34+1</f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67" t="s">
        <v>65</v>
      </c>
      <c r="L36" s="15"/>
      <c r="M36" s="15"/>
      <c r="N36" s="68">
        <f>N34*2</f>
        <v>0.09251740029777909</v>
      </c>
      <c r="O36" s="10"/>
      <c r="P36" s="15"/>
      <c r="Q36" s="15"/>
      <c r="R36" s="15"/>
      <c r="S36" s="15"/>
    </row>
    <row r="37" spans="1:19" ht="16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6.5">
      <c r="A38" s="5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21" ht="23.25">
      <c r="A39" s="31" t="s">
        <v>66</v>
      </c>
      <c r="B39" s="15" t="s">
        <v>67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R39" s="15"/>
      <c r="S39" s="15"/>
      <c r="T39" s="20">
        <f>SUM(J20:J30)-IF(P29=0,0,J29)-IF(P30=0,0,J30)-IF(P24=0,0,J24)</f>
        <v>218409.48957544976</v>
      </c>
      <c r="U39" s="15" t="s">
        <v>68</v>
      </c>
    </row>
    <row r="40" spans="1:11" ht="16.5">
      <c r="A40" s="39"/>
      <c r="B40" s="15" t="s">
        <v>69</v>
      </c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6.5">
      <c r="A41" s="39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23.25">
      <c r="A42" s="31" t="s">
        <v>116</v>
      </c>
      <c r="B42" s="15" t="s">
        <v>117</v>
      </c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6.5">
      <c r="A43" s="39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6.5">
      <c r="A44" s="39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6.5">
      <c r="A45" s="39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6.5">
      <c r="A46" s="39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6.5">
      <c r="A47" s="39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6.5">
      <c r="A48" s="39"/>
      <c r="B48" s="15"/>
      <c r="D48" s="15"/>
      <c r="E48" s="15"/>
      <c r="F48" s="15"/>
      <c r="G48" s="15"/>
      <c r="H48" s="15"/>
      <c r="I48" s="15"/>
      <c r="J48" s="15"/>
      <c r="K48" s="15"/>
    </row>
    <row r="49" spans="1:11" ht="16.5">
      <c r="A49" s="82" t="s">
        <v>118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6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6.5">
      <c r="A51" s="15"/>
      <c r="B51" s="15"/>
      <c r="C51" s="15"/>
      <c r="D51" s="9"/>
      <c r="E51" s="9"/>
      <c r="F51" s="9"/>
      <c r="G51" s="9"/>
      <c r="H51" s="15"/>
      <c r="I51" s="15"/>
      <c r="J51" s="15"/>
      <c r="K51" s="15"/>
    </row>
    <row r="52" spans="1:11" ht="16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6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6.5">
      <c r="A54" s="15"/>
      <c r="B54" s="28"/>
      <c r="C54" s="28"/>
      <c r="D54" s="15"/>
      <c r="E54" s="28"/>
      <c r="F54" s="28"/>
      <c r="G54" s="28"/>
      <c r="H54" s="28"/>
      <c r="I54" s="28"/>
      <c r="J54" s="28"/>
      <c r="K54" s="15"/>
    </row>
    <row r="55" spans="1:11" ht="16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6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6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6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6.5">
      <c r="A59" s="15"/>
      <c r="B59" s="11"/>
      <c r="C59" s="10"/>
      <c r="D59" s="11"/>
      <c r="E59" s="15"/>
      <c r="F59" s="15"/>
      <c r="G59" s="15"/>
      <c r="H59" s="15"/>
      <c r="I59" s="15"/>
      <c r="J59" s="15"/>
      <c r="K59" s="15"/>
    </row>
    <row r="60" spans="1:11" ht="16.5">
      <c r="A60" s="15"/>
      <c r="B60" s="11"/>
      <c r="C60" s="10"/>
      <c r="D60" s="11"/>
      <c r="E60" s="15"/>
      <c r="F60" s="15"/>
      <c r="G60" s="15"/>
      <c r="H60" s="15"/>
      <c r="I60" s="15"/>
      <c r="J60" s="15"/>
      <c r="K60" s="15"/>
    </row>
    <row r="61" spans="1:11" ht="16.5">
      <c r="A61" s="15"/>
      <c r="B61" s="11"/>
      <c r="C61" s="10"/>
      <c r="D61" s="11"/>
      <c r="E61" s="15"/>
      <c r="F61" s="15"/>
      <c r="G61" s="15"/>
      <c r="H61" s="15"/>
      <c r="I61" s="15"/>
      <c r="J61" s="15"/>
      <c r="K61" s="15"/>
    </row>
    <row r="62" spans="1:11" ht="16.5">
      <c r="A62" s="15"/>
      <c r="B62" s="11"/>
      <c r="C62" s="10"/>
      <c r="D62" s="11"/>
      <c r="E62" s="15"/>
      <c r="F62" s="15"/>
      <c r="G62" s="15"/>
      <c r="H62" s="15"/>
      <c r="I62" s="15"/>
      <c r="J62" s="15"/>
      <c r="K62" s="15"/>
    </row>
    <row r="63" spans="1:11" ht="16.5">
      <c r="A63" s="15"/>
      <c r="B63" s="15"/>
      <c r="C63" s="15"/>
      <c r="D63" s="15"/>
      <c r="E63" s="15"/>
      <c r="F63" s="15"/>
      <c r="G63" s="15"/>
      <c r="H63" s="33" t="s">
        <v>23</v>
      </c>
      <c r="I63" s="11"/>
      <c r="J63" s="15"/>
      <c r="K63" s="15"/>
    </row>
    <row r="64" spans="1:11" ht="16.5">
      <c r="A64" s="32"/>
      <c r="B64" s="15"/>
      <c r="C64" s="23" t="s">
        <v>20</v>
      </c>
      <c r="D64" s="23" t="s">
        <v>30</v>
      </c>
      <c r="E64" s="23" t="s">
        <v>22</v>
      </c>
      <c r="F64" s="23"/>
      <c r="G64" s="23" t="s">
        <v>22</v>
      </c>
      <c r="H64" s="33" t="s">
        <v>32</v>
      </c>
      <c r="I64" s="15"/>
      <c r="J64" s="15"/>
      <c r="K64" s="15"/>
    </row>
    <row r="65" spans="1:11" ht="16.5">
      <c r="A65" s="32"/>
      <c r="B65" s="15"/>
      <c r="C65" s="21" t="s">
        <v>21</v>
      </c>
      <c r="D65" s="21" t="s">
        <v>41</v>
      </c>
      <c r="E65" s="21" t="s">
        <v>21</v>
      </c>
      <c r="F65" s="21" t="s">
        <v>39</v>
      </c>
      <c r="G65" s="21" t="s">
        <v>70</v>
      </c>
      <c r="H65" s="27" t="s">
        <v>70</v>
      </c>
      <c r="I65" s="15"/>
      <c r="J65" s="15"/>
      <c r="K65" s="15"/>
    </row>
    <row r="66" spans="1:11" ht="16.5">
      <c r="A66" s="32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6.5">
      <c r="A67" s="32"/>
      <c r="B67" s="15" t="s">
        <v>52</v>
      </c>
      <c r="C67" s="20">
        <v>199106.275</v>
      </c>
      <c r="D67" s="9">
        <v>1.0892271645976441</v>
      </c>
      <c r="E67" s="36">
        <v>216871.96337184877</v>
      </c>
      <c r="F67" s="36">
        <v>4650.629513519655</v>
      </c>
      <c r="G67" s="36">
        <v>221522.59288536845</v>
      </c>
      <c r="H67" s="26">
        <v>221342.5531352882</v>
      </c>
      <c r="I67" s="15"/>
      <c r="J67" s="15"/>
      <c r="K67" s="15"/>
    </row>
    <row r="68" spans="1:11" ht="16.5">
      <c r="A68" s="32"/>
      <c r="B68" s="15" t="s">
        <v>53</v>
      </c>
      <c r="C68" s="12">
        <v>3088.03</v>
      </c>
      <c r="D68" s="9">
        <v>1.0892271645976441</v>
      </c>
      <c r="E68" s="37">
        <v>3363.5661610924626</v>
      </c>
      <c r="F68" s="37">
        <v>72.12873354510852</v>
      </c>
      <c r="G68" s="36">
        <v>3435.6948946375715</v>
      </c>
      <c r="H68" s="26">
        <v>3311.465640831503</v>
      </c>
      <c r="I68" s="15"/>
      <c r="J68" s="15"/>
      <c r="K68" s="15"/>
    </row>
    <row r="69" spans="1:11" ht="16.5">
      <c r="A69" s="32"/>
      <c r="B69" s="15" t="s">
        <v>54</v>
      </c>
      <c r="C69" s="12">
        <v>167.052</v>
      </c>
      <c r="D69" s="9">
        <v>1.0892271645976441</v>
      </c>
      <c r="E69" s="37">
        <v>181.95757630036564</v>
      </c>
      <c r="F69" s="37">
        <v>3.901921029322082</v>
      </c>
      <c r="G69" s="36">
        <v>185.8594973296877</v>
      </c>
      <c r="H69" s="26">
        <v>171.73963627337798</v>
      </c>
      <c r="I69" s="15"/>
      <c r="J69" s="15"/>
      <c r="K69" s="15"/>
    </row>
    <row r="70" spans="1:11" ht="16.5">
      <c r="A70" s="32"/>
      <c r="B70" s="15" t="s">
        <v>55</v>
      </c>
      <c r="C70" s="12">
        <v>1446.149</v>
      </c>
      <c r="D70" s="9">
        <v>1.0892271645976441</v>
      </c>
      <c r="E70" s="37">
        <v>1575.1847748557184</v>
      </c>
      <c r="F70" s="37"/>
      <c r="G70" s="36">
        <v>1575.1847748557184</v>
      </c>
      <c r="H70" s="26">
        <v>1575.1847748557184</v>
      </c>
      <c r="I70" s="15"/>
      <c r="J70" s="15"/>
      <c r="K70" s="15"/>
    </row>
    <row r="71" spans="1:11" ht="16.5">
      <c r="A71" s="32"/>
      <c r="B71" s="15" t="s">
        <v>56</v>
      </c>
      <c r="C71" s="12">
        <v>1959.691</v>
      </c>
      <c r="D71" s="9">
        <v>1.0892271645976441</v>
      </c>
      <c r="E71" s="12">
        <v>2134.5486714175217</v>
      </c>
      <c r="F71" s="12">
        <v>93.97822671253853</v>
      </c>
      <c r="G71" s="36">
        <v>2228.52689813006</v>
      </c>
      <c r="H71" s="26">
        <v>2267.3032509205323</v>
      </c>
      <c r="I71" s="15"/>
      <c r="J71" s="28"/>
      <c r="K71" s="28"/>
    </row>
    <row r="72" spans="1:11" ht="16.5">
      <c r="A72" s="32"/>
      <c r="B72" s="15" t="s">
        <v>57</v>
      </c>
      <c r="C72" s="12">
        <v>111.276</v>
      </c>
      <c r="D72" s="9">
        <v>1.0892271645976441</v>
      </c>
      <c r="E72" s="12">
        <v>121.20484196776744</v>
      </c>
      <c r="G72" s="36">
        <v>121.20484196776744</v>
      </c>
      <c r="H72" s="26">
        <v>121.20484196776744</v>
      </c>
      <c r="I72" s="15"/>
      <c r="J72" s="28"/>
      <c r="K72" s="28"/>
    </row>
    <row r="73" spans="1:11" ht="16.5">
      <c r="A73" s="32"/>
      <c r="B73" s="15" t="s">
        <v>58</v>
      </c>
      <c r="C73" s="12">
        <v>3.918</v>
      </c>
      <c r="D73" s="9">
        <v>1.0892271645976441</v>
      </c>
      <c r="E73" s="12">
        <v>4.267592030893569</v>
      </c>
      <c r="G73" s="36">
        <v>4.267592030893569</v>
      </c>
      <c r="H73" s="26">
        <v>4.267592030893569</v>
      </c>
      <c r="I73" s="15"/>
      <c r="J73" s="15"/>
      <c r="K73" s="15"/>
    </row>
    <row r="74" spans="1:11" ht="16.5">
      <c r="A74" s="32"/>
      <c r="B74" s="15" t="s">
        <v>59</v>
      </c>
      <c r="C74" s="12">
        <v>348.39</v>
      </c>
      <c r="D74" s="9">
        <v>1.0892271645976441</v>
      </c>
      <c r="E74" s="12">
        <v>379.4758518741732</v>
      </c>
      <c r="F74" s="12"/>
      <c r="G74" s="36">
        <v>379.4758518741732</v>
      </c>
      <c r="H74" s="26">
        <v>379.4758518741732</v>
      </c>
      <c r="I74" s="12"/>
      <c r="J74" s="12"/>
      <c r="K74" s="12"/>
    </row>
    <row r="75" spans="1:11" ht="16.5">
      <c r="A75" s="32"/>
      <c r="B75" s="15" t="s">
        <v>60</v>
      </c>
      <c r="C75" s="8">
        <v>360.431</v>
      </c>
      <c r="D75" s="9">
        <v>1.0892271645976441</v>
      </c>
      <c r="E75" s="12">
        <v>392.59123616309347</v>
      </c>
      <c r="F75" s="12"/>
      <c r="G75" s="36">
        <v>392.59123616309347</v>
      </c>
      <c r="H75" s="26">
        <v>392.59123616309347</v>
      </c>
      <c r="I75" s="12"/>
      <c r="J75" s="12"/>
      <c r="K75" s="12"/>
    </row>
    <row r="76" spans="1:11" ht="16.5">
      <c r="A76" s="32"/>
      <c r="B76" s="15" t="s">
        <v>61</v>
      </c>
      <c r="C76" s="12">
        <v>906.279</v>
      </c>
      <c r="D76" s="9">
        <v>1.0892271645976441</v>
      </c>
      <c r="E76" s="37">
        <v>987.1437055043882</v>
      </c>
      <c r="F76" s="37">
        <v>21.168433113838727</v>
      </c>
      <c r="G76" s="36">
        <v>1008.312138618227</v>
      </c>
      <c r="H76" s="26">
        <v>1083.284362094241</v>
      </c>
      <c r="I76" s="12"/>
      <c r="J76" s="12"/>
      <c r="K76" s="12"/>
    </row>
    <row r="77" spans="1:11" ht="16.5">
      <c r="A77" s="32"/>
      <c r="B77" s="15" t="s">
        <v>62</v>
      </c>
      <c r="C77" s="12">
        <v>3298.74</v>
      </c>
      <c r="D77" s="9">
        <v>1.0892271645976441</v>
      </c>
      <c r="E77" s="37">
        <v>3593.0772169448323</v>
      </c>
      <c r="F77" s="37">
        <v>158.1931720795367</v>
      </c>
      <c r="G77" s="36">
        <v>3751.2703890243693</v>
      </c>
      <c r="H77" s="26">
        <v>3955.910677700497</v>
      </c>
      <c r="I77" s="12"/>
      <c r="J77" s="12"/>
      <c r="K77" s="12"/>
    </row>
    <row r="78" spans="1:11" ht="16.5">
      <c r="A78" s="32"/>
      <c r="B78" s="15" t="s">
        <v>63</v>
      </c>
      <c r="C78" s="4">
        <v>7537.872</v>
      </c>
      <c r="D78" s="6">
        <v>0.4098934022758678</v>
      </c>
      <c r="E78" s="4">
        <v>3089.724</v>
      </c>
      <c r="F78" s="4"/>
      <c r="G78" s="46">
        <v>3089.724</v>
      </c>
      <c r="H78" s="29">
        <v>3089.724</v>
      </c>
      <c r="I78" s="12"/>
      <c r="J78" s="12"/>
      <c r="K78" s="12"/>
    </row>
    <row r="79" spans="1:11" ht="16.5">
      <c r="A79" s="32"/>
      <c r="B79" s="15"/>
      <c r="C79" s="16"/>
      <c r="D79" s="15"/>
      <c r="E79" s="16"/>
      <c r="F79" s="16"/>
      <c r="G79" s="16"/>
      <c r="H79" s="15"/>
      <c r="I79" s="12"/>
      <c r="J79" s="12"/>
      <c r="K79" s="12"/>
    </row>
    <row r="80" spans="1:11" ht="16.5">
      <c r="A80" s="32"/>
      <c r="B80" s="15"/>
      <c r="C80" s="15"/>
      <c r="D80" s="15"/>
      <c r="E80" s="12"/>
      <c r="G80" s="12"/>
      <c r="H80" s="15"/>
      <c r="I80" s="12"/>
      <c r="J80" s="12"/>
      <c r="K80" s="12"/>
    </row>
    <row r="81" spans="1:11" ht="16.5">
      <c r="A81" s="32"/>
      <c r="B81" s="15" t="s">
        <v>64</v>
      </c>
      <c r="C81" s="20">
        <v>218334.103</v>
      </c>
      <c r="D81" s="9"/>
      <c r="E81" s="20">
        <v>232694.705</v>
      </c>
      <c r="F81" s="20">
        <v>5000</v>
      </c>
      <c r="G81" s="20">
        <v>237694.705</v>
      </c>
      <c r="H81" s="20">
        <v>237694.705</v>
      </c>
      <c r="I81" s="12"/>
      <c r="J81" s="12"/>
      <c r="K81" s="12"/>
    </row>
    <row r="82" spans="1:11" ht="16.5">
      <c r="A82" s="15"/>
      <c r="B82" s="15"/>
      <c r="C82" s="12"/>
      <c r="D82" s="14"/>
      <c r="E82" s="12"/>
      <c r="F82" s="12"/>
      <c r="G82" s="12"/>
      <c r="H82" s="15"/>
      <c r="I82" s="12"/>
      <c r="J82" s="12"/>
      <c r="K82" s="12"/>
    </row>
    <row r="83" spans="1:11" ht="16.5">
      <c r="A83" s="15"/>
      <c r="B83" s="15"/>
      <c r="C83" s="12"/>
      <c r="D83" s="15"/>
      <c r="E83" s="12"/>
      <c r="F83" s="12"/>
      <c r="G83" s="12"/>
      <c r="H83" s="15"/>
      <c r="I83" s="12"/>
      <c r="J83" s="15"/>
      <c r="K83" s="15"/>
    </row>
    <row r="84" spans="1:11" ht="16.5">
      <c r="A84" s="15"/>
      <c r="B84" s="15"/>
      <c r="C84" s="15"/>
      <c r="D84" s="15"/>
      <c r="E84" s="12"/>
      <c r="F84" s="12"/>
      <c r="G84" s="12"/>
      <c r="H84" s="15"/>
      <c r="I84" s="12"/>
      <c r="J84" s="15"/>
      <c r="K84" s="15"/>
    </row>
    <row r="85" spans="1:11" ht="16.5">
      <c r="A85" s="15"/>
      <c r="B85" s="15"/>
      <c r="C85" s="12"/>
      <c r="D85" s="15"/>
      <c r="E85" s="13"/>
      <c r="F85" s="13"/>
      <c r="G85" s="13"/>
      <c r="H85" s="15"/>
      <c r="I85" s="12"/>
      <c r="J85" s="15"/>
      <c r="K85" s="15"/>
    </row>
    <row r="86" spans="1:11" ht="16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6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8">
      <c r="A88" s="52" t="e">
        <f>#REF!</f>
        <v>#REF!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1:11" ht="18">
      <c r="A89" s="52" t="e">
        <f>#REF!</f>
        <v>#REF!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1:11" ht="18">
      <c r="A90" s="52" t="e">
        <f>#REF!</f>
        <v>#REF!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1:11" ht="18">
      <c r="A91" s="54"/>
      <c r="B91" s="54"/>
      <c r="C91" s="54"/>
      <c r="D91" s="54"/>
      <c r="E91" s="54"/>
      <c r="F91" s="54"/>
      <c r="G91" s="54"/>
      <c r="H91" s="54"/>
      <c r="I91" s="54"/>
      <c r="J91" s="55"/>
      <c r="K91" s="52" t="s">
        <v>71</v>
      </c>
    </row>
    <row r="92" spans="1:11" ht="18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2" t="s">
        <v>72</v>
      </c>
    </row>
    <row r="93" spans="1:11" ht="23.25">
      <c r="A93" s="5" t="s">
        <v>0</v>
      </c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23.25">
      <c r="A94" s="5" t="s">
        <v>73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8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8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8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8">
      <c r="A98" s="55"/>
      <c r="B98" s="55"/>
      <c r="C98" s="55"/>
      <c r="D98" s="55"/>
      <c r="E98" s="56" t="s">
        <v>7</v>
      </c>
      <c r="F98" s="56" t="s">
        <v>8</v>
      </c>
      <c r="G98" s="56" t="s">
        <v>9</v>
      </c>
      <c r="H98" s="56" t="s">
        <v>10</v>
      </c>
      <c r="I98" s="56" t="s">
        <v>11</v>
      </c>
      <c r="J98" s="56" t="s">
        <v>12</v>
      </c>
      <c r="K98" s="56" t="s">
        <v>13</v>
      </c>
    </row>
    <row r="99" spans="1:11" ht="18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8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8">
      <c r="A101" s="55"/>
      <c r="B101" s="63" t="s">
        <v>74</v>
      </c>
      <c r="C101" s="62"/>
      <c r="D101" s="62"/>
      <c r="E101" s="64" t="s">
        <v>75</v>
      </c>
      <c r="F101" s="64" t="s">
        <v>76</v>
      </c>
      <c r="G101" s="64" t="s">
        <v>77</v>
      </c>
      <c r="H101" s="64" t="s">
        <v>78</v>
      </c>
      <c r="I101" s="64" t="s">
        <v>79</v>
      </c>
      <c r="J101" s="64" t="s">
        <v>80</v>
      </c>
      <c r="K101" s="64" t="s">
        <v>81</v>
      </c>
    </row>
    <row r="102" spans="1:11" ht="18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8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8">
      <c r="A104" s="55">
        <f>A98+1</f>
        <v>1</v>
      </c>
      <c r="B104" s="55" t="s">
        <v>82</v>
      </c>
      <c r="C104" s="55"/>
      <c r="D104" s="55"/>
      <c r="E104" s="58">
        <f>G20</f>
        <v>208209.32068415213</v>
      </c>
      <c r="F104" s="58">
        <f>G21</f>
        <v>3229.2133222196444</v>
      </c>
      <c r="G104" s="58">
        <f>G22</f>
        <v>174.68956184352186</v>
      </c>
      <c r="H104" s="58">
        <f>G24</f>
        <v>2000.0868872270623</v>
      </c>
      <c r="I104" s="58">
        <f>G29</f>
        <v>947.7136260032643</v>
      </c>
      <c r="J104" s="58">
        <f>G30</f>
        <v>3366.7439220911156</v>
      </c>
      <c r="K104" s="59">
        <f>SUM(E104:J104)</f>
        <v>217927.76800353674</v>
      </c>
    </row>
    <row r="105" spans="1:11" ht="18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8">
      <c r="A106" s="55">
        <f>A104+1</f>
        <v>2</v>
      </c>
      <c r="B106" s="60" t="s">
        <v>83</v>
      </c>
      <c r="C106" s="55"/>
      <c r="D106" s="55"/>
      <c r="E106" s="53">
        <f aca="true" t="shared" si="14" ref="E106:J106">E104/$K$104</f>
        <v>0.9554051904059014</v>
      </c>
      <c r="F106" s="53">
        <f t="shared" si="14"/>
        <v>0.014817814874179951</v>
      </c>
      <c r="G106" s="53">
        <f t="shared" si="14"/>
        <v>0.0008015938649942344</v>
      </c>
      <c r="H106" s="53">
        <f t="shared" si="14"/>
        <v>0.009177751442829457</v>
      </c>
      <c r="I106" s="53">
        <f t="shared" si="14"/>
        <v>0.0043487511237571335</v>
      </c>
      <c r="J106" s="53">
        <f t="shared" si="14"/>
        <v>0.015448898288337799</v>
      </c>
      <c r="K106" s="53">
        <f>SUM(E106:J106)</f>
        <v>1</v>
      </c>
    </row>
    <row r="107" spans="1:11" ht="18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8">
      <c r="A108" s="55">
        <f>A106+1</f>
        <v>3</v>
      </c>
      <c r="B108" s="55" t="s">
        <v>84</v>
      </c>
      <c r="C108" s="55"/>
      <c r="D108" s="55"/>
      <c r="E108" s="55"/>
      <c r="F108" s="55"/>
      <c r="G108" s="55"/>
      <c r="H108" s="53">
        <f>H106</f>
        <v>0.009177751442829457</v>
      </c>
      <c r="I108" s="55"/>
      <c r="J108" s="53">
        <f>J106</f>
        <v>0.015448898288337799</v>
      </c>
      <c r="K108" s="53">
        <f>SUM(E108:J108)</f>
        <v>0.024626649731167256</v>
      </c>
    </row>
    <row r="109" spans="1:11" ht="18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8">
      <c r="A110" s="55">
        <f>A108+1</f>
        <v>4</v>
      </c>
      <c r="B110" s="55" t="s">
        <v>85</v>
      </c>
      <c r="C110" s="55"/>
      <c r="D110" s="55"/>
      <c r="E110" s="61">
        <f>-(+E104/($E104+$F104+$G104+$I104)*(+$H106+$J106))</f>
        <v>-0.024122484963301875</v>
      </c>
      <c r="F110" s="61">
        <f>-(+F104/($E104+$F104+$G104+$I104)*(+$H106+$J106))</f>
        <v>-0.00037412662196186966</v>
      </c>
      <c r="G110" s="61">
        <f>-(+G104/($E104+$F104+$G104+$I104)*(+$H106+$J106))</f>
        <v>-2.0238989853910486E-05</v>
      </c>
      <c r="H110" s="74" t="s">
        <v>86</v>
      </c>
      <c r="I110" s="61">
        <f>-(+I104/($E104+$F104+$G104+$I104)*(+$H106+$J106))</f>
        <v>-0.00010979915604959813</v>
      </c>
      <c r="J110" s="75" t="s">
        <v>87</v>
      </c>
      <c r="K110" s="61">
        <f>SUM(E110:J110)</f>
        <v>-0.024626649731167252</v>
      </c>
    </row>
    <row r="111" spans="1:11" ht="18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8">
      <c r="A112" s="55">
        <f>A110+1</f>
        <v>5</v>
      </c>
      <c r="B112" s="55" t="s">
        <v>88</v>
      </c>
      <c r="C112" s="55"/>
      <c r="D112" s="55"/>
      <c r="E112" s="53">
        <f>E106+E110</f>
        <v>0.9312827054425996</v>
      </c>
      <c r="F112" s="53">
        <f>F106+F110</f>
        <v>0.014443688252218081</v>
      </c>
      <c r="G112" s="53">
        <f>G106+G110</f>
        <v>0.0007813548751403239</v>
      </c>
      <c r="H112" s="53">
        <f>H106*2</f>
        <v>0.018355502885658913</v>
      </c>
      <c r="I112" s="53">
        <f>I106+I110</f>
        <v>0.004238951967707535</v>
      </c>
      <c r="J112" s="53">
        <f>J106*2</f>
        <v>0.030897796576675598</v>
      </c>
      <c r="K112" s="53">
        <f>SUM(E112:J112)</f>
        <v>1</v>
      </c>
    </row>
    <row r="113" spans="1:11" ht="18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8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8">
      <c r="A115" s="55">
        <f>A112+1</f>
        <v>6</v>
      </c>
      <c r="B115" s="55" t="s">
        <v>89</v>
      </c>
      <c r="C115" s="55"/>
      <c r="D115" s="55"/>
      <c r="E115" s="59">
        <f aca="true" t="shared" si="15" ref="E115:J115">$K115*E112</f>
        <v>4656413.527212998</v>
      </c>
      <c r="F115" s="59">
        <f t="shared" si="15"/>
        <v>72218.44126109041</v>
      </c>
      <c r="G115" s="59">
        <f t="shared" si="15"/>
        <v>3906.774375701619</v>
      </c>
      <c r="H115" s="59">
        <f t="shared" si="15"/>
        <v>91777.51442829457</v>
      </c>
      <c r="I115" s="59">
        <f t="shared" si="15"/>
        <v>21194.759838537677</v>
      </c>
      <c r="J115" s="59">
        <f t="shared" si="15"/>
        <v>154488.982883378</v>
      </c>
      <c r="K115" s="58">
        <v>5000000</v>
      </c>
    </row>
    <row r="118" ht="16.5">
      <c r="A118" s="15" t="s">
        <v>90</v>
      </c>
    </row>
    <row r="120" spans="1:2" ht="16.5">
      <c r="A120" s="34" t="s">
        <v>91</v>
      </c>
      <c r="B120" s="15"/>
    </row>
    <row r="121" spans="1:2" ht="16.5">
      <c r="A121" s="34">
        <f>A104</f>
        <v>1</v>
      </c>
      <c r="B121" s="15" t="str">
        <f>S3&amp;", column "&amp;+G12</f>
        <v>Settlement Exhibit No. 3, column (d)</v>
      </c>
    </row>
    <row r="122" spans="1:2" ht="16.5">
      <c r="A122" s="34">
        <f>A106</f>
        <v>2</v>
      </c>
      <c r="B122" s="15" t="s">
        <v>92</v>
      </c>
    </row>
    <row r="123" spans="1:2" ht="16.5">
      <c r="A123" s="34">
        <f>A108</f>
        <v>3</v>
      </c>
      <c r="B123" s="15" t="s">
        <v>93</v>
      </c>
    </row>
    <row r="124" spans="1:2" ht="16.5">
      <c r="A124" s="34">
        <f>A110</f>
        <v>4</v>
      </c>
      <c r="B124" s="15" t="s">
        <v>94</v>
      </c>
    </row>
    <row r="125" spans="1:2" ht="16.5">
      <c r="A125" s="34">
        <f>A112</f>
        <v>5</v>
      </c>
      <c r="B125" s="15" t="s">
        <v>95</v>
      </c>
    </row>
    <row r="126" spans="1:2" ht="16.5">
      <c r="A126" s="34">
        <f>A115</f>
        <v>6</v>
      </c>
      <c r="B126" s="15" t="s">
        <v>96</v>
      </c>
    </row>
    <row r="130" ht="15">
      <c r="A130" t="s">
        <v>97</v>
      </c>
    </row>
    <row r="131" ht="15">
      <c r="B131" t="s">
        <v>98</v>
      </c>
    </row>
    <row r="132" spans="1:2" ht="15">
      <c r="A132" s="43" t="s">
        <v>99</v>
      </c>
      <c r="B132" t="s">
        <v>100</v>
      </c>
    </row>
    <row r="133" spans="1:2" ht="15">
      <c r="A133" s="43" t="s">
        <v>101</v>
      </c>
      <c r="B133" t="s">
        <v>102</v>
      </c>
    </row>
    <row r="134" spans="1:2" ht="15">
      <c r="A134" s="43" t="s">
        <v>103</v>
      </c>
      <c r="B134" t="s">
        <v>104</v>
      </c>
    </row>
    <row r="135" spans="1:2" ht="15">
      <c r="A135" s="43" t="s">
        <v>105</v>
      </c>
      <c r="B135" t="s">
        <v>106</v>
      </c>
    </row>
    <row r="136" spans="1:2" ht="15">
      <c r="A136" s="43" t="s">
        <v>107</v>
      </c>
      <c r="B136" t="s">
        <v>108</v>
      </c>
    </row>
    <row r="137" spans="1:2" ht="15">
      <c r="A137" s="43" t="s">
        <v>109</v>
      </c>
      <c r="B137" t="s">
        <v>110</v>
      </c>
    </row>
    <row r="147" spans="1:11" ht="18">
      <c r="A147" s="52" t="e">
        <f>#REF!</f>
        <v>#REF!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1:11" ht="18">
      <c r="A148" s="52" t="e">
        <f>#REF!</f>
        <v>#REF!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1:11" ht="18">
      <c r="A149" s="52" t="e">
        <f>#REF!</f>
        <v>#REF!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1:11" ht="18">
      <c r="A150" s="54"/>
      <c r="B150" s="54"/>
      <c r="C150" s="54"/>
      <c r="D150" s="54"/>
      <c r="E150" s="54"/>
      <c r="F150" s="54"/>
      <c r="G150" s="54"/>
      <c r="H150" s="54"/>
      <c r="I150" s="54"/>
      <c r="J150" s="55"/>
      <c r="K150" s="52" t="s">
        <v>71</v>
      </c>
    </row>
    <row r="151" spans="1:11" ht="18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2" t="s">
        <v>72</v>
      </c>
    </row>
    <row r="152" spans="1:11" ht="23.25">
      <c r="A152" s="5" t="s">
        <v>0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23.25">
      <c r="A153" s="5" t="s">
        <v>111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8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8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8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8">
      <c r="A157" s="55"/>
      <c r="B157" s="55"/>
      <c r="C157" s="55"/>
      <c r="D157" s="55"/>
      <c r="E157" s="56" t="s">
        <v>7</v>
      </c>
      <c r="F157" s="56" t="s">
        <v>8</v>
      </c>
      <c r="G157" s="56" t="s">
        <v>9</v>
      </c>
      <c r="H157" s="56" t="s">
        <v>10</v>
      </c>
      <c r="I157" s="56" t="s">
        <v>11</v>
      </c>
      <c r="J157" s="56" t="s">
        <v>12</v>
      </c>
      <c r="K157" s="56" t="s">
        <v>13</v>
      </c>
    </row>
    <row r="158" spans="1:11" ht="18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8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8">
      <c r="A160" s="55"/>
      <c r="B160" s="63" t="s">
        <v>74</v>
      </c>
      <c r="C160" s="62"/>
      <c r="D160" s="62"/>
      <c r="E160" s="64" t="s">
        <v>75</v>
      </c>
      <c r="F160" s="64" t="s">
        <v>76</v>
      </c>
      <c r="G160" s="64" t="s">
        <v>77</v>
      </c>
      <c r="H160" s="64" t="s">
        <v>78</v>
      </c>
      <c r="I160" s="64" t="s">
        <v>79</v>
      </c>
      <c r="J160" s="64" t="s">
        <v>80</v>
      </c>
      <c r="K160" s="64" t="s">
        <v>81</v>
      </c>
    </row>
    <row r="161" spans="1:11" ht="18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8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8">
      <c r="A163" s="55">
        <f>A157+1</f>
        <v>1</v>
      </c>
      <c r="B163" s="55" t="s">
        <v>112</v>
      </c>
      <c r="C163" s="55"/>
      <c r="D163" s="55"/>
      <c r="E163" s="58">
        <v>207539.52072006333</v>
      </c>
      <c r="F163" s="58">
        <v>2881.5252375502264</v>
      </c>
      <c r="G163" s="58">
        <v>134.37212148818872</v>
      </c>
      <c r="H163" s="58">
        <v>2166.4823096058085</v>
      </c>
      <c r="I163" s="58">
        <v>1160.640765301183</v>
      </c>
      <c r="J163" s="58">
        <v>4045.2268495280023</v>
      </c>
      <c r="K163" s="59">
        <v>217927.76800353674</v>
      </c>
    </row>
    <row r="164" spans="1:11" ht="18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8">
      <c r="A165" s="55">
        <f>A163+1</f>
        <v>2</v>
      </c>
      <c r="B165" s="60" t="s">
        <v>83</v>
      </c>
      <c r="C165" s="55"/>
      <c r="D165" s="55"/>
      <c r="E165" s="53">
        <f aca="true" t="shared" si="16" ref="E165:J165">E163/$K$104</f>
        <v>0.9523316951362306</v>
      </c>
      <c r="F165" s="53">
        <f t="shared" si="16"/>
        <v>0.01322238677497703</v>
      </c>
      <c r="G165" s="53">
        <f t="shared" si="16"/>
        <v>0.0006165901790266948</v>
      </c>
      <c r="H165" s="53">
        <f t="shared" si="16"/>
        <v>0.009941286186029533</v>
      </c>
      <c r="I165" s="53">
        <f t="shared" si="16"/>
        <v>0.005325804856966859</v>
      </c>
      <c r="J165" s="53">
        <f t="shared" si="16"/>
        <v>0.018562236866769326</v>
      </c>
      <c r="K165" s="53">
        <f>SUM(E165:J165)</f>
        <v>1</v>
      </c>
    </row>
    <row r="166" spans="1:11" ht="18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8">
      <c r="A167" s="55">
        <f>A165+1</f>
        <v>3</v>
      </c>
      <c r="B167" s="55" t="s">
        <v>84</v>
      </c>
      <c r="C167" s="55"/>
      <c r="D167" s="55"/>
      <c r="E167" s="55"/>
      <c r="F167" s="55"/>
      <c r="G167" s="55"/>
      <c r="H167" s="53">
        <f>H165</f>
        <v>0.009941286186029533</v>
      </c>
      <c r="I167" s="55"/>
      <c r="J167" s="53">
        <f>J165</f>
        <v>0.018562236866769326</v>
      </c>
      <c r="K167" s="53">
        <f>SUM(E167:J167)</f>
        <v>0.02850352305279886</v>
      </c>
    </row>
    <row r="168" spans="1:11" ht="18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8">
      <c r="A169" s="55">
        <f>A167+1</f>
        <v>4</v>
      </c>
      <c r="B169" s="55" t="s">
        <v>85</v>
      </c>
      <c r="C169" s="55"/>
      <c r="D169" s="55"/>
      <c r="E169" s="61">
        <f>-(+E163/($E163+$F163+$G163+$I163)*(+$H165+$J165))</f>
        <v>-0.027941231975977438</v>
      </c>
      <c r="F169" s="61">
        <f>-(+F163/($E163+$F163+$G163+$I163)*(+$H165+$J165))</f>
        <v>-0.00038794232938228496</v>
      </c>
      <c r="G169" s="61">
        <f>-(+G163/($E163+$F163+$G163+$I163)*(+$H165+$J165))</f>
        <v>-1.8090639337410522E-05</v>
      </c>
      <c r="H169" s="74" t="s">
        <v>86</v>
      </c>
      <c r="I169" s="61">
        <f>-(+I163/($E163+$F163+$G163+$I163)*(+$H165+$J165))</f>
        <v>-0.00015625810810172732</v>
      </c>
      <c r="J169" s="75" t="s">
        <v>87</v>
      </c>
      <c r="K169" s="61">
        <f>SUM(E169:J169)</f>
        <v>-0.028503523052798862</v>
      </c>
    </row>
    <row r="170" spans="1:11" ht="18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8">
      <c r="A171" s="55">
        <f>A169+1</f>
        <v>5</v>
      </c>
      <c r="B171" s="55" t="s">
        <v>88</v>
      </c>
      <c r="C171" s="55"/>
      <c r="D171" s="55"/>
      <c r="E171" s="53">
        <f>E165+E169</f>
        <v>0.9243904631602532</v>
      </c>
      <c r="F171" s="53">
        <f>F165+F169</f>
        <v>0.012834444445594746</v>
      </c>
      <c r="G171" s="53">
        <f>G165+G169</f>
        <v>0.0005984995396892843</v>
      </c>
      <c r="H171" s="53">
        <f>H165*2</f>
        <v>0.019882572372059065</v>
      </c>
      <c r="I171" s="53">
        <f>I165+I169</f>
        <v>0.005169546748865132</v>
      </c>
      <c r="J171" s="53">
        <f>J165*2</f>
        <v>0.03712447373353865</v>
      </c>
      <c r="K171" s="53">
        <f>SUM(E171:J171)</f>
        <v>1</v>
      </c>
    </row>
    <row r="172" spans="1:11" ht="18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8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1:11" ht="18">
      <c r="A174" s="55">
        <f>A171+1</f>
        <v>6</v>
      </c>
      <c r="B174" s="55" t="s">
        <v>89</v>
      </c>
      <c r="C174" s="55"/>
      <c r="D174" s="55"/>
      <c r="E174" s="59">
        <f aca="true" t="shared" si="17" ref="E174:J174">$K174*E171</f>
        <v>4621952.315801266</v>
      </c>
      <c r="F174" s="59">
        <f t="shared" si="17"/>
        <v>64172.222227973725</v>
      </c>
      <c r="G174" s="59">
        <f t="shared" si="17"/>
        <v>2992.4976984464215</v>
      </c>
      <c r="H174" s="59">
        <f t="shared" si="17"/>
        <v>99412.86186029532</v>
      </c>
      <c r="I174" s="59">
        <f t="shared" si="17"/>
        <v>25847.73374432566</v>
      </c>
      <c r="J174" s="59">
        <f t="shared" si="17"/>
        <v>185622.36866769326</v>
      </c>
      <c r="K174" s="58">
        <f>K115</f>
        <v>5000000</v>
      </c>
    </row>
  </sheetData>
  <printOptions horizontalCentered="1"/>
  <pageMargins left="0.25" right="0.25" top="0.75" bottom="0.75" header="0.5" footer="0.5"/>
  <pageSetup fitToHeight="1" fitToWidth="1" horizontalDpi="300" verticalDpi="300" orientation="landscape" scale="56" r:id="rId1"/>
  <rowBreaks count="1" manualBreakCount="1">
    <brk id="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Questar</dc:creator>
  <cp:keywords/>
  <dc:description/>
  <cp:lastModifiedBy>sbintz</cp:lastModifiedBy>
  <cp:lastPrinted>2002-10-16T20:22:27Z</cp:lastPrinted>
  <dcterms:created xsi:type="dcterms:W3CDTF">2002-10-16T22:48:19Z</dcterms:created>
  <dcterms:modified xsi:type="dcterms:W3CDTF">2008-07-07T19:46:03Z</dcterms:modified>
  <cp:category>::ODMA\GRPWISE\ASPOSUPT.PUPSC.PUPSCDocs:31261.1</cp:category>
  <cp:version/>
  <cp:contentType/>
  <cp:contentStatus/>
</cp:coreProperties>
</file>