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65401" windowWidth="11355" windowHeight="8400" activeTab="1"/>
  </bookViews>
  <sheets>
    <sheet name="CWK-1 Sch 1" sheetId="1" r:id="rId1"/>
    <sheet name="CWK-1 Sch 2" sheetId="2" r:id="rId2"/>
    <sheet name="CWK-1 Sch 3" sheetId="3" r:id="rId3"/>
    <sheet name="CWK-1 Sch 4" sheetId="4" r:id="rId4"/>
    <sheet name="CWK-1 Sch 6" sheetId="5" r:id="rId5"/>
  </sheets>
  <externalReferences>
    <externalReference r:id="rId8"/>
    <externalReference r:id="rId9"/>
  </externalReferences>
  <definedNames>
    <definedName name="_Key1" hidden="1">#REF!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SLDatabase">'[2]ASL_DeprLot'!$A$1:$P$41</definedName>
    <definedName name="DATA">#REF!</definedName>
    <definedName name="_xlnm.Print_Titles" localSheetId="0">'CWK-1 Sch 1'!$1:$9</definedName>
    <definedName name="_xlnm.Print_Titles" localSheetId="1">'CWK-1 Sch 2'!$1:$9</definedName>
    <definedName name="_xlnm.Print_Titles" localSheetId="2">'CWK-1 Sch 3'!$1:$9</definedName>
    <definedName name="_xlnm.Print_Titles" localSheetId="3">'CWK-1 Sch 4'!$1:$11</definedName>
    <definedName name="Print_Titles_MI" localSheetId="0">'CWK-1 Sch 1'!$1:$11</definedName>
    <definedName name="Print_Titles_MI" localSheetId="1">'CWK-1 Sch 2'!$1:$11</definedName>
    <definedName name="Print_Titles_MI" localSheetId="3">'CWK-1 Sch 4'!$1:$11</definedName>
    <definedName name="vlookup">#REF!</definedName>
  </definedNames>
  <calcPr fullCalcOnLoad="1"/>
</workbook>
</file>

<file path=xl/sharedStrings.xml><?xml version="1.0" encoding="utf-8"?>
<sst xmlns="http://schemas.openxmlformats.org/spreadsheetml/2006/main" count="348" uniqueCount="129">
  <si>
    <t>Questar Gas Company</t>
  </si>
  <si>
    <t>Recommended Depreciation Rates With</t>
  </si>
  <si>
    <t>Remaining Life Rates Based on Plant Balances December 31, 2004</t>
  </si>
  <si>
    <t>A</t>
  </si>
  <si>
    <t>B</t>
  </si>
  <si>
    <t>C</t>
  </si>
  <si>
    <t>D</t>
  </si>
  <si>
    <t>E</t>
  </si>
  <si>
    <t>F</t>
  </si>
  <si>
    <t>GF Proposed</t>
  </si>
  <si>
    <t>SK Recommended</t>
  </si>
  <si>
    <t xml:space="preserve">Account </t>
  </si>
  <si>
    <t>Account Name</t>
  </si>
  <si>
    <t>Plant Balance</t>
  </si>
  <si>
    <t>Accrual</t>
  </si>
  <si>
    <t>Total</t>
  </si>
  <si>
    <t>Rate</t>
  </si>
  <si>
    <t xml:space="preserve">Cost </t>
  </si>
  <si>
    <t>$</t>
  </si>
  <si>
    <t>%</t>
  </si>
  <si>
    <t>Dep Study Table A</t>
  </si>
  <si>
    <t xml:space="preserve"> 1/</t>
  </si>
  <si>
    <t>( E / A)</t>
  </si>
  <si>
    <t>Distribution Plant</t>
  </si>
  <si>
    <t>Land Rights</t>
  </si>
  <si>
    <t>Account 375 - Structures and Improvements</t>
  </si>
  <si>
    <t>Structures and Improvements - SL OPS Office</t>
  </si>
  <si>
    <t>Structures and Improvements - Springville</t>
  </si>
  <si>
    <t>Structures and Improvements - Bluffdale</t>
  </si>
  <si>
    <t>Structures and Improvements - Ogden</t>
  </si>
  <si>
    <t>Structures and Improvements - Logan</t>
  </si>
  <si>
    <t>Structures and Improvements - All Other</t>
  </si>
  <si>
    <t>Subtotal Account 375</t>
  </si>
  <si>
    <t>Mains</t>
  </si>
  <si>
    <t>Compressor Station Equipment</t>
  </si>
  <si>
    <t>Measuring and Regulating Station Equipment</t>
  </si>
  <si>
    <t>Services</t>
  </si>
  <si>
    <t>Meters</t>
  </si>
  <si>
    <t>Meters - Telemetry Equipment</t>
  </si>
  <si>
    <t>Meters - Transponders</t>
  </si>
  <si>
    <t>Meter Installations</t>
  </si>
  <si>
    <t>House Regulators</t>
  </si>
  <si>
    <t>House Regulator Installations</t>
  </si>
  <si>
    <t>Other Equipment</t>
  </si>
  <si>
    <t xml:space="preserve"> </t>
  </si>
  <si>
    <t>Total Distribution Plant</t>
  </si>
  <si>
    <t>1/</t>
  </si>
  <si>
    <t>DPU 2.07 attach SCHEDULE(a).xls - Table A</t>
  </si>
  <si>
    <t>G</t>
  </si>
  <si>
    <t>H</t>
  </si>
  <si>
    <t xml:space="preserve">Theoretical </t>
  </si>
  <si>
    <t>Distribution</t>
  </si>
  <si>
    <t>ASL</t>
  </si>
  <si>
    <t>ARL</t>
  </si>
  <si>
    <t>Annual Depreciation</t>
  </si>
  <si>
    <t>Depr Reserve</t>
  </si>
  <si>
    <t>Theo. Reserve</t>
  </si>
  <si>
    <t>Without Net Removal</t>
  </si>
  <si>
    <t xml:space="preserve">(C / H) </t>
  </si>
  <si>
    <t>Workpapers</t>
  </si>
  <si>
    <t>( D /  F)</t>
  </si>
  <si>
    <t>(G / A)</t>
  </si>
  <si>
    <t>Recommended Alternative Removal Cost Rates</t>
  </si>
  <si>
    <t xml:space="preserve">D </t>
  </si>
  <si>
    <t>I</t>
  </si>
  <si>
    <t>J</t>
  </si>
  <si>
    <t>K</t>
  </si>
  <si>
    <t>Account</t>
  </si>
  <si>
    <t xml:space="preserve">Description </t>
  </si>
  <si>
    <t>AG Proposed</t>
  </si>
  <si>
    <t>Removal</t>
  </si>
  <si>
    <t>Annual</t>
  </si>
  <si>
    <t xml:space="preserve">Removal </t>
  </si>
  <si>
    <t>Removal Cost</t>
  </si>
  <si>
    <t>Cost to Be</t>
  </si>
  <si>
    <t>Cost Ratio %</t>
  </si>
  <si>
    <t>Allowance</t>
  </si>
  <si>
    <t>Reserve</t>
  </si>
  <si>
    <t>Recovered</t>
  </si>
  <si>
    <t>Cost Accrual</t>
  </si>
  <si>
    <t>WorkPapers</t>
  </si>
  <si>
    <t xml:space="preserve"> (D * C)</t>
  </si>
  <si>
    <t>(C / H) * (H - I)</t>
  </si>
  <si>
    <t>Distribution of</t>
  </si>
  <si>
    <t>Book Reserve</t>
  </si>
  <si>
    <t xml:space="preserve">Amount </t>
  </si>
  <si>
    <t>* Col.C</t>
  </si>
  <si>
    <t>to Be Recovered</t>
  </si>
  <si>
    <t>A-D</t>
  </si>
  <si>
    <t>General Plant</t>
  </si>
  <si>
    <t>Structures and Improvements</t>
  </si>
  <si>
    <t>Structures and Improvements - CNG Equipment</t>
  </si>
  <si>
    <t>Office Furniture &amp; Equipment - Furniture</t>
  </si>
  <si>
    <t>Office Furniture &amp; Equipment - Equipment</t>
  </si>
  <si>
    <t>Office Furniture &amp; Equipment - Computer Hardware</t>
  </si>
  <si>
    <t>Office Furniture &amp; Equipment - Computer Software</t>
  </si>
  <si>
    <t>Transportation Equipment - General</t>
  </si>
  <si>
    <t>Transportation Equipment - CNG Tanks</t>
  </si>
  <si>
    <t>Stores Equipment</t>
  </si>
  <si>
    <t>Tools Shop and Garage Equipment - Small Tools</t>
  </si>
  <si>
    <t>Tools Shop and Garage Equipment - Shop Equip</t>
  </si>
  <si>
    <t>Tools Shop and Garage Equipment - CNG Equip</t>
  </si>
  <si>
    <t>Laboratory Equipment</t>
  </si>
  <si>
    <t>Power Operated Equipment</t>
  </si>
  <si>
    <t>Communication Equipment - Mobile Radio</t>
  </si>
  <si>
    <t>Communication Equipment - Base Stations</t>
  </si>
  <si>
    <t>Communication Equipment - Telemetry</t>
  </si>
  <si>
    <t>Communication Equipment - Other</t>
  </si>
  <si>
    <t>Miscellaneous Equipment</t>
  </si>
  <si>
    <t>Total General Plant</t>
  </si>
  <si>
    <t>TOTAL DEPRECIABLE GAS PLANT STUDIED</t>
  </si>
  <si>
    <t>COR</t>
  </si>
  <si>
    <t>Based on Plant Balances December 31, 2004</t>
  </si>
  <si>
    <t>Composite</t>
  </si>
  <si>
    <t>Comparative Depreciation Rates and Cost of Removal Rates</t>
  </si>
  <si>
    <t xml:space="preserve">Total </t>
  </si>
  <si>
    <t>Accruals</t>
  </si>
  <si>
    <t>Comparative Depreciation and Removal Cost Accruals</t>
  </si>
  <si>
    <t>Total Depreciable Plant</t>
  </si>
  <si>
    <t>Questar Gas Company - Utah Operations</t>
  </si>
  <si>
    <t>Based on Plant Balances December 31, 2005</t>
  </si>
  <si>
    <t>(Book Reserve)</t>
  </si>
  <si>
    <t>( E / A )</t>
  </si>
  <si>
    <t>Structures and Improvements - SL Annex</t>
  </si>
  <si>
    <t>2/</t>
  </si>
  <si>
    <t>05-057-T01 QGCs Response to DPU Data Request 1.13 - Attachment.xls</t>
  </si>
  <si>
    <t>Depreciation</t>
  </si>
  <si>
    <t xml:space="preserve"> &amp; COR</t>
  </si>
  <si>
    <t>&amp; COR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</si>
</sst>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_);\(0.0\)"/>
    <numFmt numFmtId="167" formatCode="0.0%"/>
    <numFmt numFmtId="168" formatCode="0_);\(0\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0.00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000_);_(* \(#,##0.0000\);_(* &quot;-&quot;????_);_(@_)"/>
    <numFmt numFmtId="176" formatCode="0.000"/>
    <numFmt numFmtId="177" formatCode="&quot;$&quot;#,##0;[Red]&quot;$&quot;#,##0"/>
    <numFmt numFmtId="178" formatCode="&quot;$&quot;#,##0.00"/>
    <numFmt numFmtId="179" formatCode="&quot;$&quot;#,##0"/>
    <numFmt numFmtId="180" formatCode="0.000000"/>
    <numFmt numFmtId="181" formatCode="&quot;$&quot;#,##0.0"/>
    <numFmt numFmtId="182" formatCode="0.00_)"/>
    <numFmt numFmtId="183" formatCode="0.00_);\(0.00\)"/>
    <numFmt numFmtId="184" formatCode="0.0_)"/>
    <numFmt numFmtId="185" formatCode="#,##0.0_);\(#,##0.0\)"/>
    <numFmt numFmtId="186" formatCode="0.0000"/>
    <numFmt numFmtId="187" formatCode="0.00000"/>
    <numFmt numFmtId="188" formatCode="[$-409]dddd\,\ mmmm\ dd\,\ yyyy"/>
    <numFmt numFmtId="189" formatCode="mm/dd/yy;@"/>
    <numFmt numFmtId="190" formatCode="m/d/yy;@"/>
    <numFmt numFmtId="191" formatCode="_(* #,##0.0_);_(* \(#,##0.0\);_(* &quot;-&quot;?_);_(@_)"/>
    <numFmt numFmtId="192" formatCode="0.0000%"/>
    <numFmt numFmtId="193" formatCode="#,##0.0"/>
    <numFmt numFmtId="194" formatCode="_(* #,##0.000_);_(* \(#,##0.000\);_(* &quot;-&quot;???_);_(@_)"/>
    <numFmt numFmtId="195" formatCode="_(&quot;$&quot;* #,##0.000_);_(&quot;$&quot;* \(#,##0.0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00000"/>
    <numFmt numFmtId="202" formatCode="&quot;$&quot;\ #,##0;&quot;$&quot;\ \-#,##0"/>
    <numFmt numFmtId="203" formatCode="&quot;$&quot;\ #,##0;[Red]&quot;$&quot;\ \-#,##0"/>
    <numFmt numFmtId="204" formatCode="&quot;$&quot;\ #,##0.00;&quot;$&quot;\ \-#,##0.00"/>
    <numFmt numFmtId="205" formatCode="&quot;$&quot;\ #,##0.00;[Red]&quot;$&quot;\ \-#,##0.00"/>
    <numFmt numFmtId="206" formatCode="_ &quot;$&quot;\ * #,##0_ ;_ &quot;$&quot;\ * \-#,##0_ ;_ &quot;$&quot;\ * &quot;-&quot;_ ;_ @_ "/>
    <numFmt numFmtId="207" formatCode="_ * #,##0_ ;_ * \-#,##0_ ;_ * &quot;-&quot;_ ;_ @_ "/>
    <numFmt numFmtId="208" formatCode="_ &quot;$&quot;\ * #,##0.00_ ;_ &quot;$&quot;\ * \-#,##0.00_ ;_ &quot;$&quot;\ * &quot;-&quot;??_ ;_ @_ "/>
    <numFmt numFmtId="209" formatCode="_ * #,##0.00_ ;_ * \-#,##0.00_ ;_ * &quot;-&quot;??_ ;_ @_ "/>
    <numFmt numFmtId="210" formatCode="_ &quot;$&quot;\ * #,##0.0_ ;_ &quot;$&quot;\ * \-#,##0.0_ ;_ &quot;$&quot;\ * &quot;-&quot;??_ ;_ @_ "/>
    <numFmt numFmtId="211" formatCode="_ &quot;$&quot;\ * #,##0_ ;_ &quot;$&quot;\ * \-#,##0_ ;_ &quot;$&quot;\ * &quot;-&quot;??_ ;_ @_ "/>
    <numFmt numFmtId="212" formatCode="_ * #,##0.0_ ;_ * \-#,##0.0_ ;_ * &quot;-&quot;??_ ;_ @_ "/>
    <numFmt numFmtId="213" formatCode="_ * #,##0_ ;_ * \-#,##0_ ;_ * &quot;-&quot;??_ ;_ @_ "/>
    <numFmt numFmtId="214" formatCode="#,##0.0000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22" applyFont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21" applyNumberFormat="1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0" xfId="21" applyFont="1" applyBorder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1" xfId="21" applyFont="1" applyBorder="1" applyProtection="1">
      <alignment/>
      <protection/>
    </xf>
    <xf numFmtId="0" fontId="0" fillId="0" borderId="0" xfId="21" applyFont="1" applyProtection="1">
      <alignment/>
      <protection/>
    </xf>
    <xf numFmtId="0" fontId="0" fillId="0" borderId="0" xfId="0" applyBorder="1" applyAlignment="1">
      <alignment/>
    </xf>
    <xf numFmtId="0" fontId="0" fillId="0" borderId="0" xfId="21" applyFont="1" applyFill="1" applyAlignment="1">
      <alignment horizontal="center"/>
      <protection/>
    </xf>
    <xf numFmtId="9" fontId="0" fillId="0" borderId="0" xfId="22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ill="1" applyAlignment="1">
      <alignment/>
    </xf>
    <xf numFmtId="9" fontId="0" fillId="0" borderId="0" xfId="22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0" fontId="0" fillId="1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10" fontId="0" fillId="0" borderId="0" xfId="21" applyNumberFormat="1" applyFont="1">
      <alignment/>
      <protection/>
    </xf>
    <xf numFmtId="39" fontId="0" fillId="0" borderId="0" xfId="0" applyNumberFormat="1" applyBorder="1" applyAlignment="1">
      <alignment horizontal="right"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10" fontId="0" fillId="0" borderId="0" xfId="22" applyNumberFormat="1" applyAlignment="1">
      <alignment/>
    </xf>
    <xf numFmtId="3" fontId="0" fillId="0" borderId="1" xfId="0" applyNumberFormat="1" applyFont="1" applyBorder="1" applyAlignment="1">
      <alignment/>
    </xf>
    <xf numFmtId="10" fontId="0" fillId="1" borderId="1" xfId="0" applyNumberFormat="1" applyFont="1" applyFill="1" applyBorder="1" applyAlignment="1" applyProtection="1">
      <alignment/>
      <protection/>
    </xf>
    <xf numFmtId="10" fontId="0" fillId="0" borderId="1" xfId="0" applyNumberFormat="1" applyFont="1" applyBorder="1" applyAlignment="1" applyProtection="1">
      <alignment/>
      <protection/>
    </xf>
    <xf numFmtId="10" fontId="0" fillId="0" borderId="1" xfId="21" applyNumberFormat="1" applyFont="1" applyBorder="1">
      <alignment/>
      <protection/>
    </xf>
    <xf numFmtId="10" fontId="0" fillId="0" borderId="1" xfId="22" applyNumberFormat="1" applyBorder="1" applyAlignment="1">
      <alignment/>
    </xf>
    <xf numFmtId="3" fontId="6" fillId="0" borderId="0" xfId="0" applyNumberFormat="1" applyFont="1" applyBorder="1" applyAlignment="1">
      <alignment/>
    </xf>
    <xf numFmtId="10" fontId="6" fillId="1" borderId="0" xfId="0" applyNumberFormat="1" applyFont="1" applyFill="1" applyBorder="1" applyAlignment="1" applyProtection="1">
      <alignment/>
      <protection/>
    </xf>
    <xf numFmtId="10" fontId="6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right"/>
    </xf>
    <xf numFmtId="0" fontId="8" fillId="0" borderId="0" xfId="0" applyFont="1" applyFill="1" applyAlignment="1">
      <alignment horizontal="right" vertical="top" wrapText="1"/>
    </xf>
    <xf numFmtId="184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9" fontId="0" fillId="0" borderId="0" xfId="22" applyFont="1" applyBorder="1" applyAlignment="1">
      <alignment/>
    </xf>
    <xf numFmtId="184" fontId="0" fillId="0" borderId="0" xfId="0" applyNumberFormat="1" applyFont="1" applyAlignment="1" applyProtection="1">
      <alignment horizontal="right"/>
      <protection/>
    </xf>
    <xf numFmtId="184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0" fontId="0" fillId="0" borderId="0" xfId="0" applyNumberFormat="1" applyFont="1" applyBorder="1" applyAlignment="1">
      <alignment/>
    </xf>
    <xf numFmtId="43" fontId="0" fillId="0" borderId="0" xfId="15" applyFont="1" applyBorder="1" applyAlignment="1" applyProtection="1">
      <alignment/>
      <protection/>
    </xf>
    <xf numFmtId="0" fontId="0" fillId="0" borderId="0" xfId="21" applyFont="1" applyBorder="1" applyProtection="1">
      <alignment/>
      <protection/>
    </xf>
    <xf numFmtId="9" fontId="0" fillId="0" borderId="0" xfId="22" applyFont="1" applyAlignment="1">
      <alignment/>
    </xf>
    <xf numFmtId="43" fontId="0" fillId="0" borderId="0" xfId="15" applyFont="1" applyAlignment="1" applyProtection="1">
      <alignment/>
      <protection/>
    </xf>
    <xf numFmtId="10" fontId="5" fillId="0" borderId="0" xfId="21" applyNumberFormat="1" applyFont="1" applyAlignment="1" applyProtection="1">
      <alignment horizontal="center"/>
      <protection/>
    </xf>
    <xf numFmtId="0" fontId="0" fillId="0" borderId="0" xfId="21" applyFont="1" applyAlignment="1" applyProtection="1">
      <alignment horizontal="center"/>
      <protection/>
    </xf>
    <xf numFmtId="10" fontId="0" fillId="0" borderId="0" xfId="21" applyNumberFormat="1" applyFont="1" applyAlignment="1" applyProtection="1">
      <alignment horizontal="center"/>
      <protection/>
    </xf>
    <xf numFmtId="19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93" fontId="9" fillId="0" borderId="0" xfId="15" applyNumberFormat="1" applyFon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93" fontId="9" fillId="0" borderId="1" xfId="15" applyNumberFormat="1" applyFont="1" applyBorder="1" applyAlignment="1" applyProtection="1">
      <alignment horizontal="center"/>
      <protection/>
    </xf>
    <xf numFmtId="0" fontId="0" fillId="0" borderId="0" xfId="0" applyAlignment="1" quotePrefix="1">
      <alignment horizontal="center"/>
    </xf>
    <xf numFmtId="10" fontId="0" fillId="0" borderId="0" xfId="0" applyNumberFormat="1" applyFill="1" applyAlignment="1">
      <alignment/>
    </xf>
    <xf numFmtId="0" fontId="0" fillId="0" borderId="0" xfId="0" applyFont="1" applyAlignment="1" quotePrefix="1">
      <alignment horizontal="center"/>
    </xf>
    <xf numFmtId="10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 horizontal="left" indent="1"/>
    </xf>
    <xf numFmtId="0" fontId="0" fillId="0" borderId="0" xfId="0" applyNumberFormat="1" applyFont="1" applyFill="1" applyBorder="1" applyAlignment="1">
      <alignment horizontal="right" vertical="top"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10" fontId="6" fillId="0" borderId="0" xfId="0" applyNumberFormat="1" applyFont="1" applyBorder="1" applyAlignment="1">
      <alignment/>
    </xf>
    <xf numFmtId="37" fontId="6" fillId="0" borderId="0" xfId="21" applyNumberFormat="1" applyFont="1">
      <alignment/>
      <protection/>
    </xf>
    <xf numFmtId="37" fontId="6" fillId="0" borderId="0" xfId="21" applyNumberFormat="1" applyFont="1" applyBorder="1">
      <alignment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top"/>
    </xf>
    <xf numFmtId="4" fontId="0" fillId="0" borderId="1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10" fontId="0" fillId="0" borderId="0" xfId="0" applyNumberFormat="1" applyFont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>
      <alignment/>
    </xf>
    <xf numFmtId="186" fontId="0" fillId="0" borderId="0" xfId="0" applyNumberFormat="1" applyAlignment="1" quotePrefix="1">
      <alignment horizontal="right"/>
    </xf>
    <xf numFmtId="4" fontId="0" fillId="0" borderId="0" xfId="15" applyNumberFormat="1" applyFont="1" applyBorder="1" applyAlignment="1" applyProtection="1">
      <alignment/>
      <protection/>
    </xf>
    <xf numFmtId="10" fontId="0" fillId="0" borderId="0" xfId="21" applyNumberFormat="1" applyFont="1" applyBorder="1" applyProtection="1">
      <alignment/>
      <protection/>
    </xf>
    <xf numFmtId="193" fontId="0" fillId="0" borderId="0" xfId="15" applyNumberFormat="1" applyFont="1" applyBorder="1" applyAlignment="1" applyProtection="1">
      <alignment/>
      <protection/>
    </xf>
    <xf numFmtId="193" fontId="0" fillId="0" borderId="0" xfId="15" applyNumberFormat="1" applyFont="1" applyAlignment="1" applyProtection="1">
      <alignment/>
      <protection/>
    </xf>
    <xf numFmtId="10" fontId="0" fillId="0" borderId="0" xfId="21" applyNumberFormat="1" applyFont="1" applyProtection="1">
      <alignment/>
      <protection/>
    </xf>
    <xf numFmtId="14" fontId="0" fillId="0" borderId="0" xfId="0" applyNumberFormat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7" fontId="0" fillId="0" borderId="0" xfId="15" applyNumberFormat="1" applyFont="1" applyAlignment="1" applyProtection="1">
      <alignment/>
      <protection/>
    </xf>
    <xf numFmtId="10" fontId="6" fillId="0" borderId="0" xfId="22" applyNumberFormat="1" applyFont="1" applyAlignment="1">
      <alignment/>
    </xf>
    <xf numFmtId="166" fontId="0" fillId="0" borderId="0" xfId="0" applyNumberFormat="1" applyBorder="1" applyAlignment="1">
      <alignment horizontal="center"/>
    </xf>
    <xf numFmtId="43" fontId="0" fillId="0" borderId="0" xfId="15" applyAlignment="1">
      <alignment/>
    </xf>
    <xf numFmtId="2" fontId="0" fillId="0" borderId="0" xfId="15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5" fontId="11" fillId="0" borderId="0" xfId="15" applyNumberFormat="1" applyFont="1" applyAlignment="1">
      <alignment/>
    </xf>
    <xf numFmtId="3" fontId="0" fillId="0" borderId="0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186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left"/>
    </xf>
    <xf numFmtId="37" fontId="6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7" fontId="6" fillId="0" borderId="3" xfId="0" applyNumberFormat="1" applyFont="1" applyBorder="1" applyAlignment="1">
      <alignment/>
    </xf>
    <xf numFmtId="10" fontId="6" fillId="0" borderId="1" xfId="0" applyNumberFormat="1" applyFont="1" applyBorder="1" applyAlignment="1" applyProtection="1">
      <alignment/>
      <protection/>
    </xf>
    <xf numFmtId="10" fontId="6" fillId="0" borderId="3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10" fontId="6" fillId="1" borderId="1" xfId="0" applyNumberFormat="1" applyFont="1" applyFill="1" applyBorder="1" applyAlignment="1" applyProtection="1">
      <alignment/>
      <protection/>
    </xf>
    <xf numFmtId="10" fontId="0" fillId="0" borderId="3" xfId="0" applyNumberFormat="1" applyFont="1" applyBorder="1" applyAlignment="1" applyProtection="1">
      <alignment/>
      <protection/>
    </xf>
    <xf numFmtId="10" fontId="6" fillId="1" borderId="3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2" borderId="0" xfId="21" applyFont="1" applyFill="1" applyBorder="1">
      <alignment/>
      <protection/>
    </xf>
    <xf numFmtId="9" fontId="0" fillId="0" borderId="0" xfId="22" applyAlignment="1">
      <alignment/>
    </xf>
    <xf numFmtId="10" fontId="0" fillId="0" borderId="1" xfId="0" applyNumberFormat="1" applyFont="1" applyFill="1" applyBorder="1" applyAlignment="1" applyProtection="1">
      <alignment/>
      <protection/>
    </xf>
    <xf numFmtId="10" fontId="6" fillId="0" borderId="0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3" xfId="0" applyNumberFormat="1" applyFont="1" applyBorder="1" applyAlignment="1">
      <alignment/>
    </xf>
    <xf numFmtId="10" fontId="6" fillId="0" borderId="3" xfId="0" applyNumberFormat="1" applyFont="1" applyFill="1" applyBorder="1" applyAlignment="1" applyProtection="1">
      <alignment/>
      <protection/>
    </xf>
    <xf numFmtId="10" fontId="6" fillId="0" borderId="1" xfId="21" applyNumberFormat="1" applyFont="1" applyBorder="1">
      <alignment/>
      <protection/>
    </xf>
    <xf numFmtId="10" fontId="6" fillId="0" borderId="1" xfId="22" applyNumberFormat="1" applyFont="1" applyBorder="1" applyAlignment="1">
      <alignment/>
    </xf>
    <xf numFmtId="10" fontId="6" fillId="0" borderId="1" xfId="0" applyNumberFormat="1" applyFont="1" applyFill="1" applyBorder="1" applyAlignment="1" applyProtection="1">
      <alignment/>
      <protection/>
    </xf>
    <xf numFmtId="10" fontId="0" fillId="0" borderId="1" xfId="0" applyNumberFormat="1" applyBorder="1" applyAlignment="1">
      <alignment/>
    </xf>
    <xf numFmtId="10" fontId="6" fillId="0" borderId="3" xfId="0" applyNumberFormat="1" applyFont="1" applyBorder="1" applyAlignment="1">
      <alignment/>
    </xf>
    <xf numFmtId="0" fontId="0" fillId="0" borderId="3" xfId="0" applyFont="1" applyFill="1" applyBorder="1" applyAlignment="1">
      <alignment horizontal="right" vertical="top"/>
    </xf>
    <xf numFmtId="0" fontId="0" fillId="0" borderId="3" xfId="0" applyFont="1" applyBorder="1" applyAlignment="1">
      <alignment horizontal="right" vertical="top" wrapText="1"/>
    </xf>
    <xf numFmtId="37" fontId="6" fillId="0" borderId="3" xfId="21" applyNumberFormat="1" applyFont="1" applyBorder="1">
      <alignment/>
      <protection/>
    </xf>
    <xf numFmtId="184" fontId="0" fillId="0" borderId="0" xfId="0" applyNumberFormat="1" applyFont="1" applyBorder="1" applyAlignment="1" applyProtection="1">
      <alignment horizontal="right"/>
      <protection/>
    </xf>
    <xf numFmtId="0" fontId="5" fillId="0" borderId="0" xfId="21" applyFont="1" applyAlignment="1" applyProtection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21" applyFont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K Recommendations with CO Net Salvage" xfId="21"/>
    <cellStyle name="Percent" xfId="22"/>
    <cellStyle name="PSChar" xfId="23"/>
    <cellStyle name="PSDate" xfId="24"/>
    <cellStyle name="PSDec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reciation\2-128%20-%20GA%20Power%20Rate%20Case\Exhibits%20workpap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tAcct\QGC_Plant\DeprecStudy\ASL2004_DepreciationSummary_Oct_2005(Revis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ny Parameters w calcs"/>
      <sheetName val="CWK-1.1 (2)"/>
      <sheetName val="CWK-1.1"/>
      <sheetName val="CWK-1.1 WP"/>
      <sheetName val="CWK-1.1 wp 2"/>
      <sheetName val="CWK-1.2 wp"/>
      <sheetName val="CWK-1.2"/>
      <sheetName val="CWK-2.1"/>
      <sheetName val="CWK-2.2"/>
      <sheetName val="CWK-4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e"/>
      <sheetName val="ASL_DeprLot"/>
      <sheetName val="TableA"/>
      <sheetName val="TableB"/>
      <sheetName val="TableC"/>
      <sheetName val="ELG_Depr-lot"/>
    </sheetNames>
    <sheetDataSet>
      <sheetData sheetId="1">
        <row r="1">
          <cell r="A1" t="str">
            <v> ACCT  GROUP        </v>
          </cell>
          <cell r="B1" t="str">
            <v>LS DATE</v>
          </cell>
          <cell r="C1" t="str">
            <v>  LIFE</v>
          </cell>
          <cell r="D1" t="str">
            <v>TP CV</v>
          </cell>
          <cell r="E1" t="str">
            <v> SAL</v>
          </cell>
          <cell r="F1" t="str">
            <v>        COST</v>
          </cell>
          <cell r="G1" t="str">
            <v>  RESERVE</v>
          </cell>
          <cell r="H1" t="str">
            <v>  FUT-ACC</v>
          </cell>
          <cell r="I1" t="str">
            <v>  ANNUAL</v>
          </cell>
          <cell r="J1" t="str">
            <v> RATE</v>
          </cell>
          <cell r="K1" t="str">
            <v>REM LF</v>
          </cell>
          <cell r="L1" t="str">
            <v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</row>
        <row r="2">
          <cell r="A2">
            <v>374.11</v>
          </cell>
          <cell r="B2" t="str">
            <v>       </v>
          </cell>
          <cell r="C2">
            <v>0</v>
          </cell>
          <cell r="D2" t="str">
            <v>ND   </v>
          </cell>
          <cell r="E2">
            <v>0</v>
          </cell>
          <cell r="F2">
            <v>3866869.95</v>
          </cell>
          <cell r="G2">
            <v>0</v>
          </cell>
          <cell r="H2">
            <v>3866870</v>
          </cell>
          <cell r="I2">
            <v>0</v>
          </cell>
          <cell r="J2">
            <v>0</v>
          </cell>
          <cell r="K2">
            <v>0</v>
          </cell>
          <cell r="L2" t="str">
            <v>      </v>
          </cell>
          <cell r="M2" t="str">
            <v>     </v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374.21</v>
          </cell>
          <cell r="B3" t="str">
            <v>       </v>
          </cell>
          <cell r="C3">
            <v>75</v>
          </cell>
          <cell r="D3" t="str">
            <v>R3   </v>
          </cell>
          <cell r="E3">
            <v>0</v>
          </cell>
          <cell r="F3">
            <v>796984.87</v>
          </cell>
          <cell r="G3">
            <v>130736</v>
          </cell>
          <cell r="H3">
            <v>666249</v>
          </cell>
          <cell r="I3">
            <v>10600</v>
          </cell>
          <cell r="J3">
            <v>1.33</v>
          </cell>
          <cell r="K3">
            <v>62.85</v>
          </cell>
          <cell r="L3" t="str">
            <v>      </v>
          </cell>
          <cell r="M3" t="str">
            <v>     </v>
          </cell>
          <cell r="N3">
            <v>0</v>
          </cell>
          <cell r="O3">
            <v>16.4</v>
          </cell>
          <cell r="P3">
            <v>13.1</v>
          </cell>
        </row>
        <row r="4">
          <cell r="A4">
            <v>375.0001</v>
          </cell>
          <cell r="B4">
            <v>48731</v>
          </cell>
          <cell r="C4">
            <v>120</v>
          </cell>
          <cell r="D4" t="str">
            <v>R1   </v>
          </cell>
          <cell r="E4">
            <v>0</v>
          </cell>
          <cell r="F4">
            <v>5724183.24</v>
          </cell>
          <cell r="G4">
            <v>1860786</v>
          </cell>
          <cell r="H4">
            <v>3863397</v>
          </cell>
          <cell r="I4">
            <v>141309</v>
          </cell>
          <cell r="J4">
            <v>2.47</v>
          </cell>
          <cell r="K4">
            <v>27.34</v>
          </cell>
          <cell r="L4" t="str">
            <v>      </v>
          </cell>
          <cell r="M4" t="str">
            <v>     </v>
          </cell>
          <cell r="N4">
            <v>0</v>
          </cell>
          <cell r="O4">
            <v>32.5</v>
          </cell>
          <cell r="P4">
            <v>15.8</v>
          </cell>
        </row>
        <row r="5">
          <cell r="A5">
            <v>375.0002</v>
          </cell>
          <cell r="B5">
            <v>56401</v>
          </cell>
          <cell r="C5">
            <v>100</v>
          </cell>
          <cell r="D5" t="str">
            <v>R1   </v>
          </cell>
          <cell r="E5">
            <v>0</v>
          </cell>
          <cell r="F5">
            <v>11487530.61</v>
          </cell>
          <cell r="G5">
            <v>1843886</v>
          </cell>
          <cell r="H5">
            <v>9643645</v>
          </cell>
          <cell r="I5">
            <v>214064</v>
          </cell>
          <cell r="J5">
            <v>1.86</v>
          </cell>
          <cell r="K5">
            <v>45.05</v>
          </cell>
          <cell r="L5" t="str">
            <v>      </v>
          </cell>
          <cell r="M5" t="str">
            <v>     </v>
          </cell>
          <cell r="N5">
            <v>0</v>
          </cell>
          <cell r="O5">
            <v>16.1</v>
          </cell>
          <cell r="P5">
            <v>10</v>
          </cell>
        </row>
        <row r="6">
          <cell r="A6">
            <v>375.0003</v>
          </cell>
          <cell r="B6">
            <v>44348</v>
          </cell>
          <cell r="C6">
            <v>120</v>
          </cell>
          <cell r="D6" t="str">
            <v>R1   </v>
          </cell>
          <cell r="E6">
            <v>0</v>
          </cell>
          <cell r="F6">
            <v>1457895.17</v>
          </cell>
          <cell r="G6">
            <v>850936</v>
          </cell>
          <cell r="H6">
            <v>606959</v>
          </cell>
          <cell r="I6">
            <v>37776</v>
          </cell>
          <cell r="J6">
            <v>2.59</v>
          </cell>
          <cell r="K6">
            <v>16.07</v>
          </cell>
          <cell r="L6" t="str">
            <v>      </v>
          </cell>
          <cell r="M6" t="str">
            <v>     </v>
          </cell>
          <cell r="N6">
            <v>0</v>
          </cell>
          <cell r="O6">
            <v>58.4</v>
          </cell>
          <cell r="P6">
            <v>27.1</v>
          </cell>
        </row>
        <row r="7">
          <cell r="A7">
            <v>375.0004</v>
          </cell>
          <cell r="B7">
            <v>54940</v>
          </cell>
          <cell r="C7">
            <v>120</v>
          </cell>
          <cell r="D7" t="str">
            <v>R1   </v>
          </cell>
          <cell r="E7">
            <v>0</v>
          </cell>
          <cell r="F7">
            <v>746620.65</v>
          </cell>
          <cell r="G7">
            <v>63501</v>
          </cell>
          <cell r="H7">
            <v>683120</v>
          </cell>
          <cell r="I7">
            <v>16005</v>
          </cell>
          <cell r="J7">
            <v>2.14</v>
          </cell>
          <cell r="K7">
            <v>42.68</v>
          </cell>
          <cell r="L7" t="str">
            <v>      </v>
          </cell>
          <cell r="M7" t="str">
            <v>     </v>
          </cell>
          <cell r="N7">
            <v>0</v>
          </cell>
          <cell r="O7">
            <v>8.5</v>
          </cell>
          <cell r="P7">
            <v>4.4</v>
          </cell>
        </row>
        <row r="8">
          <cell r="A8">
            <v>375.0005</v>
          </cell>
          <cell r="B8">
            <v>54210</v>
          </cell>
          <cell r="C8">
            <v>120</v>
          </cell>
          <cell r="D8" t="str">
            <v>R1   </v>
          </cell>
          <cell r="E8">
            <v>0</v>
          </cell>
          <cell r="F8">
            <v>4267848.19</v>
          </cell>
          <cell r="G8">
            <v>535129</v>
          </cell>
          <cell r="H8">
            <v>3732719</v>
          </cell>
          <cell r="I8">
            <v>91314</v>
          </cell>
          <cell r="J8">
            <v>2.14</v>
          </cell>
          <cell r="K8">
            <v>40.88</v>
          </cell>
          <cell r="L8" t="str">
            <v>      </v>
          </cell>
          <cell r="M8" t="str">
            <v>     </v>
          </cell>
          <cell r="N8">
            <v>0</v>
          </cell>
          <cell r="O8">
            <v>12.5</v>
          </cell>
          <cell r="P8">
            <v>6.5</v>
          </cell>
        </row>
        <row r="9">
          <cell r="A9">
            <v>375.0006</v>
          </cell>
          <cell r="B9">
            <v>54940</v>
          </cell>
          <cell r="C9">
            <v>120</v>
          </cell>
          <cell r="D9" t="str">
            <v>R1   </v>
          </cell>
          <cell r="E9">
            <v>0</v>
          </cell>
          <cell r="F9">
            <v>1046574.3</v>
          </cell>
          <cell r="G9">
            <v>86491</v>
          </cell>
          <cell r="H9">
            <v>960083</v>
          </cell>
          <cell r="I9">
            <v>22489</v>
          </cell>
          <cell r="J9">
            <v>2.15</v>
          </cell>
          <cell r="K9">
            <v>42.69</v>
          </cell>
          <cell r="L9" t="str">
            <v>      </v>
          </cell>
          <cell r="M9" t="str">
            <v>     </v>
          </cell>
          <cell r="N9">
            <v>0</v>
          </cell>
          <cell r="O9">
            <v>8.3</v>
          </cell>
          <cell r="P9">
            <v>4.3</v>
          </cell>
        </row>
        <row r="10">
          <cell r="A10">
            <v>375.0009</v>
          </cell>
          <cell r="B10" t="str">
            <v>       </v>
          </cell>
          <cell r="C10">
            <v>40</v>
          </cell>
          <cell r="D10" t="str">
            <v>R1   </v>
          </cell>
          <cell r="E10">
            <v>0</v>
          </cell>
          <cell r="F10">
            <v>27213541.49</v>
          </cell>
          <cell r="G10">
            <v>6535191</v>
          </cell>
          <cell r="H10">
            <v>20678350</v>
          </cell>
          <cell r="I10">
            <v>680339</v>
          </cell>
          <cell r="J10">
            <v>2.5</v>
          </cell>
          <cell r="K10">
            <v>30.39</v>
          </cell>
          <cell r="L10" t="str">
            <v>      </v>
          </cell>
          <cell r="M10" t="str">
            <v>     </v>
          </cell>
          <cell r="N10">
            <v>0</v>
          </cell>
          <cell r="O10">
            <v>24</v>
          </cell>
          <cell r="P10">
            <v>13.9</v>
          </cell>
        </row>
        <row r="11">
          <cell r="A11">
            <v>376</v>
          </cell>
          <cell r="B11" t="str">
            <v>       </v>
          </cell>
          <cell r="C11">
            <v>62</v>
          </cell>
          <cell r="D11" t="str">
            <v>R2.5 </v>
          </cell>
          <cell r="E11">
            <v>-45</v>
          </cell>
          <cell r="F11">
            <v>518368514.22</v>
          </cell>
          <cell r="G11">
            <v>152984914</v>
          </cell>
          <cell r="H11">
            <v>598649432</v>
          </cell>
          <cell r="I11">
            <v>12101313</v>
          </cell>
          <cell r="J11">
            <v>2.33</v>
          </cell>
          <cell r="K11">
            <v>49.47</v>
          </cell>
          <cell r="L11" t="str">
            <v>      </v>
          </cell>
          <cell r="M11" t="str">
            <v>     </v>
          </cell>
          <cell r="N11">
            <v>0</v>
          </cell>
          <cell r="O11">
            <v>29.5</v>
          </cell>
          <cell r="P11">
            <v>14.2</v>
          </cell>
        </row>
        <row r="12">
          <cell r="A12">
            <v>377</v>
          </cell>
          <cell r="B12" t="str">
            <v>       </v>
          </cell>
          <cell r="C12">
            <v>33</v>
          </cell>
          <cell r="D12" t="str">
            <v>R4   </v>
          </cell>
          <cell r="E12">
            <v>-5</v>
          </cell>
          <cell r="F12">
            <v>4004326.5</v>
          </cell>
          <cell r="G12">
            <v>1584023</v>
          </cell>
          <cell r="H12">
            <v>2620520</v>
          </cell>
          <cell r="I12">
            <v>127398</v>
          </cell>
          <cell r="J12">
            <v>3.18</v>
          </cell>
          <cell r="K12">
            <v>20.57</v>
          </cell>
          <cell r="L12" t="str">
            <v>      </v>
          </cell>
          <cell r="M12" t="str">
            <v>     </v>
          </cell>
          <cell r="N12">
            <v>0</v>
          </cell>
          <cell r="O12">
            <v>39.6</v>
          </cell>
          <cell r="P12">
            <v>13.4</v>
          </cell>
        </row>
        <row r="13">
          <cell r="A13">
            <v>378</v>
          </cell>
          <cell r="B13" t="str">
            <v>       </v>
          </cell>
          <cell r="C13">
            <v>34</v>
          </cell>
          <cell r="D13" t="str">
            <v>S0   </v>
          </cell>
          <cell r="E13">
            <v>-35</v>
          </cell>
          <cell r="F13">
            <v>24137813.02</v>
          </cell>
          <cell r="G13">
            <v>6247313</v>
          </cell>
          <cell r="H13">
            <v>26338735</v>
          </cell>
          <cell r="I13">
            <v>958030</v>
          </cell>
          <cell r="J13">
            <v>3.97</v>
          </cell>
          <cell r="K13">
            <v>27.49</v>
          </cell>
          <cell r="L13" t="str">
            <v>      </v>
          </cell>
          <cell r="M13" t="str">
            <v>     </v>
          </cell>
          <cell r="N13">
            <v>0</v>
          </cell>
          <cell r="O13">
            <v>25.9</v>
          </cell>
          <cell r="P13">
            <v>9.1</v>
          </cell>
        </row>
        <row r="14">
          <cell r="A14">
            <v>380</v>
          </cell>
          <cell r="B14" t="str">
            <v>       </v>
          </cell>
          <cell r="C14">
            <v>47</v>
          </cell>
          <cell r="D14" t="str">
            <v>R2   </v>
          </cell>
          <cell r="E14">
            <v>-90</v>
          </cell>
          <cell r="F14">
            <v>258828009.8</v>
          </cell>
          <cell r="G14">
            <v>120945999</v>
          </cell>
          <cell r="H14">
            <v>370827220</v>
          </cell>
          <cell r="I14">
            <v>10474770</v>
          </cell>
          <cell r="J14">
            <v>4.05</v>
          </cell>
          <cell r="K14">
            <v>35.4</v>
          </cell>
          <cell r="L14" t="str">
            <v>      </v>
          </cell>
          <cell r="M14" t="str">
            <v>     </v>
          </cell>
          <cell r="N14">
            <v>0</v>
          </cell>
          <cell r="O14">
            <v>46.7</v>
          </cell>
          <cell r="P14">
            <v>14</v>
          </cell>
        </row>
        <row r="15">
          <cell r="A15">
            <v>381.01</v>
          </cell>
          <cell r="B15" t="str">
            <v>       </v>
          </cell>
          <cell r="C15">
            <v>28</v>
          </cell>
          <cell r="D15" t="str">
            <v>S2.5 </v>
          </cell>
          <cell r="E15">
            <v>0</v>
          </cell>
          <cell r="F15">
            <v>50322843.37</v>
          </cell>
          <cell r="G15">
            <v>16857365</v>
          </cell>
          <cell r="H15">
            <v>33465478</v>
          </cell>
          <cell r="I15">
            <v>1796525</v>
          </cell>
          <cell r="J15">
            <v>3.57</v>
          </cell>
          <cell r="K15">
            <v>18.63</v>
          </cell>
          <cell r="L15" t="str">
            <v>      </v>
          </cell>
          <cell r="M15" t="str">
            <v>     </v>
          </cell>
          <cell r="N15">
            <v>0</v>
          </cell>
          <cell r="O15">
            <v>33.5</v>
          </cell>
          <cell r="P15">
            <v>9.9</v>
          </cell>
        </row>
        <row r="16">
          <cell r="A16">
            <v>381.11</v>
          </cell>
          <cell r="B16" t="str">
            <v>       </v>
          </cell>
          <cell r="C16">
            <v>10</v>
          </cell>
          <cell r="D16" t="str">
            <v>S2   </v>
          </cell>
          <cell r="E16">
            <v>0</v>
          </cell>
          <cell r="F16">
            <v>135117</v>
          </cell>
          <cell r="G16">
            <v>124770</v>
          </cell>
          <cell r="H16">
            <v>10347</v>
          </cell>
          <cell r="I16">
            <v>5122</v>
          </cell>
          <cell r="J16">
            <v>3.79</v>
          </cell>
          <cell r="K16">
            <v>2.02</v>
          </cell>
          <cell r="L16" t="str">
            <v>      </v>
          </cell>
          <cell r="M16" t="str">
            <v>     </v>
          </cell>
          <cell r="N16">
            <v>0</v>
          </cell>
          <cell r="O16">
            <v>92.3</v>
          </cell>
          <cell r="P16">
            <v>22.5</v>
          </cell>
        </row>
        <row r="17">
          <cell r="A17">
            <v>381.21</v>
          </cell>
          <cell r="B17" t="str">
            <v>       </v>
          </cell>
          <cell r="C17">
            <v>12</v>
          </cell>
          <cell r="D17" t="str">
            <v>S2   </v>
          </cell>
          <cell r="E17">
            <v>0</v>
          </cell>
          <cell r="F17">
            <v>43317061.69</v>
          </cell>
          <cell r="G17">
            <v>9132566</v>
          </cell>
          <cell r="H17">
            <v>34184496</v>
          </cell>
          <cell r="I17">
            <v>3608311</v>
          </cell>
          <cell r="J17">
            <v>8.33</v>
          </cell>
          <cell r="K17">
            <v>9.47</v>
          </cell>
          <cell r="L17" t="str">
            <v>      </v>
          </cell>
          <cell r="M17" t="str">
            <v>     </v>
          </cell>
          <cell r="N17">
            <v>0</v>
          </cell>
          <cell r="O17">
            <v>21.1</v>
          </cell>
          <cell r="P17">
            <v>2.6</v>
          </cell>
        </row>
        <row r="18">
          <cell r="A18">
            <v>382</v>
          </cell>
          <cell r="B18" t="str">
            <v>       </v>
          </cell>
          <cell r="C18">
            <v>41</v>
          </cell>
          <cell r="D18" t="str">
            <v>R2.5 </v>
          </cell>
          <cell r="E18">
            <v>-10</v>
          </cell>
          <cell r="F18">
            <v>74509361.12</v>
          </cell>
          <cell r="G18">
            <v>16805289</v>
          </cell>
          <cell r="H18">
            <v>65155008</v>
          </cell>
          <cell r="I18">
            <v>1999831</v>
          </cell>
          <cell r="J18">
            <v>2.68</v>
          </cell>
          <cell r="K18">
            <v>32.58</v>
          </cell>
          <cell r="L18" t="str">
            <v>      </v>
          </cell>
          <cell r="M18" t="str">
            <v>     </v>
          </cell>
          <cell r="N18">
            <v>0</v>
          </cell>
          <cell r="O18">
            <v>22.6</v>
          </cell>
          <cell r="P18">
            <v>9.6</v>
          </cell>
        </row>
        <row r="19">
          <cell r="A19">
            <v>383</v>
          </cell>
          <cell r="B19" t="str">
            <v>       </v>
          </cell>
          <cell r="C19">
            <v>28</v>
          </cell>
          <cell r="D19" t="str">
            <v>S2.5 </v>
          </cell>
          <cell r="E19">
            <v>0</v>
          </cell>
          <cell r="F19">
            <v>12068731</v>
          </cell>
          <cell r="G19">
            <v>5465950</v>
          </cell>
          <cell r="H19">
            <v>6602781</v>
          </cell>
          <cell r="I19">
            <v>430854</v>
          </cell>
          <cell r="J19">
            <v>3.57</v>
          </cell>
          <cell r="K19">
            <v>15.32</v>
          </cell>
          <cell r="L19" t="str">
            <v>      </v>
          </cell>
          <cell r="M19" t="str">
            <v>     </v>
          </cell>
          <cell r="N19">
            <v>0</v>
          </cell>
          <cell r="O19">
            <v>45.3</v>
          </cell>
          <cell r="P19">
            <v>14.5</v>
          </cell>
        </row>
        <row r="20">
          <cell r="A20">
            <v>384</v>
          </cell>
          <cell r="B20" t="str">
            <v>       </v>
          </cell>
          <cell r="C20">
            <v>45</v>
          </cell>
          <cell r="D20" t="str">
            <v>R1.5 </v>
          </cell>
          <cell r="E20">
            <v>0</v>
          </cell>
          <cell r="F20">
            <v>2377367.76</v>
          </cell>
          <cell r="G20">
            <v>608420</v>
          </cell>
          <cell r="H20">
            <v>1768948</v>
          </cell>
          <cell r="I20">
            <v>52778</v>
          </cell>
          <cell r="J20">
            <v>2.22</v>
          </cell>
          <cell r="K20">
            <v>33.52</v>
          </cell>
          <cell r="L20" t="str">
            <v>      </v>
          </cell>
          <cell r="M20" t="str">
            <v>     </v>
          </cell>
          <cell r="N20">
            <v>0</v>
          </cell>
          <cell r="O20">
            <v>25.6</v>
          </cell>
          <cell r="P20">
            <v>15.2</v>
          </cell>
        </row>
        <row r="21">
          <cell r="A21">
            <v>387</v>
          </cell>
          <cell r="B21" t="str">
            <v>       </v>
          </cell>
          <cell r="C21">
            <v>15</v>
          </cell>
          <cell r="D21" t="str">
            <v>R2   </v>
          </cell>
          <cell r="E21">
            <v>0</v>
          </cell>
          <cell r="F21">
            <v>2572034.07</v>
          </cell>
          <cell r="G21">
            <v>1002947</v>
          </cell>
          <cell r="H21">
            <v>1569087</v>
          </cell>
          <cell r="I21">
            <v>171234</v>
          </cell>
          <cell r="J21">
            <v>6.66</v>
          </cell>
          <cell r="K21">
            <v>9.16</v>
          </cell>
          <cell r="L21" t="str">
            <v>      </v>
          </cell>
          <cell r="M21" t="str">
            <v>     </v>
          </cell>
          <cell r="N21">
            <v>0</v>
          </cell>
          <cell r="O21">
            <v>39</v>
          </cell>
          <cell r="P21">
            <v>7.5</v>
          </cell>
        </row>
        <row r="22">
          <cell r="A22">
            <v>389</v>
          </cell>
          <cell r="B22" t="str">
            <v>       </v>
          </cell>
          <cell r="C22">
            <v>0</v>
          </cell>
          <cell r="D22" t="str">
            <v>ND   </v>
          </cell>
          <cell r="E22">
            <v>0</v>
          </cell>
          <cell r="F22">
            <v>651314.38</v>
          </cell>
          <cell r="G22">
            <v>0</v>
          </cell>
          <cell r="H22">
            <v>651314</v>
          </cell>
          <cell r="I22">
            <v>0</v>
          </cell>
          <cell r="J22">
            <v>0</v>
          </cell>
          <cell r="K22">
            <v>0</v>
          </cell>
          <cell r="L22" t="str">
            <v>      </v>
          </cell>
          <cell r="M22" t="str">
            <v>     </v>
          </cell>
          <cell r="N22">
            <v>0</v>
          </cell>
          <cell r="O22">
            <v>0</v>
          </cell>
          <cell r="P22">
            <v>0</v>
          </cell>
        </row>
        <row r="23">
          <cell r="A23">
            <v>390.01</v>
          </cell>
          <cell r="B23" t="str">
            <v>       </v>
          </cell>
          <cell r="C23">
            <v>40</v>
          </cell>
          <cell r="D23" t="str">
            <v>R1   </v>
          </cell>
          <cell r="E23">
            <v>0</v>
          </cell>
          <cell r="F23">
            <v>6235274.86</v>
          </cell>
          <cell r="G23">
            <v>1593711</v>
          </cell>
          <cell r="H23">
            <v>4641564</v>
          </cell>
          <cell r="I23">
            <v>155882</v>
          </cell>
          <cell r="J23">
            <v>2.5</v>
          </cell>
          <cell r="K23">
            <v>29.78</v>
          </cell>
          <cell r="L23" t="str">
            <v>      </v>
          </cell>
          <cell r="M23" t="str">
            <v>     </v>
          </cell>
          <cell r="N23">
            <v>0</v>
          </cell>
          <cell r="O23">
            <v>25.6</v>
          </cell>
          <cell r="P23">
            <v>14.6</v>
          </cell>
        </row>
        <row r="24">
          <cell r="A24">
            <v>390.41</v>
          </cell>
          <cell r="B24" t="str">
            <v>       </v>
          </cell>
          <cell r="C24">
            <v>15</v>
          </cell>
          <cell r="D24" t="str">
            <v>L3   </v>
          </cell>
          <cell r="E24">
            <v>0</v>
          </cell>
          <cell r="F24">
            <v>1250317.56</v>
          </cell>
          <cell r="G24">
            <v>739612</v>
          </cell>
          <cell r="H24">
            <v>510706</v>
          </cell>
          <cell r="I24">
            <v>83396</v>
          </cell>
          <cell r="J24">
            <v>6.67</v>
          </cell>
          <cell r="K24">
            <v>6.12</v>
          </cell>
          <cell r="L24" t="str">
            <v>      </v>
          </cell>
          <cell r="M24" t="str">
            <v>     </v>
          </cell>
          <cell r="N24">
            <v>0</v>
          </cell>
          <cell r="O24">
            <v>59.2</v>
          </cell>
          <cell r="P24">
            <v>10.7</v>
          </cell>
        </row>
        <row r="25">
          <cell r="A25">
            <v>391.01</v>
          </cell>
          <cell r="B25" t="str">
            <v>       </v>
          </cell>
          <cell r="C25">
            <v>20</v>
          </cell>
          <cell r="D25" t="str">
            <v>SQ   </v>
          </cell>
          <cell r="E25">
            <v>0</v>
          </cell>
          <cell r="F25">
            <v>4759515.87</v>
          </cell>
          <cell r="G25">
            <v>1935856</v>
          </cell>
          <cell r="H25">
            <v>2823660</v>
          </cell>
          <cell r="I25">
            <v>230681</v>
          </cell>
          <cell r="J25">
            <v>4.85</v>
          </cell>
          <cell r="K25">
            <v>12.24</v>
          </cell>
          <cell r="L25" t="str">
            <v>      </v>
          </cell>
          <cell r="M25" t="str">
            <v>     </v>
          </cell>
          <cell r="N25">
            <v>0</v>
          </cell>
          <cell r="O25">
            <v>40.7</v>
          </cell>
          <cell r="P25">
            <v>8.2</v>
          </cell>
        </row>
        <row r="26">
          <cell r="A26">
            <v>391.02</v>
          </cell>
          <cell r="B26" t="str">
            <v>       </v>
          </cell>
          <cell r="C26">
            <v>7</v>
          </cell>
          <cell r="D26" t="str">
            <v>SQ   </v>
          </cell>
          <cell r="E26">
            <v>0</v>
          </cell>
          <cell r="F26">
            <v>5853013.7</v>
          </cell>
          <cell r="G26">
            <v>4747217</v>
          </cell>
          <cell r="H26">
            <v>1105797</v>
          </cell>
          <cell r="I26">
            <v>349110</v>
          </cell>
          <cell r="J26">
            <v>5.96</v>
          </cell>
          <cell r="K26">
            <v>3.17</v>
          </cell>
          <cell r="L26" t="str">
            <v>      </v>
          </cell>
          <cell r="M26" t="str">
            <v>     </v>
          </cell>
          <cell r="N26">
            <v>0</v>
          </cell>
          <cell r="O26">
            <v>81.1</v>
          </cell>
          <cell r="P26">
            <v>9.3</v>
          </cell>
        </row>
        <row r="27">
          <cell r="A27">
            <v>391.03</v>
          </cell>
          <cell r="B27" t="str">
            <v>       </v>
          </cell>
          <cell r="C27">
            <v>4</v>
          </cell>
          <cell r="D27" t="str">
            <v>SQ   </v>
          </cell>
          <cell r="E27">
            <v>0</v>
          </cell>
          <cell r="F27">
            <v>5573733.16</v>
          </cell>
          <cell r="G27">
            <v>3121282</v>
          </cell>
          <cell r="H27">
            <v>2452451</v>
          </cell>
          <cell r="I27">
            <v>942609</v>
          </cell>
          <cell r="J27">
            <v>16.91</v>
          </cell>
          <cell r="K27">
            <v>2.6</v>
          </cell>
          <cell r="L27" t="str">
            <v>      </v>
          </cell>
          <cell r="M27" t="str">
            <v>     </v>
          </cell>
          <cell r="N27">
            <v>0</v>
          </cell>
          <cell r="O27">
            <v>56</v>
          </cell>
          <cell r="P27">
            <v>2.9</v>
          </cell>
        </row>
        <row r="28">
          <cell r="A28">
            <v>391.04</v>
          </cell>
          <cell r="B28" t="str">
            <v>       </v>
          </cell>
          <cell r="C28">
            <v>10</v>
          </cell>
          <cell r="D28" t="str">
            <v>SQ   </v>
          </cell>
          <cell r="E28">
            <v>0</v>
          </cell>
          <cell r="F28">
            <v>61378276.13</v>
          </cell>
          <cell r="G28">
            <v>27055611</v>
          </cell>
          <cell r="H28">
            <v>34322665</v>
          </cell>
          <cell r="I28">
            <v>5439901</v>
          </cell>
          <cell r="J28">
            <v>8.86</v>
          </cell>
          <cell r="K28">
            <v>6.31</v>
          </cell>
          <cell r="L28" t="str">
            <v>      </v>
          </cell>
          <cell r="M28" t="str">
            <v>     </v>
          </cell>
          <cell r="N28">
            <v>0</v>
          </cell>
          <cell r="O28">
            <v>44.1</v>
          </cell>
          <cell r="P28">
            <v>4.6</v>
          </cell>
        </row>
        <row r="29">
          <cell r="A29">
            <v>392.01</v>
          </cell>
          <cell r="B29" t="str">
            <v>       </v>
          </cell>
          <cell r="C29">
            <v>10</v>
          </cell>
          <cell r="D29" t="str">
            <v>L2.5 </v>
          </cell>
          <cell r="E29">
            <v>16</v>
          </cell>
          <cell r="F29">
            <v>24958354.75</v>
          </cell>
          <cell r="G29">
            <v>9902315</v>
          </cell>
          <cell r="H29">
            <v>11062703</v>
          </cell>
          <cell r="I29">
            <v>2095128</v>
          </cell>
          <cell r="J29">
            <v>8.39</v>
          </cell>
          <cell r="K29">
            <v>5.28</v>
          </cell>
          <cell r="L29" t="str">
            <v>      </v>
          </cell>
          <cell r="M29" t="str">
            <v>     </v>
          </cell>
          <cell r="N29">
            <v>0</v>
          </cell>
          <cell r="O29">
            <v>39.7</v>
          </cell>
          <cell r="P29">
            <v>6.5</v>
          </cell>
        </row>
        <row r="30">
          <cell r="A30">
            <v>392.02</v>
          </cell>
          <cell r="B30" t="str">
            <v>       </v>
          </cell>
          <cell r="C30">
            <v>10</v>
          </cell>
          <cell r="D30" t="str">
            <v>L2.5 </v>
          </cell>
          <cell r="E30">
            <v>0</v>
          </cell>
          <cell r="F30">
            <v>2015575.26</v>
          </cell>
          <cell r="G30">
            <v>1202005</v>
          </cell>
          <cell r="H30">
            <v>813570</v>
          </cell>
          <cell r="I30">
            <v>201558</v>
          </cell>
          <cell r="J30">
            <v>10</v>
          </cell>
          <cell r="K30">
            <v>4.04</v>
          </cell>
          <cell r="L30" t="str">
            <v>      </v>
          </cell>
          <cell r="M30" t="str">
            <v>     </v>
          </cell>
          <cell r="N30">
            <v>0</v>
          </cell>
          <cell r="O30">
            <v>59.6</v>
          </cell>
          <cell r="P30">
            <v>9.1</v>
          </cell>
        </row>
        <row r="31">
          <cell r="A31">
            <v>393</v>
          </cell>
          <cell r="B31" t="str">
            <v>       </v>
          </cell>
          <cell r="C31">
            <v>20</v>
          </cell>
          <cell r="D31" t="str">
            <v>SQ   </v>
          </cell>
          <cell r="E31">
            <v>0</v>
          </cell>
          <cell r="F31">
            <v>636972</v>
          </cell>
          <cell r="G31">
            <v>630529</v>
          </cell>
          <cell r="H31">
            <v>6443</v>
          </cell>
          <cell r="I31">
            <v>532</v>
          </cell>
          <cell r="J31">
            <v>0.08</v>
          </cell>
          <cell r="K31">
            <v>12.11</v>
          </cell>
          <cell r="L31" t="str">
            <v>      </v>
          </cell>
          <cell r="M31" t="str">
            <v>     </v>
          </cell>
          <cell r="N31">
            <v>0</v>
          </cell>
          <cell r="O31">
            <v>99</v>
          </cell>
          <cell r="P31">
            <v>27.2</v>
          </cell>
        </row>
        <row r="32">
          <cell r="A32">
            <v>394.1</v>
          </cell>
          <cell r="B32" t="str">
            <v>       </v>
          </cell>
          <cell r="C32">
            <v>10</v>
          </cell>
          <cell r="D32" t="str">
            <v>SQ   </v>
          </cell>
          <cell r="E32">
            <v>0</v>
          </cell>
          <cell r="F32">
            <v>8160854.59</v>
          </cell>
          <cell r="G32">
            <v>5546062</v>
          </cell>
          <cell r="H32">
            <v>2614793</v>
          </cell>
          <cell r="I32">
            <v>499913</v>
          </cell>
          <cell r="J32">
            <v>6.13</v>
          </cell>
          <cell r="K32">
            <v>5.23</v>
          </cell>
          <cell r="L32" t="str">
            <v>      </v>
          </cell>
          <cell r="M32" t="str">
            <v>     </v>
          </cell>
          <cell r="N32">
            <v>0</v>
          </cell>
          <cell r="O32">
            <v>68</v>
          </cell>
          <cell r="P32">
            <v>8.6</v>
          </cell>
        </row>
        <row r="33">
          <cell r="A33">
            <v>394.2</v>
          </cell>
          <cell r="B33" t="str">
            <v>       </v>
          </cell>
          <cell r="C33">
            <v>20</v>
          </cell>
          <cell r="D33" t="str">
            <v>SQ   </v>
          </cell>
          <cell r="E33">
            <v>0</v>
          </cell>
          <cell r="F33">
            <v>2536979.45</v>
          </cell>
          <cell r="G33">
            <v>1785569</v>
          </cell>
          <cell r="H33">
            <v>751410</v>
          </cell>
          <cell r="I33">
            <v>74427</v>
          </cell>
          <cell r="J33">
            <v>2.93</v>
          </cell>
          <cell r="K33">
            <v>10.1</v>
          </cell>
          <cell r="L33" t="str">
            <v>      </v>
          </cell>
          <cell r="M33" t="str">
            <v>     </v>
          </cell>
          <cell r="N33">
            <v>0</v>
          </cell>
          <cell r="O33">
            <v>70.4</v>
          </cell>
          <cell r="P33">
            <v>16.5</v>
          </cell>
        </row>
        <row r="34">
          <cell r="A34">
            <v>394.4</v>
          </cell>
          <cell r="B34" t="str">
            <v>       </v>
          </cell>
          <cell r="C34">
            <v>10</v>
          </cell>
          <cell r="D34" t="str">
            <v>SQ   </v>
          </cell>
          <cell r="E34">
            <v>0</v>
          </cell>
          <cell r="F34">
            <v>9583245.13</v>
          </cell>
          <cell r="G34">
            <v>8548334</v>
          </cell>
          <cell r="H34">
            <v>1034911</v>
          </cell>
          <cell r="I34">
            <v>305509</v>
          </cell>
          <cell r="J34">
            <v>3.19</v>
          </cell>
          <cell r="K34">
            <v>3.39</v>
          </cell>
          <cell r="L34" t="str">
            <v>      </v>
          </cell>
          <cell r="M34" t="str">
            <v>     </v>
          </cell>
          <cell r="N34">
            <v>0</v>
          </cell>
          <cell r="O34">
            <v>89.2</v>
          </cell>
          <cell r="P34">
            <v>11</v>
          </cell>
        </row>
        <row r="35">
          <cell r="A35">
            <v>395</v>
          </cell>
          <cell r="B35" t="str">
            <v>       </v>
          </cell>
          <cell r="C35">
            <v>15</v>
          </cell>
          <cell r="D35" t="str">
            <v>SQ   </v>
          </cell>
          <cell r="E35">
            <v>0</v>
          </cell>
          <cell r="F35">
            <v>524643</v>
          </cell>
          <cell r="G35">
            <v>462523</v>
          </cell>
          <cell r="H35">
            <v>62120</v>
          </cell>
          <cell r="I35">
            <v>7050</v>
          </cell>
          <cell r="J35">
            <v>1.34</v>
          </cell>
          <cell r="K35">
            <v>8.81</v>
          </cell>
          <cell r="L35" t="str">
            <v>      </v>
          </cell>
          <cell r="M35" t="str">
            <v>     </v>
          </cell>
          <cell r="N35">
            <v>0</v>
          </cell>
          <cell r="O35">
            <v>88.2</v>
          </cell>
          <cell r="P35">
            <v>18.5</v>
          </cell>
        </row>
        <row r="36">
          <cell r="A36">
            <v>396</v>
          </cell>
          <cell r="B36" t="str">
            <v>       </v>
          </cell>
          <cell r="C36">
            <v>10</v>
          </cell>
          <cell r="D36" t="str">
            <v>L3   </v>
          </cell>
          <cell r="E36">
            <v>25</v>
          </cell>
          <cell r="F36">
            <v>6915703.1</v>
          </cell>
          <cell r="G36">
            <v>2583598</v>
          </cell>
          <cell r="H36">
            <v>2603179</v>
          </cell>
          <cell r="I36">
            <v>508308</v>
          </cell>
          <cell r="J36">
            <v>7.35</v>
          </cell>
          <cell r="K36">
            <v>5.12</v>
          </cell>
          <cell r="L36" t="str">
            <v>      </v>
          </cell>
          <cell r="M36" t="str">
            <v>     </v>
          </cell>
          <cell r="N36">
            <v>0</v>
          </cell>
          <cell r="O36">
            <v>37.4</v>
          </cell>
          <cell r="P36">
            <v>8.3</v>
          </cell>
        </row>
        <row r="37">
          <cell r="A37">
            <v>397.1</v>
          </cell>
          <cell r="B37" t="str">
            <v>       </v>
          </cell>
          <cell r="C37">
            <v>5</v>
          </cell>
          <cell r="D37" t="str">
            <v>SQ   </v>
          </cell>
          <cell r="E37">
            <v>0</v>
          </cell>
          <cell r="F37">
            <v>2806397.73</v>
          </cell>
          <cell r="G37">
            <v>2373770</v>
          </cell>
          <cell r="H37">
            <v>432628</v>
          </cell>
          <cell r="I37">
            <v>232509</v>
          </cell>
          <cell r="J37">
            <v>8.28</v>
          </cell>
          <cell r="K37">
            <v>1.86</v>
          </cell>
          <cell r="L37" t="str">
            <v>      </v>
          </cell>
          <cell r="M37" t="str">
            <v>     </v>
          </cell>
          <cell r="N37">
            <v>0</v>
          </cell>
          <cell r="O37">
            <v>84.6</v>
          </cell>
          <cell r="P37">
            <v>8</v>
          </cell>
        </row>
        <row r="38">
          <cell r="A38">
            <v>397.3</v>
          </cell>
          <cell r="B38" t="str">
            <v>       </v>
          </cell>
          <cell r="C38">
            <v>10</v>
          </cell>
          <cell r="D38" t="str">
            <v>SQ   </v>
          </cell>
          <cell r="E38">
            <v>0</v>
          </cell>
          <cell r="F38">
            <v>15991403.72</v>
          </cell>
          <cell r="G38">
            <v>12614280</v>
          </cell>
          <cell r="H38">
            <v>3377124</v>
          </cell>
          <cell r="I38">
            <v>879155</v>
          </cell>
          <cell r="J38">
            <v>5.5</v>
          </cell>
          <cell r="K38">
            <v>3.84</v>
          </cell>
          <cell r="L38" t="str">
            <v>      </v>
          </cell>
          <cell r="M38" t="str">
            <v>     </v>
          </cell>
          <cell r="N38">
            <v>0</v>
          </cell>
          <cell r="O38">
            <v>78.9</v>
          </cell>
          <cell r="P38">
            <v>9.6</v>
          </cell>
        </row>
        <row r="39">
          <cell r="A39">
            <v>397.4</v>
          </cell>
          <cell r="B39" t="str">
            <v>       </v>
          </cell>
          <cell r="C39">
            <v>10</v>
          </cell>
          <cell r="D39" t="str">
            <v>SQ   </v>
          </cell>
          <cell r="E39">
            <v>0</v>
          </cell>
          <cell r="F39">
            <v>839376.24</v>
          </cell>
          <cell r="G39">
            <v>479617</v>
          </cell>
          <cell r="H39">
            <v>359759</v>
          </cell>
          <cell r="I39">
            <v>77353</v>
          </cell>
          <cell r="J39">
            <v>9.22</v>
          </cell>
          <cell r="K39">
            <v>4.65</v>
          </cell>
          <cell r="L39" t="str">
            <v>      </v>
          </cell>
          <cell r="M39" t="str">
            <v>     </v>
          </cell>
          <cell r="N39">
            <v>0</v>
          </cell>
          <cell r="O39">
            <v>57.1</v>
          </cell>
          <cell r="P39">
            <v>6.6</v>
          </cell>
        </row>
        <row r="40">
          <cell r="A40">
            <v>397.5</v>
          </cell>
          <cell r="B40" t="str">
            <v>       </v>
          </cell>
          <cell r="C40">
            <v>10</v>
          </cell>
          <cell r="D40" t="str">
            <v>SQ   </v>
          </cell>
          <cell r="E40">
            <v>0</v>
          </cell>
          <cell r="F40">
            <v>52064</v>
          </cell>
          <cell r="G40">
            <v>52064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 t="str">
            <v>      </v>
          </cell>
          <cell r="M40" t="str">
            <v>     </v>
          </cell>
          <cell r="N40">
            <v>0</v>
          </cell>
          <cell r="O40">
            <v>100</v>
          </cell>
          <cell r="P40">
            <v>16.3</v>
          </cell>
        </row>
        <row r="41">
          <cell r="A41">
            <v>398</v>
          </cell>
          <cell r="B41" t="str">
            <v>       </v>
          </cell>
          <cell r="C41">
            <v>15</v>
          </cell>
          <cell r="D41" t="str">
            <v>SQ   </v>
          </cell>
          <cell r="E41">
            <v>0</v>
          </cell>
          <cell r="F41">
            <v>406140.31</v>
          </cell>
          <cell r="G41">
            <v>276329</v>
          </cell>
          <cell r="H41">
            <v>129811</v>
          </cell>
          <cell r="I41">
            <v>22761</v>
          </cell>
          <cell r="J41">
            <v>5.6</v>
          </cell>
          <cell r="K41">
            <v>5.7</v>
          </cell>
          <cell r="L41" t="str">
            <v>      </v>
          </cell>
          <cell r="M41" t="str">
            <v>     </v>
          </cell>
          <cell r="N41">
            <v>0</v>
          </cell>
          <cell r="O41">
            <v>68</v>
          </cell>
          <cell r="P41">
            <v>10.8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106"/>
  <sheetViews>
    <sheetView zoomScale="85" zoomScaleNormal="85" workbookViewId="0" topLeftCell="A37">
      <selection activeCell="H67" sqref="H67"/>
    </sheetView>
  </sheetViews>
  <sheetFormatPr defaultColWidth="7.28125" defaultRowHeight="12.75"/>
  <cols>
    <col min="1" max="1" width="2.00390625" style="1" customWidth="1"/>
    <col min="2" max="2" width="10.28125" style="16" customWidth="1"/>
    <col min="3" max="3" width="0.71875" style="16" customWidth="1"/>
    <col min="4" max="4" width="42.140625" style="16" customWidth="1"/>
    <col min="5" max="5" width="17.8515625" style="16" bestFit="1" customWidth="1"/>
    <col min="6" max="7" width="1.7109375" style="67" customWidth="1"/>
    <col min="8" max="8" width="12.7109375" style="0" customWidth="1"/>
    <col min="9" max="9" width="1.7109375" style="67" customWidth="1"/>
    <col min="10" max="11" width="10.7109375" style="67" customWidth="1"/>
    <col min="12" max="12" width="9.57421875" style="1" hidden="1" customWidth="1"/>
    <col min="13" max="13" width="9.7109375" style="1" customWidth="1"/>
    <col min="19" max="16384" width="7.28125" style="1" customWidth="1"/>
  </cols>
  <sheetData>
    <row r="1" spans="2:12" ht="15.75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2:12" ht="15.75">
      <c r="B2" s="165" t="s">
        <v>114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12" ht="15.75">
      <c r="B3" s="165" t="s">
        <v>112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2:13" ht="15" customHeight="1">
      <c r="B4" s="3"/>
      <c r="C4" s="3"/>
      <c r="D4" s="3"/>
      <c r="E4" s="4" t="s">
        <v>3</v>
      </c>
      <c r="F4" s="5"/>
      <c r="G4" s="5"/>
      <c r="H4" s="5" t="s">
        <v>4</v>
      </c>
      <c r="I4" s="5"/>
      <c r="J4" s="5" t="s">
        <v>5</v>
      </c>
      <c r="K4" s="5" t="s">
        <v>6</v>
      </c>
      <c r="L4" s="7" t="s">
        <v>8</v>
      </c>
      <c r="M4" s="7" t="s">
        <v>7</v>
      </c>
    </row>
    <row r="5" spans="2:13" ht="15" customHeight="1">
      <c r="B5" s="8"/>
      <c r="C5" s="3"/>
      <c r="D5" s="3"/>
      <c r="E5" s="9">
        <v>38352</v>
      </c>
      <c r="F5" s="5"/>
      <c r="G5" s="5"/>
      <c r="H5" s="10" t="s">
        <v>9</v>
      </c>
      <c r="I5" s="5"/>
      <c r="J5" s="166" t="s">
        <v>10</v>
      </c>
      <c r="K5" s="166"/>
      <c r="L5" s="166"/>
      <c r="M5" s="166"/>
    </row>
    <row r="6" spans="2:13" s="11" customFormat="1" ht="15" customHeight="1">
      <c r="B6" s="12" t="s">
        <v>11</v>
      </c>
      <c r="C6" s="13"/>
      <c r="D6" s="12" t="s">
        <v>12</v>
      </c>
      <c r="E6" s="4" t="s">
        <v>13</v>
      </c>
      <c r="F6" s="5"/>
      <c r="G6" s="5"/>
      <c r="H6" s="5" t="s">
        <v>14</v>
      </c>
      <c r="I6" s="5"/>
      <c r="J6" s="5" t="s">
        <v>126</v>
      </c>
      <c r="K6" s="5" t="s">
        <v>111</v>
      </c>
      <c r="L6" s="5" t="s">
        <v>15</v>
      </c>
      <c r="M6" s="145" t="s">
        <v>113</v>
      </c>
    </row>
    <row r="7" spans="2:13" ht="15" customHeight="1">
      <c r="B7" s="14"/>
      <c r="C7" s="14"/>
      <c r="D7" s="14"/>
      <c r="E7" s="15"/>
      <c r="F7" s="10"/>
      <c r="G7" s="10"/>
      <c r="H7" s="10" t="s">
        <v>16</v>
      </c>
      <c r="I7" s="10"/>
      <c r="J7" s="10" t="s">
        <v>16</v>
      </c>
      <c r="K7" s="10" t="s">
        <v>16</v>
      </c>
      <c r="L7" s="10" t="s">
        <v>16</v>
      </c>
      <c r="M7" s="144" t="s">
        <v>16</v>
      </c>
    </row>
    <row r="8" spans="2:13" ht="15" customHeight="1">
      <c r="B8"/>
      <c r="D8" s="17"/>
      <c r="E8" s="7" t="s">
        <v>18</v>
      </c>
      <c r="F8" s="18"/>
      <c r="G8" s="18"/>
      <c r="H8" s="19" t="s">
        <v>19</v>
      </c>
      <c r="I8" s="18"/>
      <c r="J8" s="18" t="s">
        <v>19</v>
      </c>
      <c r="K8" s="18"/>
      <c r="L8" s="18"/>
      <c r="M8" s="18"/>
    </row>
    <row r="9" spans="2:13" ht="15" customHeight="1">
      <c r="B9"/>
      <c r="D9" s="17"/>
      <c r="E9" s="4" t="s">
        <v>20</v>
      </c>
      <c r="F9" s="20"/>
      <c r="G9" s="20"/>
      <c r="H9" s="18" t="s">
        <v>124</v>
      </c>
      <c r="I9" s="20"/>
      <c r="J9" s="20" t="s">
        <v>22</v>
      </c>
      <c r="K9" s="20"/>
      <c r="L9" s="20"/>
      <c r="M9" s="20"/>
    </row>
    <row r="10" spans="1:13" ht="15" customHeight="1">
      <c r="A10" s="21" t="s">
        <v>23</v>
      </c>
      <c r="B10"/>
      <c r="D10" s="17"/>
      <c r="E10" s="1"/>
      <c r="F10" s="20"/>
      <c r="G10" s="20"/>
      <c r="H10" s="20"/>
      <c r="I10" s="20"/>
      <c r="J10" s="24"/>
      <c r="K10" s="24"/>
      <c r="L10" s="24"/>
      <c r="M10" s="20"/>
    </row>
    <row r="11" spans="1:13" ht="15" customHeight="1">
      <c r="A11"/>
      <c r="B11" s="25">
        <v>374.21</v>
      </c>
      <c r="C11" s="3"/>
      <c r="D11" s="17" t="s">
        <v>24</v>
      </c>
      <c r="E11" s="26">
        <v>796984.87</v>
      </c>
      <c r="F11" s="27"/>
      <c r="G11" s="27"/>
      <c r="H11" s="29">
        <v>0.013300127014958264</v>
      </c>
      <c r="I11" s="27"/>
      <c r="J11" s="28">
        <f>'CWK-1 Sch 4'!N11</f>
        <v>0.012435983656981125</v>
      </c>
      <c r="K11" s="29">
        <v>0</v>
      </c>
      <c r="L11" s="28">
        <v>0.013300127014958264</v>
      </c>
      <c r="M11" s="50">
        <v>0.0122</v>
      </c>
    </row>
    <row r="12" spans="1:13" ht="15" customHeight="1">
      <c r="A12"/>
      <c r="B12" s="25"/>
      <c r="C12" s="3"/>
      <c r="D12" s="17"/>
      <c r="E12" s="26"/>
      <c r="F12" s="27"/>
      <c r="G12" s="27"/>
      <c r="H12" s="30"/>
      <c r="I12" s="27"/>
      <c r="J12" s="28"/>
      <c r="K12" s="28"/>
      <c r="L12"/>
      <c r="M12" s="50"/>
    </row>
    <row r="13" spans="1:13" ht="15" customHeight="1">
      <c r="A13"/>
      <c r="B13" s="25"/>
      <c r="C13" s="31"/>
      <c r="D13" s="32" t="s">
        <v>25</v>
      </c>
      <c r="E13" s="26"/>
      <c r="F13" s="27"/>
      <c r="G13" s="27"/>
      <c r="H13" s="30"/>
      <c r="I13" s="27"/>
      <c r="J13" s="28"/>
      <c r="K13" s="28"/>
      <c r="L13"/>
      <c r="M13" s="50"/>
    </row>
    <row r="14" spans="1:13" ht="15" customHeight="1">
      <c r="A14"/>
      <c r="B14" s="25">
        <v>375.0001</v>
      </c>
      <c r="C14" s="3"/>
      <c r="D14" s="91" t="s">
        <v>123</v>
      </c>
      <c r="E14" s="34">
        <v>5724183.24</v>
      </c>
      <c r="F14" s="27"/>
      <c r="G14" s="27"/>
      <c r="H14" s="29">
        <v>0.02468631664558663</v>
      </c>
      <c r="I14" s="27"/>
      <c r="J14" s="28">
        <f>'CWK-1 Sch 4'!N14</f>
        <v>0</v>
      </c>
      <c r="K14" s="29">
        <v>0</v>
      </c>
      <c r="L14" s="35">
        <v>0.024700000000000003</v>
      </c>
      <c r="M14" s="50">
        <v>0</v>
      </c>
    </row>
    <row r="15" spans="1:13" ht="15" customHeight="1">
      <c r="A15"/>
      <c r="B15" s="25">
        <v>375.0002</v>
      </c>
      <c r="C15" s="3"/>
      <c r="D15" s="33" t="s">
        <v>26</v>
      </c>
      <c r="E15" s="34">
        <v>11487530.61</v>
      </c>
      <c r="F15" s="27"/>
      <c r="G15" s="27"/>
      <c r="H15" s="29">
        <v>0.018634466123960126</v>
      </c>
      <c r="I15" s="27"/>
      <c r="J15" s="28">
        <f>'CWK-1 Sch 4'!N15</f>
        <v>0.0034007315720098294</v>
      </c>
      <c r="K15" s="29">
        <v>0</v>
      </c>
      <c r="L15" s="35">
        <v>0.018600000000000002</v>
      </c>
      <c r="M15" s="50">
        <v>0.0019</v>
      </c>
    </row>
    <row r="16" spans="1:13" ht="15" customHeight="1">
      <c r="A16"/>
      <c r="B16" s="25">
        <v>375.0003</v>
      </c>
      <c r="C16" s="3"/>
      <c r="D16" s="33" t="s">
        <v>27</v>
      </c>
      <c r="E16" s="34">
        <v>1457895.17</v>
      </c>
      <c r="F16" s="27"/>
      <c r="G16" s="27"/>
      <c r="H16" s="29">
        <v>0.02591132804150795</v>
      </c>
      <c r="I16" s="27"/>
      <c r="J16" s="28">
        <f>'CWK-1 Sch 4'!N16</f>
        <v>0</v>
      </c>
      <c r="K16" s="29">
        <v>0</v>
      </c>
      <c r="L16" s="35">
        <v>0.0259</v>
      </c>
      <c r="M16" s="50">
        <f aca="true" t="shared" si="0" ref="M16:M21">J16</f>
        <v>0</v>
      </c>
    </row>
    <row r="17" spans="1:13" ht="15" customHeight="1">
      <c r="A17"/>
      <c r="B17" s="25">
        <v>375.0004</v>
      </c>
      <c r="C17" s="3"/>
      <c r="D17" s="33" t="s">
        <v>28</v>
      </c>
      <c r="E17" s="34">
        <v>746620.65</v>
      </c>
      <c r="F17" s="27"/>
      <c r="G17" s="27"/>
      <c r="H17" s="29">
        <v>0.02143658898263797</v>
      </c>
      <c r="I17" s="27"/>
      <c r="J17" s="28">
        <f>'CWK-1 Sch 4'!N17</f>
        <v>0.002956551726513679</v>
      </c>
      <c r="K17" s="29">
        <v>0</v>
      </c>
      <c r="L17" s="35">
        <v>0.021400000000000002</v>
      </c>
      <c r="M17" s="50">
        <f t="shared" si="0"/>
        <v>0.002956551726513679</v>
      </c>
    </row>
    <row r="18" spans="1:13" ht="15" customHeight="1">
      <c r="A18"/>
      <c r="B18" s="25">
        <v>375.0005</v>
      </c>
      <c r="C18" s="3"/>
      <c r="D18" s="33" t="s">
        <v>29</v>
      </c>
      <c r="E18" s="34">
        <v>4267848.19</v>
      </c>
      <c r="F18" s="27"/>
      <c r="G18" s="27"/>
      <c r="H18" s="29">
        <v>0.02139579383679999</v>
      </c>
      <c r="I18" s="27"/>
      <c r="J18" s="28">
        <f>'CWK-1 Sch 4'!N18</f>
        <v>0.0025892073921883058</v>
      </c>
      <c r="K18" s="29">
        <v>0</v>
      </c>
      <c r="L18" s="35">
        <v>0.021400000000000002</v>
      </c>
      <c r="M18" s="50">
        <f t="shared" si="0"/>
        <v>0.0025892073921883058</v>
      </c>
    </row>
    <row r="19" spans="1:13" ht="15" customHeight="1">
      <c r="A19"/>
      <c r="B19" s="25">
        <v>375.0006</v>
      </c>
      <c r="C19" s="3"/>
      <c r="D19" s="33" t="s">
        <v>30</v>
      </c>
      <c r="E19" s="34">
        <v>1046574.3</v>
      </c>
      <c r="F19" s="27"/>
      <c r="G19" s="27"/>
      <c r="H19" s="29">
        <v>0.021488202032096525</v>
      </c>
      <c r="I19" s="27"/>
      <c r="J19" s="28">
        <f>'CWK-1 Sch 4'!N19</f>
        <v>0.0029565517265136747</v>
      </c>
      <c r="K19" s="29">
        <v>0</v>
      </c>
      <c r="L19" s="35">
        <v>0.0215</v>
      </c>
      <c r="M19" s="50">
        <f t="shared" si="0"/>
        <v>0.0029565517265136747</v>
      </c>
    </row>
    <row r="20" spans="1:13" ht="15" customHeight="1">
      <c r="A20"/>
      <c r="B20" s="25">
        <v>375.0009</v>
      </c>
      <c r="C20" s="3"/>
      <c r="D20" s="33" t="s">
        <v>31</v>
      </c>
      <c r="E20" s="36">
        <v>27213541.49</v>
      </c>
      <c r="F20" s="37"/>
      <c r="G20" s="37"/>
      <c r="H20" s="39">
        <v>0.025000017004402027</v>
      </c>
      <c r="I20" s="37"/>
      <c r="J20" s="38">
        <f>'CWK-1 Sch 4'!N20</f>
        <v>0.022186222957035755</v>
      </c>
      <c r="K20" s="29">
        <v>0</v>
      </c>
      <c r="L20" s="40">
        <v>0.025</v>
      </c>
      <c r="M20" s="148">
        <f t="shared" si="0"/>
        <v>0.022186222957035755</v>
      </c>
    </row>
    <row r="21" spans="1:13" ht="15" customHeight="1">
      <c r="A21"/>
      <c r="B21" s="25"/>
      <c r="C21" s="3"/>
      <c r="D21" s="32" t="s">
        <v>32</v>
      </c>
      <c r="E21" s="34">
        <f>SUM(E14:E20)</f>
        <v>51944193.650000006</v>
      </c>
      <c r="F21" s="27"/>
      <c r="G21" s="27"/>
      <c r="H21" s="28">
        <v>0.023165168528898702</v>
      </c>
      <c r="I21" s="27"/>
      <c r="J21" s="28">
        <f>'CWK-1 Sch 4'!N21</f>
        <v>0.01269022923190998</v>
      </c>
      <c r="K21" s="28">
        <v>0</v>
      </c>
      <c r="L21" s="28">
        <v>0.023165168528898702</v>
      </c>
      <c r="M21" s="50">
        <f t="shared" si="0"/>
        <v>0.01269022923190998</v>
      </c>
    </row>
    <row r="22" spans="1:13" ht="15" customHeight="1">
      <c r="A22"/>
      <c r="B22" s="25"/>
      <c r="C22" s="3"/>
      <c r="D22" s="32"/>
      <c r="E22" s="44"/>
      <c r="F22" s="27"/>
      <c r="G22" s="27"/>
      <c r="H22" s="30"/>
      <c r="I22" s="27"/>
      <c r="J22" s="28"/>
      <c r="K22" s="30"/>
      <c r="L22" s="45"/>
      <c r="M22" s="50"/>
    </row>
    <row r="23" spans="1:13" ht="15" customHeight="1">
      <c r="A23"/>
      <c r="B23" s="25">
        <v>376</v>
      </c>
      <c r="C23" s="3"/>
      <c r="D23" s="17" t="s">
        <v>33</v>
      </c>
      <c r="E23" s="34">
        <v>518368514.22</v>
      </c>
      <c r="F23" s="27"/>
      <c r="G23" s="27"/>
      <c r="H23" s="29">
        <v>0.0233</v>
      </c>
      <c r="I23" s="27"/>
      <c r="J23" s="28">
        <f>'CWK-1 Sch 4'!N23</f>
        <v>0.015224680401529784</v>
      </c>
      <c r="K23" s="29">
        <f>'CWK-1 Sch 6'!L12</f>
        <v>0.005333333333333333</v>
      </c>
      <c r="L23" s="35">
        <v>0.0233</v>
      </c>
      <c r="M23" s="50">
        <f>+J23+K23</f>
        <v>0.020558013734863118</v>
      </c>
    </row>
    <row r="24" spans="1:13" ht="15" customHeight="1">
      <c r="A24"/>
      <c r="B24" s="25">
        <v>377</v>
      </c>
      <c r="C24" s="3"/>
      <c r="D24" s="17" t="s">
        <v>34</v>
      </c>
      <c r="E24" s="34">
        <v>4004326.5</v>
      </c>
      <c r="F24" s="27"/>
      <c r="G24" s="27"/>
      <c r="H24" s="29">
        <v>0.0318</v>
      </c>
      <c r="I24" s="27"/>
      <c r="J24" s="28">
        <f>'CWK-1 Sch 4'!N24</f>
        <v>0.023801844941430065</v>
      </c>
      <c r="K24" s="29">
        <f>'CWK-1 Sch 6'!L13</f>
        <v>0.0009090909090909091</v>
      </c>
      <c r="L24" s="35">
        <v>0.0318</v>
      </c>
      <c r="M24" s="50">
        <f aca="true" t="shared" si="1" ref="M24:M35">+J24+K24</f>
        <v>0.024710935850520973</v>
      </c>
    </row>
    <row r="25" spans="1:13" ht="15" customHeight="1">
      <c r="A25"/>
      <c r="B25" s="25">
        <v>378</v>
      </c>
      <c r="C25" s="3"/>
      <c r="D25" s="17" t="s">
        <v>35</v>
      </c>
      <c r="E25" s="34">
        <v>24137813.02</v>
      </c>
      <c r="F25" s="27"/>
      <c r="G25" s="27"/>
      <c r="H25" s="29">
        <v>0.0397</v>
      </c>
      <c r="I25" s="27"/>
      <c r="J25" s="28">
        <f>'CWK-1 Sch 4'!N25</f>
        <v>0.026934035901560894</v>
      </c>
      <c r="K25" s="29">
        <f>'CWK-1 Sch 6'!L14</f>
        <v>0.00852941176470588</v>
      </c>
      <c r="L25" s="35">
        <v>0.0397</v>
      </c>
      <c r="M25" s="50">
        <f t="shared" si="1"/>
        <v>0.03546344766626677</v>
      </c>
    </row>
    <row r="26" spans="1:13" ht="15" customHeight="1">
      <c r="A26"/>
      <c r="B26" s="25">
        <v>380</v>
      </c>
      <c r="C26" s="3"/>
      <c r="D26" s="17" t="s">
        <v>36</v>
      </c>
      <c r="E26" s="34">
        <v>258828009.8</v>
      </c>
      <c r="F26" s="27"/>
      <c r="G26" s="27"/>
      <c r="H26" s="29">
        <v>0.0405</v>
      </c>
      <c r="I26" s="27"/>
      <c r="J26" s="28">
        <f>'CWK-1 Sch 4'!N26</f>
        <v>0.017245264164330785</v>
      </c>
      <c r="K26" s="29">
        <f>'CWK-1 Sch 6'!L15</f>
        <v>0.01216666666666667</v>
      </c>
      <c r="L26" s="35">
        <v>0.0405</v>
      </c>
      <c r="M26" s="50">
        <f t="shared" si="1"/>
        <v>0.029411930830997454</v>
      </c>
    </row>
    <row r="27" spans="1:13" ht="15" customHeight="1">
      <c r="A27"/>
      <c r="B27" s="25">
        <v>381.01</v>
      </c>
      <c r="C27" s="3"/>
      <c r="D27" s="17" t="s">
        <v>37</v>
      </c>
      <c r="E27" s="34">
        <v>50322843.37</v>
      </c>
      <c r="F27" s="27"/>
      <c r="G27" s="27"/>
      <c r="H27" s="29">
        <v>0.03569998989904056</v>
      </c>
      <c r="I27" s="27"/>
      <c r="J27" s="28">
        <f>'CWK-1 Sch 4'!N27</f>
        <v>0.02525091616860719</v>
      </c>
      <c r="K27" s="29">
        <v>0</v>
      </c>
      <c r="L27" s="35">
        <v>0.035699999999999996</v>
      </c>
      <c r="M27" s="50">
        <f t="shared" si="1"/>
        <v>0.02525091616860719</v>
      </c>
    </row>
    <row r="28" spans="1:13" ht="15" customHeight="1">
      <c r="A28"/>
      <c r="B28" s="25">
        <v>381.11</v>
      </c>
      <c r="C28" s="3"/>
      <c r="D28" s="17" t="s">
        <v>38</v>
      </c>
      <c r="E28" s="34">
        <v>135117</v>
      </c>
      <c r="F28" s="27"/>
      <c r="G28" s="27"/>
      <c r="H28" s="29">
        <v>0.0379078872384674</v>
      </c>
      <c r="I28" s="27"/>
      <c r="J28" s="28">
        <f>'CWK-1 Sch 4'!N28</f>
        <v>0.01596614605426904</v>
      </c>
      <c r="K28" s="29">
        <v>0</v>
      </c>
      <c r="L28" s="35">
        <v>0.0379</v>
      </c>
      <c r="M28" s="50">
        <f t="shared" si="1"/>
        <v>0.01596614605426904</v>
      </c>
    </row>
    <row r="29" spans="1:13" ht="15" customHeight="1">
      <c r="A29"/>
      <c r="B29" s="25">
        <v>381.21</v>
      </c>
      <c r="C29" s="3"/>
      <c r="D29" s="17" t="s">
        <v>39</v>
      </c>
      <c r="E29" s="34">
        <v>43317061.69</v>
      </c>
      <c r="F29" s="27"/>
      <c r="G29" s="27"/>
      <c r="H29" s="29">
        <v>0.08329999448769168</v>
      </c>
      <c r="I29" s="27"/>
      <c r="J29" s="28">
        <f>'CWK-1 Sch 4'!N29</f>
        <v>0.06179969981007394</v>
      </c>
      <c r="K29" s="29">
        <v>0</v>
      </c>
      <c r="L29" s="35">
        <v>0.0833</v>
      </c>
      <c r="M29" s="50">
        <f t="shared" si="1"/>
        <v>0.06179969981007394</v>
      </c>
    </row>
    <row r="30" spans="1:13" ht="15" customHeight="1">
      <c r="A30"/>
      <c r="B30" s="25">
        <v>382</v>
      </c>
      <c r="C30" s="3"/>
      <c r="D30" s="17" t="s">
        <v>40</v>
      </c>
      <c r="E30" s="34">
        <v>74509361.12</v>
      </c>
      <c r="F30" s="27"/>
      <c r="G30" s="27"/>
      <c r="H30" s="29">
        <v>0.0268</v>
      </c>
      <c r="I30" s="27"/>
      <c r="J30" s="28">
        <f>'CWK-1 Sch 4'!N30</f>
        <v>0.008524509033154238</v>
      </c>
      <c r="K30" s="29">
        <f>'CWK-1 Sch 6'!L16</f>
        <v>0.0014634146341463415</v>
      </c>
      <c r="L30" s="35">
        <v>0.0268</v>
      </c>
      <c r="M30" s="50">
        <f t="shared" si="1"/>
        <v>0.009987923667300579</v>
      </c>
    </row>
    <row r="31" spans="1:13" ht="15" customHeight="1">
      <c r="A31"/>
      <c r="B31" s="25">
        <v>383</v>
      </c>
      <c r="C31" s="3"/>
      <c r="D31" s="17" t="s">
        <v>41</v>
      </c>
      <c r="E31" s="34">
        <v>12068731</v>
      </c>
      <c r="F31" s="27"/>
      <c r="G31" s="27"/>
      <c r="H31" s="29">
        <v>0.035700025131059764</v>
      </c>
      <c r="I31" s="27"/>
      <c r="J31" s="28">
        <f>'CWK-1 Sch 4'!N31</f>
        <v>0.04021108621953428</v>
      </c>
      <c r="K31" s="29">
        <v>0</v>
      </c>
      <c r="L31" s="35">
        <v>0.035699999999999996</v>
      </c>
      <c r="M31" s="50">
        <f t="shared" si="1"/>
        <v>0.04021108621953428</v>
      </c>
    </row>
    <row r="32" spans="1:13" ht="15" customHeight="1">
      <c r="A32"/>
      <c r="B32" s="25">
        <v>384</v>
      </c>
      <c r="C32" s="3"/>
      <c r="D32" s="17" t="s">
        <v>42</v>
      </c>
      <c r="E32" s="34">
        <v>2377367.76</v>
      </c>
      <c r="F32" s="27"/>
      <c r="G32" s="27"/>
      <c r="H32" s="29">
        <v>0.022200183281698076</v>
      </c>
      <c r="I32" s="27"/>
      <c r="J32" s="28">
        <f>'CWK-1 Sch 4'!N32</f>
        <v>0.010347419718685186</v>
      </c>
      <c r="K32" s="29">
        <v>0</v>
      </c>
      <c r="L32" s="35">
        <v>0.0222</v>
      </c>
      <c r="M32" s="50">
        <f t="shared" si="1"/>
        <v>0.010347419718685186</v>
      </c>
    </row>
    <row r="33" spans="1:13" ht="15" customHeight="1">
      <c r="A33"/>
      <c r="B33" s="25">
        <v>387</v>
      </c>
      <c r="C33" s="3"/>
      <c r="D33" s="17" t="s">
        <v>43</v>
      </c>
      <c r="E33" s="36">
        <v>2572034.07</v>
      </c>
      <c r="F33" s="37"/>
      <c r="G33" s="37"/>
      <c r="H33" s="39">
        <v>0.06657532339764069</v>
      </c>
      <c r="I33" s="37"/>
      <c r="J33" s="38">
        <f>'CWK-1 Sch 4'!N33</f>
        <v>0.057008610151432854</v>
      </c>
      <c r="K33" s="39">
        <v>0</v>
      </c>
      <c r="L33" s="40">
        <v>0.0666</v>
      </c>
      <c r="M33" s="148">
        <f t="shared" si="1"/>
        <v>0.057008610151432854</v>
      </c>
    </row>
    <row r="34" spans="1:13" ht="15" customHeight="1">
      <c r="A34" s="21" t="s">
        <v>44</v>
      </c>
      <c r="B34" s="25"/>
      <c r="C34" s="3"/>
      <c r="D34" s="25"/>
      <c r="E34" s="44"/>
      <c r="F34" s="27"/>
      <c r="G34" s="27"/>
      <c r="H34" s="46"/>
      <c r="I34" s="27"/>
      <c r="J34" s="28"/>
      <c r="K34" s="46"/>
      <c r="L34" s="45"/>
      <c r="M34" s="50"/>
    </row>
    <row r="35" spans="1:13" ht="15" customHeight="1">
      <c r="A35" s="47" t="s">
        <v>45</v>
      </c>
      <c r="B35" s="21"/>
      <c r="C35" s="3"/>
      <c r="D35" s="21"/>
      <c r="E35" s="41">
        <f>SUM(E23:E33)+E21+E11</f>
        <v>1043382358.0699999</v>
      </c>
      <c r="F35" s="42"/>
      <c r="G35" s="42"/>
      <c r="H35" s="43">
        <f>+'CWK-1 Sch 2'!H35/'CWK-1 Sch 2'!E35</f>
        <v>0.030568491745439505</v>
      </c>
      <c r="I35" s="42"/>
      <c r="J35" s="43">
        <f>'CWK-1 Sch 4'!N35</f>
        <v>0.01822112778812697</v>
      </c>
      <c r="K35" s="43">
        <f>'CWK-1 Sch 2'!L35/'CWK-1 Sch 2'!E35</f>
        <v>0.005973137152913561</v>
      </c>
      <c r="L35" s="43">
        <v>0.025186535867878806</v>
      </c>
      <c r="M35" s="149">
        <f t="shared" si="1"/>
        <v>0.02419426494104053</v>
      </c>
    </row>
    <row r="36" spans="1:15" ht="15" customHeight="1">
      <c r="A36" s="21" t="s">
        <v>44</v>
      </c>
      <c r="B36" s="25"/>
      <c r="C36" s="48"/>
      <c r="D36" s="25"/>
      <c r="E36" s="49"/>
      <c r="F36" s="27"/>
      <c r="G36" s="27"/>
      <c r="H36" s="51"/>
      <c r="I36" s="27"/>
      <c r="J36" s="50"/>
      <c r="K36" s="51"/>
      <c r="L36" s="52"/>
      <c r="M36" s="50"/>
      <c r="N36" s="22"/>
      <c r="O36" s="22"/>
    </row>
    <row r="37" spans="1:13" ht="15" customHeight="1">
      <c r="A37" s="47" t="s">
        <v>89</v>
      </c>
      <c r="B37" s="25"/>
      <c r="C37" s="48"/>
      <c r="D37" s="25"/>
      <c r="E37" s="44"/>
      <c r="F37" s="27"/>
      <c r="G37" s="27"/>
      <c r="I37" s="27"/>
      <c r="M37" s="50"/>
    </row>
    <row r="38" spans="1:13" ht="15" customHeight="1">
      <c r="A38"/>
      <c r="B38" s="25">
        <v>390.01</v>
      </c>
      <c r="C38" s="48"/>
      <c r="D38" s="17" t="s">
        <v>90</v>
      </c>
      <c r="E38" s="26">
        <v>6235274.86</v>
      </c>
      <c r="F38" s="27"/>
      <c r="G38" s="27"/>
      <c r="H38" s="29">
        <f>+'CWK-1 Sch 2'!H38/'CWK-1 Sch 2'!E38</f>
        <v>0.016905429570750308</v>
      </c>
      <c r="I38" s="27"/>
      <c r="J38" s="35">
        <f>+'CWK-1 Sch 2'!K38/'CWK-1 Sch 2'!E38</f>
        <v>0.016905429570750308</v>
      </c>
      <c r="K38" s="29">
        <v>0</v>
      </c>
      <c r="L38" s="35">
        <v>0.025</v>
      </c>
      <c r="M38" s="50">
        <f aca="true" t="shared" si="2" ref="M38:M56">J38</f>
        <v>0.016905429570750308</v>
      </c>
    </row>
    <row r="39" spans="1:13" ht="15" customHeight="1">
      <c r="A39"/>
      <c r="B39" s="25">
        <v>390.41</v>
      </c>
      <c r="C39" s="48"/>
      <c r="D39" s="17" t="s">
        <v>91</v>
      </c>
      <c r="E39" s="26">
        <v>1250317.56</v>
      </c>
      <c r="F39" s="27"/>
      <c r="G39" s="27"/>
      <c r="H39" s="29">
        <f>+'CWK-1 Sch 2'!H39/'CWK-1 Sch 2'!E39</f>
        <v>0.0193038958838585</v>
      </c>
      <c r="I39" s="27"/>
      <c r="J39" s="35">
        <f>+'CWK-1 Sch 2'!K39/'CWK-1 Sch 2'!E39</f>
        <v>0.0193038958838585</v>
      </c>
      <c r="K39" s="29">
        <v>0</v>
      </c>
      <c r="L39" s="35">
        <v>0.0667</v>
      </c>
      <c r="M39" s="50">
        <f t="shared" si="2"/>
        <v>0.0193038958838585</v>
      </c>
    </row>
    <row r="40" spans="1:13" ht="15" customHeight="1">
      <c r="A40"/>
      <c r="B40" s="25">
        <v>391.01</v>
      </c>
      <c r="C40" s="3"/>
      <c r="D40" s="17" t="s">
        <v>92</v>
      </c>
      <c r="E40" s="26">
        <v>4759515.87</v>
      </c>
      <c r="F40" s="27"/>
      <c r="G40" s="27"/>
      <c r="H40" s="29">
        <f>+'CWK-1 Sch 2'!H40/'CWK-1 Sch 2'!E40</f>
        <v>0.03768093329206611</v>
      </c>
      <c r="I40" s="27"/>
      <c r="J40" s="35">
        <f>+'CWK-1 Sch 2'!K40/'CWK-1 Sch 2'!E40</f>
        <v>0.03768093329206611</v>
      </c>
      <c r="K40" s="29">
        <v>0</v>
      </c>
      <c r="L40" s="35">
        <v>0.05</v>
      </c>
      <c r="M40" s="50">
        <f t="shared" si="2"/>
        <v>0.03768093329206611</v>
      </c>
    </row>
    <row r="41" spans="1:13" ht="15" customHeight="1">
      <c r="A41"/>
      <c r="B41" s="25">
        <v>391.02</v>
      </c>
      <c r="C41" s="3"/>
      <c r="D41" s="17" t="s">
        <v>93</v>
      </c>
      <c r="E41" s="26">
        <v>5853013.7</v>
      </c>
      <c r="F41" s="27"/>
      <c r="G41" s="27"/>
      <c r="H41" s="29">
        <f>+'CWK-1 Sch 2'!H41/'CWK-1 Sch 2'!E41</f>
        <v>0.0006061834435822352</v>
      </c>
      <c r="I41" s="27"/>
      <c r="J41" s="35">
        <f>+'CWK-1 Sch 2'!K41/'CWK-1 Sch 2'!E41</f>
        <v>0.0006061834435822352</v>
      </c>
      <c r="K41" s="29">
        <v>0</v>
      </c>
      <c r="L41" s="35">
        <v>0.1429</v>
      </c>
      <c r="M41" s="50">
        <f t="shared" si="2"/>
        <v>0.0006061834435822352</v>
      </c>
    </row>
    <row r="42" spans="1:13" ht="15" customHeight="1">
      <c r="A42"/>
      <c r="B42" s="25">
        <v>391.03</v>
      </c>
      <c r="C42" s="31"/>
      <c r="D42" s="17" t="s">
        <v>94</v>
      </c>
      <c r="E42" s="26">
        <v>5573733.16</v>
      </c>
      <c r="F42" s="27"/>
      <c r="G42" s="27"/>
      <c r="H42" s="29">
        <f>+'CWK-1 Sch 2'!H42/'CWK-1 Sch 2'!E42</f>
        <v>0.09943102478913791</v>
      </c>
      <c r="I42" s="27"/>
      <c r="J42" s="35">
        <f>+'CWK-1 Sch 2'!K42/'CWK-1 Sch 2'!E42</f>
        <v>0.09943102478913791</v>
      </c>
      <c r="K42" s="29">
        <v>0</v>
      </c>
      <c r="L42" s="35">
        <v>0.25</v>
      </c>
      <c r="M42" s="50">
        <f t="shared" si="2"/>
        <v>0.09943102478913791</v>
      </c>
    </row>
    <row r="43" spans="1:13" ht="15" customHeight="1">
      <c r="A43"/>
      <c r="B43" s="25">
        <v>391.04</v>
      </c>
      <c r="C43" s="3"/>
      <c r="D43" s="17" t="s">
        <v>95</v>
      </c>
      <c r="E43" s="26">
        <v>61378276.13</v>
      </c>
      <c r="F43" s="27"/>
      <c r="G43" s="27"/>
      <c r="H43" s="29">
        <f>+'CWK-1 Sch 2'!H43/'CWK-1 Sch 2'!E43</f>
        <v>0.06599154058059727</v>
      </c>
      <c r="I43" s="27"/>
      <c r="J43" s="35">
        <f>+'CWK-1 Sch 2'!K43/'CWK-1 Sch 2'!E43</f>
        <v>0.0879887207741297</v>
      </c>
      <c r="K43" s="29">
        <v>0</v>
      </c>
      <c r="L43" s="35">
        <v>0.1</v>
      </c>
      <c r="M43" s="50">
        <f t="shared" si="2"/>
        <v>0.0879887207741297</v>
      </c>
    </row>
    <row r="44" spans="1:15" ht="15" customHeight="1">
      <c r="A44"/>
      <c r="B44" s="25">
        <v>392.01</v>
      </c>
      <c r="C44" s="3"/>
      <c r="D44" s="17" t="s">
        <v>96</v>
      </c>
      <c r="E44" s="26">
        <v>24958354.75</v>
      </c>
      <c r="F44" s="27"/>
      <c r="G44" s="27"/>
      <c r="H44" s="29">
        <f>+'CWK-1 Sch 2'!H44/'CWK-1 Sch 2'!E44</f>
        <v>0.04253028737801717</v>
      </c>
      <c r="I44" s="27"/>
      <c r="J44" s="35">
        <f>+'CWK-1 Sch 2'!K44/'CWK-1 Sch 2'!E44</f>
        <v>0.04253028737801717</v>
      </c>
      <c r="K44" s="29">
        <v>0</v>
      </c>
      <c r="L44" s="35">
        <v>0.0839</v>
      </c>
      <c r="M44" s="50">
        <f t="shared" si="2"/>
        <v>0.04253028737801717</v>
      </c>
      <c r="O44" s="147"/>
    </row>
    <row r="45" spans="1:13" ht="15" customHeight="1">
      <c r="A45"/>
      <c r="B45" s="25">
        <v>392.02</v>
      </c>
      <c r="C45" s="3"/>
      <c r="D45" s="17" t="s">
        <v>97</v>
      </c>
      <c r="E45" s="26">
        <v>2015575.26</v>
      </c>
      <c r="F45" s="27"/>
      <c r="G45" s="27"/>
      <c r="H45" s="29">
        <f>+'CWK-1 Sch 2'!H45/'CWK-1 Sch 2'!E45</f>
        <v>0.017603411147247363</v>
      </c>
      <c r="I45" s="27"/>
      <c r="J45" s="35">
        <f>+'CWK-1 Sch 2'!K45/'CWK-1 Sch 2'!E45</f>
        <v>0.017603411147247363</v>
      </c>
      <c r="K45" s="29">
        <v>0</v>
      </c>
      <c r="L45" s="35">
        <v>0.1</v>
      </c>
      <c r="M45" s="50">
        <f t="shared" si="2"/>
        <v>0.017603411147247363</v>
      </c>
    </row>
    <row r="46" spans="1:13" ht="15" customHeight="1">
      <c r="A46"/>
      <c r="B46" s="25">
        <v>393</v>
      </c>
      <c r="C46" s="3"/>
      <c r="D46" s="17" t="s">
        <v>98</v>
      </c>
      <c r="E46" s="26">
        <v>636972</v>
      </c>
      <c r="F46" s="27"/>
      <c r="G46" s="27"/>
      <c r="H46" s="29">
        <f>+'CWK-1 Sch 2'!H46/'CWK-1 Sch 2'!E46</f>
        <v>0</v>
      </c>
      <c r="I46" s="27"/>
      <c r="J46" s="35">
        <f>+'CWK-1 Sch 2'!K46/'CWK-1 Sch 2'!E46</f>
        <v>0</v>
      </c>
      <c r="K46" s="29">
        <v>0</v>
      </c>
      <c r="L46" s="35">
        <v>0.05</v>
      </c>
      <c r="M46" s="50">
        <f t="shared" si="2"/>
        <v>0</v>
      </c>
    </row>
    <row r="47" spans="1:13" ht="15" customHeight="1">
      <c r="A47"/>
      <c r="B47" s="25">
        <v>394.1</v>
      </c>
      <c r="C47" s="3"/>
      <c r="D47" s="17" t="s">
        <v>99</v>
      </c>
      <c r="E47" s="26">
        <v>8160854.59</v>
      </c>
      <c r="F47" s="27"/>
      <c r="G47" s="27"/>
      <c r="H47" s="29">
        <f>+'CWK-1 Sch 2'!H47/'CWK-1 Sch 2'!E47</f>
        <v>0.018973748189281242</v>
      </c>
      <c r="I47" s="27"/>
      <c r="J47" s="35">
        <f>+'CWK-1 Sch 2'!K47/'CWK-1 Sch 2'!E47</f>
        <v>0.018973748189281242</v>
      </c>
      <c r="K47" s="29">
        <v>0</v>
      </c>
      <c r="L47" s="35">
        <v>0.1</v>
      </c>
      <c r="M47" s="50">
        <f t="shared" si="2"/>
        <v>0.018973748189281242</v>
      </c>
    </row>
    <row r="48" spans="1:13" ht="15" customHeight="1">
      <c r="A48"/>
      <c r="B48" s="25">
        <v>394.2</v>
      </c>
      <c r="C48" s="3"/>
      <c r="D48" s="17" t="s">
        <v>100</v>
      </c>
      <c r="E48" s="26">
        <v>2536979.45</v>
      </c>
      <c r="F48" s="27"/>
      <c r="G48" s="27"/>
      <c r="H48" s="29">
        <f>+'CWK-1 Sch 2'!H48/'CWK-1 Sch 2'!E48</f>
        <v>0.0067911468498493355</v>
      </c>
      <c r="I48" s="27"/>
      <c r="J48" s="35">
        <f>+'CWK-1 Sch 2'!K48/'CWK-1 Sch 2'!E48</f>
        <v>0.0067911468498493355</v>
      </c>
      <c r="K48" s="29">
        <v>0</v>
      </c>
      <c r="L48" s="35">
        <v>0.05</v>
      </c>
      <c r="M48" s="50">
        <f t="shared" si="2"/>
        <v>0.0067911468498493355</v>
      </c>
    </row>
    <row r="49" spans="1:13" ht="15" customHeight="1">
      <c r="A49"/>
      <c r="B49" s="25">
        <v>394.4</v>
      </c>
      <c r="C49" s="3"/>
      <c r="D49" s="17" t="s">
        <v>101</v>
      </c>
      <c r="E49" s="26">
        <v>9583245.13</v>
      </c>
      <c r="F49" s="27"/>
      <c r="G49" s="27"/>
      <c r="H49" s="29">
        <f>+'CWK-1 Sch 2'!H49/'CWK-1 Sch 2'!E49</f>
        <v>0.0001171836872339297</v>
      </c>
      <c r="I49" s="27"/>
      <c r="J49" s="35">
        <f>+'CWK-1 Sch 2'!K49/'CWK-1 Sch 2'!E49</f>
        <v>0.0001171836872339297</v>
      </c>
      <c r="K49" s="29">
        <v>0</v>
      </c>
      <c r="L49" s="35">
        <v>0.1</v>
      </c>
      <c r="M49" s="50">
        <f t="shared" si="2"/>
        <v>0.0001171836872339297</v>
      </c>
    </row>
    <row r="50" spans="1:13" ht="15" customHeight="1">
      <c r="A50"/>
      <c r="B50" s="25">
        <v>395</v>
      </c>
      <c r="C50" s="3"/>
      <c r="D50" s="17" t="s">
        <v>102</v>
      </c>
      <c r="E50" s="26">
        <v>524643</v>
      </c>
      <c r="F50" s="27"/>
      <c r="G50" s="27"/>
      <c r="H50" s="29">
        <f>+'CWK-1 Sch 2'!H50/'CWK-1 Sch 2'!E50</f>
        <v>-1.715452221796536E-05</v>
      </c>
      <c r="I50" s="27"/>
      <c r="J50" s="35">
        <f>+'CWK-1 Sch 2'!K50/'CWK-1 Sch 2'!E50</f>
        <v>-1.715452221796536E-05</v>
      </c>
      <c r="K50" s="29">
        <v>0</v>
      </c>
      <c r="L50" s="35">
        <v>0.0667</v>
      </c>
      <c r="M50" s="50">
        <f t="shared" si="2"/>
        <v>-1.715452221796536E-05</v>
      </c>
    </row>
    <row r="51" spans="1:13" ht="15" customHeight="1">
      <c r="A51"/>
      <c r="B51" s="25">
        <v>396</v>
      </c>
      <c r="C51" s="3"/>
      <c r="D51" s="17" t="s">
        <v>103</v>
      </c>
      <c r="E51" s="26">
        <v>6915703.1</v>
      </c>
      <c r="F51" s="27"/>
      <c r="G51" s="27"/>
      <c r="H51" s="29">
        <f>+'CWK-1 Sch 2'!H51/'CWK-1 Sch 2'!E51</f>
        <v>0.03935304857144605</v>
      </c>
      <c r="I51" s="27"/>
      <c r="J51" s="35">
        <f>+'CWK-1 Sch 2'!K51/'CWK-1 Sch 2'!E51</f>
        <v>0.03935304857144605</v>
      </c>
      <c r="K51" s="29">
        <v>0</v>
      </c>
      <c r="L51" s="35">
        <v>0.0735</v>
      </c>
      <c r="M51" s="50">
        <f t="shared" si="2"/>
        <v>0.03935304857144605</v>
      </c>
    </row>
    <row r="52" spans="1:13" ht="15" customHeight="1">
      <c r="A52"/>
      <c r="B52" s="25">
        <v>397.1</v>
      </c>
      <c r="C52" s="3"/>
      <c r="D52" s="17" t="s">
        <v>104</v>
      </c>
      <c r="E52" s="26">
        <v>2806397.73</v>
      </c>
      <c r="F52" s="27"/>
      <c r="G52" s="27"/>
      <c r="H52" s="29">
        <f>+'CWK-1 Sch 2'!H52/'CWK-1 Sch 2'!E52</f>
        <v>0.0017139409530522959</v>
      </c>
      <c r="I52" s="27"/>
      <c r="J52" s="35">
        <f>+'CWK-1 Sch 2'!K52/'CWK-1 Sch 2'!E52</f>
        <v>0.0017139409530522959</v>
      </c>
      <c r="K52" s="29">
        <v>0</v>
      </c>
      <c r="L52" s="35">
        <v>0.2</v>
      </c>
      <c r="M52" s="50">
        <f t="shared" si="2"/>
        <v>0.0017139409530522959</v>
      </c>
    </row>
    <row r="53" spans="1:13" ht="15" customHeight="1">
      <c r="A53"/>
      <c r="B53" s="25">
        <v>397.3</v>
      </c>
      <c r="C53" s="3"/>
      <c r="D53" s="17" t="s">
        <v>105</v>
      </c>
      <c r="E53" s="26">
        <v>15991403.72</v>
      </c>
      <c r="F53" s="27"/>
      <c r="G53" s="27"/>
      <c r="H53" s="29">
        <f>+'CWK-1 Sch 2'!H53/'CWK-1 Sch 2'!E53</f>
        <v>-0.0005979462570906815</v>
      </c>
      <c r="I53" s="27"/>
      <c r="J53" s="35">
        <f>+'CWK-1 Sch 2'!K53/'CWK-1 Sch 2'!E53</f>
        <v>-0.0005979462570906815</v>
      </c>
      <c r="K53" s="29">
        <v>0</v>
      </c>
      <c r="L53" s="35">
        <v>0.1</v>
      </c>
      <c r="M53" s="50">
        <f t="shared" si="2"/>
        <v>-0.0005979462570906815</v>
      </c>
    </row>
    <row r="54" spans="1:13" ht="15" customHeight="1">
      <c r="A54"/>
      <c r="B54" s="25">
        <v>397.4</v>
      </c>
      <c r="C54" s="3"/>
      <c r="D54" s="17" t="s">
        <v>106</v>
      </c>
      <c r="E54" s="26">
        <v>839376.24</v>
      </c>
      <c r="F54" s="27"/>
      <c r="G54" s="27"/>
      <c r="H54" s="29">
        <f>+'CWK-1 Sch 2'!H54/'CWK-1 Sch 2'!E54</f>
        <v>0.05282136649471994</v>
      </c>
      <c r="I54" s="27"/>
      <c r="J54" s="35">
        <f>+'CWK-1 Sch 2'!K54/'CWK-1 Sch 2'!E54</f>
        <v>0.05282136649471994</v>
      </c>
      <c r="K54" s="29">
        <v>0</v>
      </c>
      <c r="L54" s="35">
        <v>0.1</v>
      </c>
      <c r="M54" s="50">
        <f t="shared" si="2"/>
        <v>0.05282136649471994</v>
      </c>
    </row>
    <row r="55" spans="1:13" ht="15" customHeight="1">
      <c r="A55"/>
      <c r="B55" s="25">
        <v>397.5</v>
      </c>
      <c r="C55" s="3"/>
      <c r="D55" s="17" t="s">
        <v>107</v>
      </c>
      <c r="E55" s="26">
        <v>52064</v>
      </c>
      <c r="F55" s="27"/>
      <c r="G55" s="27"/>
      <c r="H55" s="29">
        <f>+'CWK-1 Sch 2'!H55/'CWK-1 Sch 2'!E55</f>
        <v>0</v>
      </c>
      <c r="I55" s="27"/>
      <c r="J55" s="35">
        <f>+'CWK-1 Sch 2'!K55/'CWK-1 Sch 2'!E55</f>
        <v>0</v>
      </c>
      <c r="K55" s="29">
        <v>0</v>
      </c>
      <c r="L55" s="35">
        <v>0.1</v>
      </c>
      <c r="M55" s="50">
        <f t="shared" si="2"/>
        <v>0</v>
      </c>
    </row>
    <row r="56" spans="1:13" ht="15" customHeight="1">
      <c r="A56"/>
      <c r="B56" s="25">
        <v>398</v>
      </c>
      <c r="C56" s="3"/>
      <c r="D56" s="17" t="s">
        <v>108</v>
      </c>
      <c r="E56" s="130">
        <v>406140.31</v>
      </c>
      <c r="F56" s="37"/>
      <c r="G56" s="37"/>
      <c r="H56" s="39">
        <f>+'CWK-1 Sch 2'!H56/'CWK-1 Sch 2'!E56</f>
        <v>0.017422550349656257</v>
      </c>
      <c r="I56" s="37"/>
      <c r="J56" s="40">
        <f>+'CWK-1 Sch 2'!K56/'CWK-1 Sch 2'!E56</f>
        <v>0.017422550349656257</v>
      </c>
      <c r="K56" s="39">
        <v>0</v>
      </c>
      <c r="L56" s="40">
        <v>0.0667</v>
      </c>
      <c r="M56" s="148">
        <f t="shared" si="2"/>
        <v>0.017422550349656257</v>
      </c>
    </row>
    <row r="57" spans="1:13" ht="15" customHeight="1">
      <c r="A57" s="131"/>
      <c r="B57" s="21" t="s">
        <v>44</v>
      </c>
      <c r="C57" s="3"/>
      <c r="D57" s="25"/>
      <c r="E57" s="17"/>
      <c r="F57" s="42"/>
      <c r="G57" s="27"/>
      <c r="H57" s="1"/>
      <c r="I57" s="27"/>
      <c r="J57" s="28"/>
      <c r="K57" s="1"/>
      <c r="L57"/>
      <c r="M57" s="50"/>
    </row>
    <row r="58" spans="1:13" ht="15" customHeight="1">
      <c r="A58" s="47" t="s">
        <v>109</v>
      </c>
      <c r="B58"/>
      <c r="C58" s="3"/>
      <c r="D58" s="132"/>
      <c r="E58" s="133">
        <f>SUM(E38:E56)</f>
        <v>160477840.56</v>
      </c>
      <c r="F58" s="37"/>
      <c r="G58" s="140"/>
      <c r="H58" s="156">
        <f>+'CWK-1 Sch 2'!H58/'CWK-1 Sch 2'!E58</f>
        <v>0.0405417531622847</v>
      </c>
      <c r="I58" s="140"/>
      <c r="J58" s="157">
        <f>+'CWK-1 Sch 2'!K58/'CWK-1 Sch 2'!E58</f>
        <v>0.048955058047797546</v>
      </c>
      <c r="K58" s="137">
        <f>'CWK-1 Sch 2'!L58/'CWK-1 Sch 2'!E58</f>
        <v>0</v>
      </c>
      <c r="L58" s="137">
        <v>0.07595030468324247</v>
      </c>
      <c r="M58" s="158">
        <f>+J58</f>
        <v>0.048955058047797546</v>
      </c>
    </row>
    <row r="59" spans="1:13" ht="15" customHeight="1">
      <c r="A59" s="134" t="s">
        <v>44</v>
      </c>
      <c r="B59"/>
      <c r="C59" s="3"/>
      <c r="D59" s="124"/>
      <c r="E59" s="17"/>
      <c r="F59" s="42"/>
      <c r="G59" s="27"/>
      <c r="H59" s="1"/>
      <c r="I59" s="27"/>
      <c r="J59" s="28"/>
      <c r="K59" s="1"/>
      <c r="L59"/>
      <c r="M59" s="50"/>
    </row>
    <row r="60" spans="1:13" ht="15" customHeight="1" thickBot="1">
      <c r="A60" s="135" t="s">
        <v>110</v>
      </c>
      <c r="B60"/>
      <c r="C60" s="3"/>
      <c r="D60" s="21"/>
      <c r="E60" s="136">
        <f>E58+E35</f>
        <v>1203860198.6299999</v>
      </c>
      <c r="F60" s="141"/>
      <c r="G60" s="142"/>
      <c r="H60" s="138">
        <f>'CWK-1 Sch 2'!H60/'CWK-1 Sch 2'!E60</f>
        <v>0.03189795463268925</v>
      </c>
      <c r="I60" s="142"/>
      <c r="J60" s="138">
        <f>'CWK-1 Sch 2'!K60/'CWK-1 Sch 2'!E60</f>
        <v>0.022318044328441495</v>
      </c>
      <c r="K60" s="138">
        <f>'CWK-1 Sch 2'!L60/'CWK-1 Sch 2'!E60</f>
        <v>0.0051769017156434215</v>
      </c>
      <c r="L60" s="138">
        <v>0.03195348439516408</v>
      </c>
      <c r="M60" s="155">
        <f>+'CWK-1 Sch 2'!N60/'CWK-1 Sch 2'!E60</f>
        <v>0.02749494604408492</v>
      </c>
    </row>
    <row r="61" spans="1:13" ht="15" customHeight="1" thickTop="1">
      <c r="A61" s="11"/>
      <c r="B61" s="57"/>
      <c r="C61" s="13"/>
      <c r="D61" s="13"/>
      <c r="E61" s="58"/>
      <c r="F61" s="28"/>
      <c r="G61" s="28"/>
      <c r="I61" s="28"/>
      <c r="J61" s="28"/>
      <c r="K61" s="28"/>
      <c r="L61" s="11"/>
      <c r="M61" s="146"/>
    </row>
    <row r="62" spans="1:13" ht="15" customHeight="1">
      <c r="A62" s="11"/>
      <c r="B62" s="164" t="s">
        <v>46</v>
      </c>
      <c r="C62" s="13"/>
      <c r="D62" s="13" t="s">
        <v>125</v>
      </c>
      <c r="E62" s="58"/>
      <c r="F62" s="28"/>
      <c r="G62" s="28"/>
      <c r="I62" s="28"/>
      <c r="J62" s="28"/>
      <c r="K62" s="28"/>
      <c r="L62" s="11"/>
      <c r="M62" s="11"/>
    </row>
    <row r="63" spans="1:13" ht="15" customHeight="1">
      <c r="A63" s="11"/>
      <c r="B63" s="56" t="s">
        <v>124</v>
      </c>
      <c r="C63" s="3" t="s">
        <v>47</v>
      </c>
      <c r="D63" s="13"/>
      <c r="E63" s="58"/>
      <c r="F63" s="28"/>
      <c r="G63" s="28"/>
      <c r="I63" s="28"/>
      <c r="J63" s="28"/>
      <c r="K63" s="28"/>
      <c r="L63" s="11"/>
      <c r="M63" s="11"/>
    </row>
    <row r="64" spans="1:13" ht="15" customHeight="1">
      <c r="A64" s="11"/>
      <c r="B64" s="57"/>
      <c r="C64" s="13"/>
      <c r="D64" s="13"/>
      <c r="E64" s="58"/>
      <c r="F64" s="28"/>
      <c r="G64" s="28"/>
      <c r="I64" s="28"/>
      <c r="J64" s="28"/>
      <c r="K64" s="28"/>
      <c r="L64" s="11"/>
      <c r="M64" s="11"/>
    </row>
    <row r="65" spans="1:13" ht="15" customHeight="1">
      <c r="A65" s="11"/>
      <c r="B65" s="57"/>
      <c r="C65" s="13"/>
      <c r="D65" s="13"/>
      <c r="E65" s="58"/>
      <c r="F65" s="28"/>
      <c r="G65" s="28"/>
      <c r="I65" s="28"/>
      <c r="J65" s="28"/>
      <c r="K65" s="28"/>
      <c r="L65" s="11"/>
      <c r="M65" s="11"/>
    </row>
    <row r="66" spans="1:13" ht="15" customHeight="1">
      <c r="A66" s="11"/>
      <c r="B66" s="57"/>
      <c r="C66" s="13"/>
      <c r="D66" s="13"/>
      <c r="E66" s="58"/>
      <c r="F66" s="28"/>
      <c r="G66" s="28"/>
      <c r="I66" s="28"/>
      <c r="J66" s="28"/>
      <c r="K66" s="28"/>
      <c r="L66" s="11"/>
      <c r="M66" s="11"/>
    </row>
    <row r="67" spans="1:13" ht="15" customHeight="1">
      <c r="A67" s="11"/>
      <c r="B67" s="57"/>
      <c r="C67" s="13"/>
      <c r="D67" s="13"/>
      <c r="E67" s="58"/>
      <c r="F67" s="28"/>
      <c r="G67" s="28"/>
      <c r="I67" s="28"/>
      <c r="J67" s="28"/>
      <c r="K67" s="28"/>
      <c r="L67" s="11"/>
      <c r="M67" s="11"/>
    </row>
    <row r="68" spans="1:13" ht="15" customHeight="1">
      <c r="A68" s="11"/>
      <c r="B68" s="57"/>
      <c r="C68" s="13"/>
      <c r="D68" s="13"/>
      <c r="E68" s="58"/>
      <c r="F68" s="28"/>
      <c r="G68" s="28"/>
      <c r="I68" s="28"/>
      <c r="J68" s="28"/>
      <c r="K68" s="28"/>
      <c r="L68" s="11"/>
      <c r="M68" s="11"/>
    </row>
    <row r="69" spans="1:13" ht="15" customHeight="1">
      <c r="A69" s="11"/>
      <c r="B69" s="57"/>
      <c r="C69" s="13"/>
      <c r="D69" s="13"/>
      <c r="E69" s="58"/>
      <c r="F69" s="28"/>
      <c r="G69" s="28"/>
      <c r="I69" s="28"/>
      <c r="J69" s="28"/>
      <c r="K69" s="28"/>
      <c r="L69" s="11"/>
      <c r="M69" s="11"/>
    </row>
    <row r="70" spans="1:13" ht="15" customHeight="1">
      <c r="A70" s="11"/>
      <c r="B70" s="57"/>
      <c r="C70" s="13"/>
      <c r="D70" s="13"/>
      <c r="E70" s="58"/>
      <c r="F70" s="28"/>
      <c r="G70" s="28"/>
      <c r="I70" s="28"/>
      <c r="J70" s="28"/>
      <c r="K70" s="28"/>
      <c r="L70" s="11"/>
      <c r="M70" s="11"/>
    </row>
    <row r="71" spans="1:13" ht="15" customHeight="1">
      <c r="A71" s="11"/>
      <c r="B71" s="47"/>
      <c r="C71" s="13"/>
      <c r="D71" s="13"/>
      <c r="E71" s="60"/>
      <c r="F71" s="28"/>
      <c r="G71" s="28"/>
      <c r="I71" s="28"/>
      <c r="J71" s="28"/>
      <c r="K71" s="28"/>
      <c r="L71" s="11"/>
      <c r="M71" s="11"/>
    </row>
    <row r="72" spans="1:13" ht="15" customHeight="1">
      <c r="A72" s="11"/>
      <c r="B72" s="59"/>
      <c r="C72" s="59"/>
      <c r="D72" s="59"/>
      <c r="E72" s="59"/>
      <c r="F72" s="28"/>
      <c r="G72" s="28"/>
      <c r="I72" s="28"/>
      <c r="J72" s="28"/>
      <c r="K72" s="28"/>
      <c r="L72" s="11"/>
      <c r="M72" s="11"/>
    </row>
    <row r="73" spans="1:13" ht="15" customHeight="1">
      <c r="A73" s="11"/>
      <c r="B73" s="59"/>
      <c r="C73" s="59"/>
      <c r="D73" s="59"/>
      <c r="E73" s="59"/>
      <c r="F73" s="28"/>
      <c r="G73" s="28"/>
      <c r="I73" s="28"/>
      <c r="J73" s="28"/>
      <c r="K73" s="28"/>
      <c r="L73" s="11"/>
      <c r="M73" s="11"/>
    </row>
    <row r="74" spans="1:13" ht="15" customHeight="1">
      <c r="A74" s="11"/>
      <c r="B74" s="62"/>
      <c r="C74" s="13"/>
      <c r="D74" s="13"/>
      <c r="E74" s="13"/>
      <c r="F74" s="28"/>
      <c r="G74" s="28"/>
      <c r="I74" s="28"/>
      <c r="J74" s="28"/>
      <c r="K74" s="28"/>
      <c r="L74" s="11"/>
      <c r="M74" s="11"/>
    </row>
    <row r="75" spans="1:13" ht="15" customHeight="1">
      <c r="A75" s="11"/>
      <c r="B75" s="62"/>
      <c r="C75" s="13"/>
      <c r="D75" s="13"/>
      <c r="E75" s="13"/>
      <c r="F75" s="13"/>
      <c r="G75" s="13"/>
      <c r="I75" s="13"/>
      <c r="J75" s="13"/>
      <c r="K75" s="13"/>
      <c r="L75" s="11"/>
      <c r="M75" s="11"/>
    </row>
    <row r="76" spans="1:13" ht="15" customHeight="1">
      <c r="A76" s="11"/>
      <c r="B76" s="57"/>
      <c r="C76" s="13"/>
      <c r="D76" s="13"/>
      <c r="E76" s="58"/>
      <c r="F76" s="28"/>
      <c r="G76" s="28"/>
      <c r="I76" s="28"/>
      <c r="J76" s="28"/>
      <c r="K76" s="28"/>
      <c r="L76" s="11"/>
      <c r="M76" s="11"/>
    </row>
    <row r="77" spans="1:13" ht="15" customHeight="1">
      <c r="A77" s="11"/>
      <c r="B77" s="57"/>
      <c r="C77" s="13"/>
      <c r="D77" s="13"/>
      <c r="E77" s="58"/>
      <c r="F77" s="28"/>
      <c r="G77" s="28"/>
      <c r="I77" s="28"/>
      <c r="J77" s="28"/>
      <c r="K77" s="28"/>
      <c r="L77" s="11"/>
      <c r="M77" s="11"/>
    </row>
    <row r="78" spans="1:13" ht="15" customHeight="1">
      <c r="A78" s="11"/>
      <c r="B78" s="57"/>
      <c r="C78" s="13"/>
      <c r="D78" s="13"/>
      <c r="E78" s="58"/>
      <c r="F78" s="28"/>
      <c r="G78" s="28"/>
      <c r="I78" s="28"/>
      <c r="J78" s="28"/>
      <c r="K78" s="28"/>
      <c r="L78" s="11"/>
      <c r="M78" s="11"/>
    </row>
    <row r="79" spans="1:13" ht="15" customHeight="1">
      <c r="A79" s="11"/>
      <c r="B79" s="57"/>
      <c r="C79" s="13"/>
      <c r="D79" s="13"/>
      <c r="E79" s="58"/>
      <c r="F79" s="28"/>
      <c r="G79" s="28"/>
      <c r="I79" s="28"/>
      <c r="J79" s="28"/>
      <c r="K79" s="28"/>
      <c r="L79" s="11"/>
      <c r="M79" s="11"/>
    </row>
    <row r="80" spans="1:13" ht="15" customHeight="1">
      <c r="A80" s="11"/>
      <c r="B80" s="57"/>
      <c r="C80" s="13"/>
      <c r="D80" s="13"/>
      <c r="E80" s="58"/>
      <c r="F80" s="28"/>
      <c r="G80" s="28"/>
      <c r="I80" s="28"/>
      <c r="J80" s="28"/>
      <c r="K80" s="28"/>
      <c r="L80" s="11"/>
      <c r="M80" s="11"/>
    </row>
    <row r="81" spans="1:13" ht="15" customHeight="1">
      <c r="A81" s="11"/>
      <c r="B81" s="57"/>
      <c r="C81" s="13"/>
      <c r="D81" s="13"/>
      <c r="E81" s="58"/>
      <c r="F81" s="28"/>
      <c r="G81" s="28"/>
      <c r="I81" s="28"/>
      <c r="J81" s="28"/>
      <c r="K81" s="28"/>
      <c r="L81" s="11"/>
      <c r="M81" s="11"/>
    </row>
    <row r="82" spans="1:13" ht="15" customHeight="1">
      <c r="A82" s="11"/>
      <c r="B82" s="57"/>
      <c r="C82" s="13"/>
      <c r="D82" s="13"/>
      <c r="E82" s="58"/>
      <c r="F82" s="28"/>
      <c r="G82" s="28"/>
      <c r="I82" s="28"/>
      <c r="J82" s="28"/>
      <c r="K82" s="28"/>
      <c r="L82" s="11"/>
      <c r="M82" s="11"/>
    </row>
    <row r="83" spans="1:13" ht="15" customHeight="1">
      <c r="A83" s="11"/>
      <c r="B83" s="57"/>
      <c r="C83" s="13"/>
      <c r="D83" s="13"/>
      <c r="E83" s="58"/>
      <c r="F83" s="28"/>
      <c r="G83" s="28"/>
      <c r="I83" s="28"/>
      <c r="J83" s="28"/>
      <c r="K83" s="28"/>
      <c r="L83" s="11"/>
      <c r="M83" s="11"/>
    </row>
    <row r="84" spans="1:13" ht="15" customHeight="1">
      <c r="A84" s="11"/>
      <c r="B84" s="47"/>
      <c r="C84" s="13"/>
      <c r="D84" s="13"/>
      <c r="E84" s="60"/>
      <c r="F84" s="43"/>
      <c r="G84" s="43"/>
      <c r="I84" s="43"/>
      <c r="J84" s="43"/>
      <c r="K84" s="43"/>
      <c r="L84" s="11"/>
      <c r="M84" s="11"/>
    </row>
    <row r="85" spans="1:13" ht="15" customHeight="1">
      <c r="A85" s="11"/>
      <c r="B85" s="59"/>
      <c r="C85" s="59"/>
      <c r="D85" s="59"/>
      <c r="E85" s="59"/>
      <c r="F85" s="59"/>
      <c r="G85" s="59"/>
      <c r="I85" s="59"/>
      <c r="J85" s="59"/>
      <c r="K85" s="59"/>
      <c r="L85" s="11"/>
      <c r="M85" s="11"/>
    </row>
    <row r="86" spans="1:13" ht="15" customHeight="1">
      <c r="A86" s="11"/>
      <c r="B86" s="57"/>
      <c r="C86" s="13"/>
      <c r="D86" s="13"/>
      <c r="E86" s="58"/>
      <c r="F86" s="28"/>
      <c r="G86" s="28"/>
      <c r="I86" s="28"/>
      <c r="J86" s="28"/>
      <c r="K86" s="28"/>
      <c r="L86" s="11"/>
      <c r="M86" s="11"/>
    </row>
    <row r="87" spans="1:13" ht="15" customHeight="1">
      <c r="A87" s="11"/>
      <c r="B87" s="59"/>
      <c r="C87" s="59"/>
      <c r="D87" s="59"/>
      <c r="E87" s="59"/>
      <c r="F87" s="59"/>
      <c r="G87" s="59"/>
      <c r="I87" s="59"/>
      <c r="J87" s="59"/>
      <c r="K87" s="59"/>
      <c r="L87" s="11"/>
      <c r="M87" s="11"/>
    </row>
    <row r="88" spans="1:13" ht="15" customHeight="1">
      <c r="A88" s="11"/>
      <c r="B88" s="47"/>
      <c r="C88" s="13"/>
      <c r="D88" s="13"/>
      <c r="E88" s="60"/>
      <c r="F88" s="43"/>
      <c r="G88" s="43"/>
      <c r="I88" s="43"/>
      <c r="J88" s="43"/>
      <c r="K88" s="43"/>
      <c r="L88" s="11"/>
      <c r="M88" s="11"/>
    </row>
    <row r="89" spans="1:13" ht="15" customHeight="1">
      <c r="A89" s="11"/>
      <c r="B89" s="59"/>
      <c r="C89" s="59"/>
      <c r="D89" s="59"/>
      <c r="E89" s="59"/>
      <c r="F89" s="63"/>
      <c r="G89" s="63"/>
      <c r="I89" s="63"/>
      <c r="J89" s="63"/>
      <c r="K89" s="63"/>
      <c r="L89" s="11"/>
      <c r="M89" s="11"/>
    </row>
    <row r="90" spans="1:13" ht="15" customHeight="1">
      <c r="A90" s="11"/>
      <c r="B90" s="59"/>
      <c r="C90" s="59"/>
      <c r="D90" s="59"/>
      <c r="E90" s="59"/>
      <c r="F90" s="63"/>
      <c r="G90" s="63"/>
      <c r="I90" s="63"/>
      <c r="J90" s="63"/>
      <c r="K90" s="63"/>
      <c r="L90" s="11"/>
      <c r="M90" s="11"/>
    </row>
    <row r="91" spans="1:13" ht="15" customHeight="1">
      <c r="A91" s="11"/>
      <c r="B91" s="59"/>
      <c r="C91" s="59"/>
      <c r="D91" s="59"/>
      <c r="E91" s="59"/>
      <c r="F91" s="63"/>
      <c r="G91" s="63"/>
      <c r="I91" s="63"/>
      <c r="J91" s="63"/>
      <c r="K91" s="63"/>
      <c r="L91" s="11"/>
      <c r="M91" s="11"/>
    </row>
    <row r="92" spans="1:13" ht="15" customHeight="1">
      <c r="A92" s="11"/>
      <c r="B92" s="47"/>
      <c r="C92" s="59"/>
      <c r="D92" s="59"/>
      <c r="E92" s="60"/>
      <c r="F92" s="43"/>
      <c r="G92" s="43"/>
      <c r="I92" s="43"/>
      <c r="J92" s="43"/>
      <c r="K92" s="43"/>
      <c r="L92" s="11"/>
      <c r="M92" s="11"/>
    </row>
    <row r="93" spans="1:13" ht="15" customHeight="1">
      <c r="A93" s="11"/>
      <c r="B93" s="59"/>
      <c r="C93" s="59"/>
      <c r="D93" s="47"/>
      <c r="E93" s="59"/>
      <c r="F93" s="64"/>
      <c r="G93" s="64"/>
      <c r="I93" s="64"/>
      <c r="J93" s="64"/>
      <c r="K93" s="64"/>
      <c r="L93" s="11"/>
      <c r="M93" s="11"/>
    </row>
    <row r="94" spans="1:13" ht="15" customHeight="1">
      <c r="A94" s="11"/>
      <c r="B94" s="65"/>
      <c r="C94" s="65"/>
      <c r="D94" s="65"/>
      <c r="E94" s="65"/>
      <c r="F94" s="64"/>
      <c r="G94" s="64"/>
      <c r="I94" s="64"/>
      <c r="J94" s="64"/>
      <c r="K94" s="64"/>
      <c r="L94" s="11"/>
      <c r="M94" s="11"/>
    </row>
    <row r="95" spans="1:13" ht="15" customHeight="1">
      <c r="A95" s="11"/>
      <c r="B95" s="65"/>
      <c r="C95" s="65"/>
      <c r="D95" s="65"/>
      <c r="E95" s="65"/>
      <c r="F95" s="64"/>
      <c r="G95" s="64"/>
      <c r="I95" s="64"/>
      <c r="J95" s="64"/>
      <c r="K95" s="64"/>
      <c r="L95" s="11"/>
      <c r="M95" s="11"/>
    </row>
    <row r="96" spans="1:13" ht="15" customHeight="1">
      <c r="A96" s="11"/>
      <c r="B96" s="65"/>
      <c r="C96" s="65"/>
      <c r="D96" s="65"/>
      <c r="E96" s="65"/>
      <c r="F96" s="64"/>
      <c r="G96" s="64"/>
      <c r="I96" s="64"/>
      <c r="J96" s="64"/>
      <c r="K96" s="64"/>
      <c r="L96" s="11"/>
      <c r="M96" s="11"/>
    </row>
    <row r="97" spans="1:13" ht="15" customHeight="1">
      <c r="A97" s="11"/>
      <c r="B97" s="65"/>
      <c r="C97" s="65"/>
      <c r="D97" s="65"/>
      <c r="E97" s="65"/>
      <c r="F97" s="64"/>
      <c r="G97" s="64"/>
      <c r="I97" s="64"/>
      <c r="J97" s="64"/>
      <c r="K97" s="64"/>
      <c r="L97" s="11"/>
      <c r="M97" s="11"/>
    </row>
    <row r="98" spans="1:13" ht="15" customHeight="1">
      <c r="A98" s="11"/>
      <c r="B98" s="65"/>
      <c r="C98" s="65"/>
      <c r="D98" s="65"/>
      <c r="E98" s="65"/>
      <c r="F98" s="64"/>
      <c r="G98" s="64"/>
      <c r="I98" s="64"/>
      <c r="J98" s="64"/>
      <c r="K98" s="64"/>
      <c r="L98" s="11"/>
      <c r="M98" s="11"/>
    </row>
    <row r="99" spans="1:13" ht="15" customHeight="1">
      <c r="A99" s="11"/>
      <c r="B99" s="65"/>
      <c r="C99" s="65"/>
      <c r="D99" s="65"/>
      <c r="E99" s="65"/>
      <c r="F99" s="64"/>
      <c r="G99" s="64"/>
      <c r="I99" s="64"/>
      <c r="J99" s="64"/>
      <c r="K99" s="64"/>
      <c r="L99" s="11"/>
      <c r="M99" s="11"/>
    </row>
    <row r="100" spans="1:13" ht="15" customHeight="1">
      <c r="A100" s="11"/>
      <c r="B100" s="65"/>
      <c r="C100" s="65"/>
      <c r="D100" s="65"/>
      <c r="E100" s="65"/>
      <c r="F100" s="64"/>
      <c r="G100" s="64"/>
      <c r="I100" s="64"/>
      <c r="J100" s="64"/>
      <c r="K100" s="64"/>
      <c r="L100" s="11"/>
      <c r="M100" s="11"/>
    </row>
    <row r="101" spans="1:13" ht="15" customHeight="1">
      <c r="A101" s="11"/>
      <c r="B101" s="65"/>
      <c r="C101" s="65"/>
      <c r="D101" s="65"/>
      <c r="E101" s="65"/>
      <c r="F101" s="64"/>
      <c r="G101" s="64"/>
      <c r="I101" s="64"/>
      <c r="J101" s="64"/>
      <c r="K101" s="64"/>
      <c r="L101" s="11"/>
      <c r="M101" s="11"/>
    </row>
    <row r="102" spans="1:13" ht="15" customHeight="1">
      <c r="A102" s="11"/>
      <c r="B102" s="65"/>
      <c r="C102" s="65"/>
      <c r="D102" s="65"/>
      <c r="E102" s="65"/>
      <c r="F102" s="64"/>
      <c r="G102" s="64"/>
      <c r="I102" s="64"/>
      <c r="J102" s="64"/>
      <c r="K102" s="64"/>
      <c r="L102" s="11"/>
      <c r="M102" s="11"/>
    </row>
    <row r="103" spans="1:13" ht="15" customHeight="1">
      <c r="A103" s="11"/>
      <c r="B103" s="65"/>
      <c r="C103" s="65"/>
      <c r="D103" s="65"/>
      <c r="E103" s="65"/>
      <c r="F103" s="64"/>
      <c r="G103" s="64"/>
      <c r="I103" s="64"/>
      <c r="J103" s="64"/>
      <c r="K103" s="64"/>
      <c r="L103" s="11"/>
      <c r="M103" s="11"/>
    </row>
    <row r="104" spans="1:13" ht="15" customHeight="1">
      <c r="A104" s="11"/>
      <c r="B104" s="65"/>
      <c r="C104" s="65"/>
      <c r="D104" s="65"/>
      <c r="E104" s="65"/>
      <c r="F104" s="64"/>
      <c r="G104" s="64"/>
      <c r="I104" s="64"/>
      <c r="J104" s="64"/>
      <c r="K104" s="64"/>
      <c r="L104" s="11"/>
      <c r="M104" s="11"/>
    </row>
    <row r="105" spans="1:13" ht="15" customHeight="1">
      <c r="A105" s="11"/>
      <c r="B105" s="65"/>
      <c r="C105" s="65"/>
      <c r="D105" s="65"/>
      <c r="E105" s="65"/>
      <c r="F105" s="64"/>
      <c r="G105" s="64"/>
      <c r="I105" s="64"/>
      <c r="J105" s="64"/>
      <c r="K105" s="64"/>
      <c r="L105" s="11"/>
      <c r="M105" s="11"/>
    </row>
    <row r="106" spans="1:13" ht="15" customHeight="1">
      <c r="A106" s="11"/>
      <c r="B106" s="65"/>
      <c r="C106" s="65"/>
      <c r="D106" s="65"/>
      <c r="E106" s="65"/>
      <c r="F106" s="64"/>
      <c r="G106" s="64"/>
      <c r="I106" s="64"/>
      <c r="J106" s="64"/>
      <c r="K106" s="64"/>
      <c r="L106" s="11"/>
      <c r="M106" s="11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mergeCells count="4">
    <mergeCell ref="B1:L1"/>
    <mergeCell ref="B2:L2"/>
    <mergeCell ref="B3:L3"/>
    <mergeCell ref="J5:M5"/>
  </mergeCells>
  <printOptions/>
  <pageMargins left="0.24" right="0.25" top="0.7" bottom="0.49" header="0.34" footer="0.26"/>
  <pageSetup fitToHeight="12" fitToWidth="1" horizontalDpi="600" verticalDpi="600" orientation="landscape" r:id="rId1"/>
  <headerFooter alignWithMargins="0">
    <oddHeader>&amp;RExhibit-_____(CWK-1)
Schedule  1
Page &amp;p of 2</oddHeader>
    <oddFooter>&amp;L&amp;D&amp;CSnavely King Majoros O'Connor &amp; Lee,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107"/>
  <sheetViews>
    <sheetView tabSelected="1" zoomScale="70" zoomScaleNormal="70" workbookViewId="0" topLeftCell="A1">
      <selection activeCell="J17" sqref="J17"/>
    </sheetView>
  </sheetViews>
  <sheetFormatPr defaultColWidth="7.28125" defaultRowHeight="12.75"/>
  <cols>
    <col min="1" max="1" width="2.00390625" style="1" customWidth="1"/>
    <col min="2" max="2" width="10.28125" style="16" customWidth="1"/>
    <col min="3" max="3" width="0.71875" style="16" customWidth="1"/>
    <col min="4" max="4" width="42.140625" style="16" customWidth="1"/>
    <col min="5" max="5" width="17.8515625" style="16" bestFit="1" customWidth="1"/>
    <col min="6" max="7" width="1.7109375" style="67" customWidth="1"/>
    <col min="8" max="8" width="13.140625" style="0" bestFit="1" customWidth="1"/>
    <col min="9" max="9" width="10.57421875" style="66" hidden="1" customWidth="1"/>
    <col min="10" max="10" width="1.7109375" style="67" customWidth="1"/>
    <col min="11" max="11" width="13.57421875" style="67" bestFit="1" customWidth="1"/>
    <col min="12" max="12" width="12.28125" style="67" customWidth="1"/>
    <col min="13" max="13" width="9.57421875" style="1" hidden="1" customWidth="1"/>
    <col min="14" max="14" width="12.7109375" style="0" customWidth="1"/>
    <col min="19" max="16384" width="7.28125" style="1" customWidth="1"/>
  </cols>
  <sheetData>
    <row r="1" spans="2:13" ht="15.75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3" ht="15.75">
      <c r="B2" s="165" t="s">
        <v>117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2:13" ht="15.75">
      <c r="B3" s="165" t="s">
        <v>112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2:14" ht="15" customHeight="1">
      <c r="B4" s="3"/>
      <c r="C4" s="3"/>
      <c r="D4" s="3"/>
      <c r="E4" s="4" t="s">
        <v>3</v>
      </c>
      <c r="F4" s="5"/>
      <c r="G4" s="5"/>
      <c r="H4" s="5" t="s">
        <v>4</v>
      </c>
      <c r="I4" s="6" t="s">
        <v>6</v>
      </c>
      <c r="J4" s="5"/>
      <c r="K4" s="5" t="s">
        <v>5</v>
      </c>
      <c r="L4" s="5" t="s">
        <v>6</v>
      </c>
      <c r="M4" s="7" t="s">
        <v>8</v>
      </c>
      <c r="N4" s="7" t="s">
        <v>7</v>
      </c>
    </row>
    <row r="5" spans="2:14" ht="15" customHeight="1">
      <c r="B5" s="8"/>
      <c r="C5" s="3"/>
      <c r="D5" s="3"/>
      <c r="E5" s="9">
        <v>38352</v>
      </c>
      <c r="F5" s="5"/>
      <c r="G5" s="5"/>
      <c r="H5" s="167" t="s">
        <v>9</v>
      </c>
      <c r="I5" s="167"/>
      <c r="J5" s="5"/>
      <c r="K5" s="168" t="s">
        <v>10</v>
      </c>
      <c r="L5" s="168"/>
      <c r="M5" s="168"/>
      <c r="N5" s="168"/>
    </row>
    <row r="6" spans="2:14" s="11" customFormat="1" ht="15" customHeight="1">
      <c r="B6" s="12" t="s">
        <v>11</v>
      </c>
      <c r="C6" s="13"/>
      <c r="D6" s="12" t="s">
        <v>12</v>
      </c>
      <c r="E6" s="4" t="s">
        <v>13</v>
      </c>
      <c r="F6" s="5"/>
      <c r="G6" s="5"/>
      <c r="H6" s="5" t="s">
        <v>126</v>
      </c>
      <c r="I6" s="5" t="s">
        <v>15</v>
      </c>
      <c r="J6" s="5"/>
      <c r="K6" s="5" t="s">
        <v>126</v>
      </c>
      <c r="L6" s="5" t="s">
        <v>70</v>
      </c>
      <c r="M6" s="5" t="s">
        <v>15</v>
      </c>
      <c r="N6" s="145" t="s">
        <v>115</v>
      </c>
    </row>
    <row r="7" spans="2:14" ht="15" customHeight="1">
      <c r="B7" s="14"/>
      <c r="C7" s="14"/>
      <c r="D7" s="14"/>
      <c r="E7" s="15"/>
      <c r="F7" s="10"/>
      <c r="G7" s="10"/>
      <c r="H7" s="10" t="s">
        <v>127</v>
      </c>
      <c r="I7" s="10" t="s">
        <v>16</v>
      </c>
      <c r="J7" s="10"/>
      <c r="K7" s="10"/>
      <c r="L7" s="10" t="s">
        <v>17</v>
      </c>
      <c r="M7" s="10" t="s">
        <v>16</v>
      </c>
      <c r="N7" s="150" t="s">
        <v>116</v>
      </c>
    </row>
    <row r="8" spans="2:13" ht="15" customHeight="1">
      <c r="B8"/>
      <c r="D8" s="17"/>
      <c r="E8" s="7" t="s">
        <v>18</v>
      </c>
      <c r="F8" s="18"/>
      <c r="G8" s="18"/>
      <c r="H8" s="19" t="s">
        <v>19</v>
      </c>
      <c r="I8" s="18"/>
      <c r="J8" s="18"/>
      <c r="K8" s="18" t="s">
        <v>19</v>
      </c>
      <c r="L8" s="18"/>
      <c r="M8" s="18"/>
    </row>
    <row r="9" spans="2:13" ht="15" customHeight="1">
      <c r="B9"/>
      <c r="D9" s="17"/>
      <c r="E9" s="4" t="s">
        <v>20</v>
      </c>
      <c r="F9" s="20"/>
      <c r="G9" s="20"/>
      <c r="H9" s="18" t="s">
        <v>21</v>
      </c>
      <c r="I9" s="19"/>
      <c r="J9" s="20"/>
      <c r="K9" s="20" t="s">
        <v>22</v>
      </c>
      <c r="L9" s="20"/>
      <c r="M9" s="20"/>
    </row>
    <row r="10" spans="1:13" ht="15" customHeight="1">
      <c r="A10" s="21" t="s">
        <v>23</v>
      </c>
      <c r="B10"/>
      <c r="D10" s="17"/>
      <c r="E10" s="1"/>
      <c r="F10" s="20"/>
      <c r="G10" s="20"/>
      <c r="H10" s="20"/>
      <c r="I10" s="23"/>
      <c r="J10" s="20"/>
      <c r="K10" s="24"/>
      <c r="L10" s="24"/>
      <c r="M10" s="24"/>
    </row>
    <row r="11" spans="1:14" ht="15" customHeight="1">
      <c r="A11"/>
      <c r="B11" s="25">
        <v>374.21</v>
      </c>
      <c r="C11" s="3"/>
      <c r="D11" s="17" t="s">
        <v>24</v>
      </c>
      <c r="E11" s="26">
        <v>796984.87</v>
      </c>
      <c r="F11" s="27"/>
      <c r="G11" s="27"/>
      <c r="H11" s="44">
        <v>10515</v>
      </c>
      <c r="I11" s="28">
        <v>0.013300127014958264</v>
      </c>
      <c r="J11" s="27"/>
      <c r="K11" s="44">
        <f>'CWK-1 Sch 1'!J11*'CWK-1 Sch 1'!E11</f>
        <v>9911.290818181227</v>
      </c>
      <c r="L11" s="44">
        <f>'CWK-1 Sch 1'!K11*'CWK-1 Sch 1'!E11</f>
        <v>0</v>
      </c>
      <c r="M11" s="28">
        <v>0.013300127014958264</v>
      </c>
      <c r="N11" s="151">
        <f>+K11+L11</f>
        <v>9911.290818181227</v>
      </c>
    </row>
    <row r="12" spans="1:13" ht="15" customHeight="1">
      <c r="A12"/>
      <c r="B12" s="25"/>
      <c r="C12" s="3"/>
      <c r="D12" s="17"/>
      <c r="E12" s="26"/>
      <c r="F12" s="27"/>
      <c r="G12" s="27"/>
      <c r="H12" s="28"/>
      <c r="I12" s="28"/>
      <c r="J12" s="27"/>
      <c r="K12" s="28"/>
      <c r="L12" s="28"/>
      <c r="M12"/>
    </row>
    <row r="13" spans="1:13" ht="15" customHeight="1">
      <c r="A13"/>
      <c r="B13" s="25"/>
      <c r="C13" s="31"/>
      <c r="D13" s="32" t="s">
        <v>25</v>
      </c>
      <c r="E13" s="26"/>
      <c r="F13" s="27"/>
      <c r="G13" s="27"/>
      <c r="H13" s="28"/>
      <c r="I13" s="28"/>
      <c r="J13" s="27"/>
      <c r="K13" s="28"/>
      <c r="L13" s="28"/>
      <c r="M13"/>
    </row>
    <row r="14" spans="1:14" ht="15" customHeight="1">
      <c r="A14"/>
      <c r="B14" s="25">
        <v>375.0001</v>
      </c>
      <c r="C14" s="3"/>
      <c r="D14" s="91" t="s">
        <v>123</v>
      </c>
      <c r="E14" s="34">
        <v>5724183.24</v>
      </c>
      <c r="F14" s="27"/>
      <c r="G14" s="27"/>
      <c r="H14" s="44">
        <v>141163</v>
      </c>
      <c r="I14" s="28">
        <v>0.024700000000000003</v>
      </c>
      <c r="J14" s="27"/>
      <c r="K14" s="44">
        <f>'CWK-1 Sch 1'!J14*'CWK-1 Sch 1'!E14</f>
        <v>0</v>
      </c>
      <c r="L14" s="44">
        <f>'CWK-1 Sch 1'!K14*'CWK-1 Sch 1'!E14</f>
        <v>0</v>
      </c>
      <c r="M14" s="35">
        <v>0.024700000000000003</v>
      </c>
      <c r="N14" s="151">
        <f aca="true" t="shared" si="0" ref="N14:N33">+K14+L14</f>
        <v>0</v>
      </c>
    </row>
    <row r="15" spans="1:14" ht="15" customHeight="1">
      <c r="A15"/>
      <c r="B15" s="25">
        <v>375.0002</v>
      </c>
      <c r="C15" s="3"/>
      <c r="D15" s="33" t="s">
        <v>26</v>
      </c>
      <c r="E15" s="34">
        <v>11487530.61</v>
      </c>
      <c r="F15" s="27"/>
      <c r="G15" s="27"/>
      <c r="H15" s="44">
        <v>207538</v>
      </c>
      <c r="I15" s="28">
        <v>0.018600000000000002</v>
      </c>
      <c r="J15" s="27"/>
      <c r="K15" s="44">
        <f>'CWK-1 Sch 1'!J15*'CWK-1 Sch 1'!E15</f>
        <v>39066.00802985633</v>
      </c>
      <c r="L15" s="44">
        <f>'CWK-1 Sch 1'!K15*'CWK-1 Sch 1'!E15</f>
        <v>0</v>
      </c>
      <c r="M15" s="35">
        <v>0.018600000000000002</v>
      </c>
      <c r="N15" s="151">
        <f t="shared" si="0"/>
        <v>39066.00802985633</v>
      </c>
    </row>
    <row r="16" spans="1:14" ht="15" customHeight="1">
      <c r="A16"/>
      <c r="B16" s="25">
        <v>375.0003</v>
      </c>
      <c r="C16" s="3"/>
      <c r="D16" s="33" t="s">
        <v>27</v>
      </c>
      <c r="E16" s="34">
        <v>1457895.17</v>
      </c>
      <c r="F16" s="27"/>
      <c r="G16" s="27"/>
      <c r="H16" s="44">
        <v>40075</v>
      </c>
      <c r="I16" s="28">
        <v>0.0259</v>
      </c>
      <c r="J16" s="27"/>
      <c r="K16" s="44">
        <f>'CWK-1 Sch 1'!J16*'CWK-1 Sch 1'!E16</f>
        <v>0</v>
      </c>
      <c r="L16" s="44">
        <f>'CWK-1 Sch 1'!K16*'CWK-1 Sch 1'!E16</f>
        <v>0</v>
      </c>
      <c r="M16" s="35">
        <v>0.0259</v>
      </c>
      <c r="N16" s="151">
        <f t="shared" si="0"/>
        <v>0</v>
      </c>
    </row>
    <row r="17" spans="1:14" ht="15" customHeight="1">
      <c r="A17"/>
      <c r="B17" s="25">
        <v>375.0004</v>
      </c>
      <c r="C17" s="3"/>
      <c r="D17" s="33" t="s">
        <v>28</v>
      </c>
      <c r="E17" s="34">
        <v>746620.65</v>
      </c>
      <c r="F17" s="27"/>
      <c r="G17" s="27"/>
      <c r="H17" s="44">
        <v>15788</v>
      </c>
      <c r="I17" s="28">
        <v>0.021400000000000002</v>
      </c>
      <c r="J17" s="27"/>
      <c r="K17" s="44">
        <f>'CWK-1 Sch 1'!J17*'CWK-1 Sch 1'!E17</f>
        <v>2207.4225718082653</v>
      </c>
      <c r="L17" s="44">
        <f>'CWK-1 Sch 1'!K17*'CWK-1 Sch 1'!E17</f>
        <v>0</v>
      </c>
      <c r="M17" s="35">
        <v>0.021400000000000002</v>
      </c>
      <c r="N17" s="151">
        <f t="shared" si="0"/>
        <v>2207.4225718082653</v>
      </c>
    </row>
    <row r="18" spans="1:14" ht="15" customHeight="1">
      <c r="A18"/>
      <c r="B18" s="25">
        <v>375.0005</v>
      </c>
      <c r="C18" s="3"/>
      <c r="D18" s="33" t="s">
        <v>29</v>
      </c>
      <c r="E18" s="34">
        <v>4267848.19</v>
      </c>
      <c r="F18" s="27"/>
      <c r="G18" s="27"/>
      <c r="H18" s="44">
        <v>89918</v>
      </c>
      <c r="I18" s="28">
        <v>0.021400000000000002</v>
      </c>
      <c r="J18" s="27"/>
      <c r="K18" s="44">
        <f>'CWK-1 Sch 1'!J18*'CWK-1 Sch 1'!E18</f>
        <v>11050.344082285483</v>
      </c>
      <c r="L18" s="44">
        <f>'CWK-1 Sch 1'!K18*'CWK-1 Sch 1'!E18</f>
        <v>0</v>
      </c>
      <c r="M18" s="35">
        <v>0.021400000000000002</v>
      </c>
      <c r="N18" s="151">
        <f t="shared" si="0"/>
        <v>11050.344082285483</v>
      </c>
    </row>
    <row r="19" spans="1:14" ht="15" customHeight="1">
      <c r="A19"/>
      <c r="B19" s="25">
        <v>375.0006</v>
      </c>
      <c r="C19" s="3"/>
      <c r="D19" s="33" t="s">
        <v>30</v>
      </c>
      <c r="E19" s="34">
        <v>1046574.3</v>
      </c>
      <c r="F19" s="27"/>
      <c r="G19" s="27"/>
      <c r="H19" s="44">
        <v>22192</v>
      </c>
      <c r="I19" s="28">
        <v>0.0215</v>
      </c>
      <c r="J19" s="27"/>
      <c r="K19" s="44">
        <f>'CWK-1 Sch 1'!J19*'CWK-1 Sch 1'!E19</f>
        <v>3094.2510535898405</v>
      </c>
      <c r="L19" s="44">
        <f>'CWK-1 Sch 1'!K19*'CWK-1 Sch 1'!E19</f>
        <v>0</v>
      </c>
      <c r="M19" s="35">
        <v>0.0215</v>
      </c>
      <c r="N19" s="151">
        <f t="shared" si="0"/>
        <v>3094.2510535898405</v>
      </c>
    </row>
    <row r="20" spans="1:14" ht="15" customHeight="1">
      <c r="A20"/>
      <c r="B20" s="25">
        <v>375.0009</v>
      </c>
      <c r="C20" s="3"/>
      <c r="D20" s="33" t="s">
        <v>31</v>
      </c>
      <c r="E20" s="36">
        <v>27213541.49</v>
      </c>
      <c r="F20" s="37"/>
      <c r="G20" s="37"/>
      <c r="H20" s="93">
        <v>606743</v>
      </c>
      <c r="I20" s="38">
        <v>0.025</v>
      </c>
      <c r="J20" s="37"/>
      <c r="K20" s="93">
        <f>'CWK-1 Sch 1'!J20*'CWK-1 Sch 1'!E20</f>
        <v>603765.698947683</v>
      </c>
      <c r="L20" s="93">
        <f>'CWK-1 Sch 1'!K20*'CWK-1 Sch 1'!E20</f>
        <v>0</v>
      </c>
      <c r="M20" s="40">
        <v>0.025</v>
      </c>
      <c r="N20" s="93">
        <f t="shared" si="0"/>
        <v>603765.698947683</v>
      </c>
    </row>
    <row r="21" spans="1:14" ht="15" customHeight="1">
      <c r="A21"/>
      <c r="B21" s="25"/>
      <c r="C21" s="3"/>
      <c r="D21" s="32" t="s">
        <v>32</v>
      </c>
      <c r="E21" s="41">
        <f>SUM(E14:E20)</f>
        <v>51944193.650000006</v>
      </c>
      <c r="F21" s="42"/>
      <c r="G21" s="42"/>
      <c r="H21" s="41">
        <f>SUM(H14:H20)</f>
        <v>1123417</v>
      </c>
      <c r="I21" s="43">
        <v>0.023165168528898702</v>
      </c>
      <c r="J21" s="42"/>
      <c r="K21" s="41">
        <f>SUM(K14:K20)</f>
        <v>659183.7246852228</v>
      </c>
      <c r="L21" s="41">
        <f>SUM(L14:L20)</f>
        <v>0</v>
      </c>
      <c r="M21" s="43">
        <v>0.023165168528898702</v>
      </c>
      <c r="N21" s="151">
        <f t="shared" si="0"/>
        <v>659183.7246852228</v>
      </c>
    </row>
    <row r="22" spans="1:13" ht="15" customHeight="1">
      <c r="A22"/>
      <c r="B22" s="25"/>
      <c r="C22" s="3"/>
      <c r="D22" s="32"/>
      <c r="E22" s="44"/>
      <c r="F22" s="27"/>
      <c r="G22" s="27"/>
      <c r="H22" s="44"/>
      <c r="I22" s="28"/>
      <c r="J22" s="27"/>
      <c r="K22" s="44"/>
      <c r="L22" s="44"/>
      <c r="M22" s="45"/>
    </row>
    <row r="23" spans="1:14" ht="15" customHeight="1">
      <c r="A23"/>
      <c r="B23" s="25">
        <v>376</v>
      </c>
      <c r="C23" s="3"/>
      <c r="D23" s="17" t="s">
        <v>33</v>
      </c>
      <c r="E23" s="34">
        <v>518368514.22</v>
      </c>
      <c r="F23" s="27"/>
      <c r="G23" s="27"/>
      <c r="H23" s="44">
        <v>11802296</v>
      </c>
      <c r="I23" s="28">
        <v>0.0233</v>
      </c>
      <c r="J23" s="27"/>
      <c r="K23" s="44">
        <f>'CWK-1 Sch 1'!J23*'CWK-1 Sch 1'!E23</f>
        <v>7891994.959215348</v>
      </c>
      <c r="L23" s="44">
        <f>'CWK-1 Sch 1'!K23*'CWK-1 Sch 1'!E23</f>
        <v>2764632.07584</v>
      </c>
      <c r="M23" s="35">
        <v>0.0233</v>
      </c>
      <c r="N23" s="151">
        <f t="shared" si="0"/>
        <v>10656627.035055347</v>
      </c>
    </row>
    <row r="24" spans="1:14" ht="15" customHeight="1">
      <c r="A24"/>
      <c r="B24" s="25">
        <v>377</v>
      </c>
      <c r="C24" s="3"/>
      <c r="D24" s="17" t="s">
        <v>34</v>
      </c>
      <c r="E24" s="34">
        <v>4004326.5</v>
      </c>
      <c r="F24" s="27"/>
      <c r="G24" s="27"/>
      <c r="H24" s="44">
        <v>129742</v>
      </c>
      <c r="I24" s="28">
        <v>0.0318</v>
      </c>
      <c r="J24" s="27"/>
      <c r="K24" s="44">
        <f>'CWK-1 Sch 1'!J24*'CWK-1 Sch 1'!E24</f>
        <v>95310.35844785935</v>
      </c>
      <c r="L24" s="44">
        <f>'CWK-1 Sch 1'!K24*'CWK-1 Sch 1'!E24</f>
        <v>3640.2968181818183</v>
      </c>
      <c r="M24" s="35">
        <v>0.0318</v>
      </c>
      <c r="N24" s="151">
        <f t="shared" si="0"/>
        <v>98950.65526604117</v>
      </c>
    </row>
    <row r="25" spans="1:14" ht="15" customHeight="1">
      <c r="A25"/>
      <c r="B25" s="25">
        <v>378</v>
      </c>
      <c r="C25" s="3"/>
      <c r="D25" s="17" t="s">
        <v>35</v>
      </c>
      <c r="E25" s="34">
        <v>24137813.02</v>
      </c>
      <c r="F25" s="27"/>
      <c r="G25" s="27"/>
      <c r="H25" s="44">
        <v>889250</v>
      </c>
      <c r="I25" s="28">
        <v>0.0397</v>
      </c>
      <c r="J25" s="27"/>
      <c r="K25" s="44">
        <f>'CWK-1 Sch 1'!J25*'CWK-1 Sch 1'!E25</f>
        <v>650128.722465844</v>
      </c>
      <c r="L25" s="44">
        <f>'CWK-1 Sch 1'!K25*'CWK-1 Sch 1'!E25</f>
        <v>205881.34634705877</v>
      </c>
      <c r="M25" s="35">
        <v>0.0397</v>
      </c>
      <c r="N25" s="151">
        <f t="shared" si="0"/>
        <v>856010.0688129028</v>
      </c>
    </row>
    <row r="26" spans="1:14" ht="15" customHeight="1">
      <c r="A26"/>
      <c r="B26" s="25">
        <v>380</v>
      </c>
      <c r="C26" s="3"/>
      <c r="D26" s="17" t="s">
        <v>36</v>
      </c>
      <c r="E26" s="34">
        <v>258828009.8</v>
      </c>
      <c r="F26" s="27"/>
      <c r="G26" s="27"/>
      <c r="H26" s="44">
        <v>9995353</v>
      </c>
      <c r="I26" s="28">
        <v>0.0405</v>
      </c>
      <c r="J26" s="27"/>
      <c r="K26" s="44">
        <f>'CWK-1 Sch 1'!J26*'CWK-1 Sch 1'!E26</f>
        <v>4463557.402128997</v>
      </c>
      <c r="L26" s="44">
        <f>'CWK-1 Sch 1'!K26*'CWK-1 Sch 1'!E26</f>
        <v>3149074.119233334</v>
      </c>
      <c r="M26" s="35">
        <v>0.0405</v>
      </c>
      <c r="N26" s="151">
        <f t="shared" si="0"/>
        <v>7612631.521362331</v>
      </c>
    </row>
    <row r="27" spans="1:14" ht="15" customHeight="1">
      <c r="A27"/>
      <c r="B27" s="25">
        <v>381.01</v>
      </c>
      <c r="C27" s="3"/>
      <c r="D27" s="17" t="s">
        <v>37</v>
      </c>
      <c r="E27" s="34">
        <v>50322843.37</v>
      </c>
      <c r="F27" s="27"/>
      <c r="G27" s="27"/>
      <c r="H27" s="44">
        <v>1781894</v>
      </c>
      <c r="I27" s="28">
        <v>0.035699999999999996</v>
      </c>
      <c r="J27" s="27"/>
      <c r="K27" s="44">
        <f>'CWK-1 Sch 1'!J27*'CWK-1 Sch 1'!E27</f>
        <v>1270697.89930182</v>
      </c>
      <c r="L27" s="44">
        <f>'CWK-1 Sch 1'!K27*'CWK-1 Sch 1'!E27</f>
        <v>0</v>
      </c>
      <c r="M27" s="35">
        <v>0.035699999999999996</v>
      </c>
      <c r="N27" s="151">
        <f t="shared" si="0"/>
        <v>1270697.89930182</v>
      </c>
    </row>
    <row r="28" spans="1:14" ht="15" customHeight="1">
      <c r="A28"/>
      <c r="B28" s="25">
        <v>381.11</v>
      </c>
      <c r="C28" s="3"/>
      <c r="D28" s="17" t="s">
        <v>38</v>
      </c>
      <c r="E28" s="34">
        <v>135117</v>
      </c>
      <c r="F28" s="27"/>
      <c r="G28" s="27"/>
      <c r="H28" s="44">
        <v>8190</v>
      </c>
      <c r="I28" s="28">
        <v>0.0379</v>
      </c>
      <c r="J28" s="27"/>
      <c r="K28" s="44">
        <f>'CWK-1 Sch 1'!J28*'CWK-1 Sch 1'!E28</f>
        <v>2157.29775641467</v>
      </c>
      <c r="L28" s="44">
        <f>'CWK-1 Sch 1'!K28*'CWK-1 Sch 1'!E28</f>
        <v>0</v>
      </c>
      <c r="M28" s="35">
        <v>0.0379</v>
      </c>
      <c r="N28" s="151">
        <f t="shared" si="0"/>
        <v>2157.29775641467</v>
      </c>
    </row>
    <row r="29" spans="1:14" ht="15" customHeight="1">
      <c r="A29"/>
      <c r="B29" s="25">
        <v>381.21</v>
      </c>
      <c r="C29" s="3"/>
      <c r="D29" s="17" t="s">
        <v>39</v>
      </c>
      <c r="E29" s="34">
        <v>43317061.69</v>
      </c>
      <c r="F29" s="27"/>
      <c r="G29" s="27"/>
      <c r="H29" s="44">
        <v>3561057</v>
      </c>
      <c r="I29" s="28">
        <v>0.0833</v>
      </c>
      <c r="J29" s="27"/>
      <c r="K29" s="44">
        <f>'CWK-1 Sch 1'!J29*'CWK-1 Sch 1'!E29</f>
        <v>2676981.409096454</v>
      </c>
      <c r="L29" s="44">
        <f>'CWK-1 Sch 1'!K29*'CWK-1 Sch 1'!E29</f>
        <v>0</v>
      </c>
      <c r="M29" s="35">
        <v>0.0833</v>
      </c>
      <c r="N29" s="151">
        <f t="shared" si="0"/>
        <v>2676981.409096454</v>
      </c>
    </row>
    <row r="30" spans="1:14" ht="15" customHeight="1">
      <c r="A30"/>
      <c r="B30" s="25">
        <v>382</v>
      </c>
      <c r="C30" s="3"/>
      <c r="D30" s="17" t="s">
        <v>40</v>
      </c>
      <c r="E30" s="34">
        <v>74509361.12</v>
      </c>
      <c r="F30" s="27"/>
      <c r="G30" s="27"/>
      <c r="H30" s="44">
        <v>1954585</v>
      </c>
      <c r="I30" s="28">
        <v>0.0268</v>
      </c>
      <c r="J30" s="27"/>
      <c r="K30" s="44">
        <f>'CWK-1 Sch 1'!J30*'CWK-1 Sch 1'!E30</f>
        <v>635155.7219219912</v>
      </c>
      <c r="L30" s="44">
        <f>'CWK-1 Sch 1'!K30*'CWK-1 Sch 1'!E30</f>
        <v>109038.08944390244</v>
      </c>
      <c r="M30" s="35">
        <v>0.0268</v>
      </c>
      <c r="N30" s="151">
        <f t="shared" si="0"/>
        <v>744193.8113658937</v>
      </c>
    </row>
    <row r="31" spans="1:14" ht="15" customHeight="1">
      <c r="A31"/>
      <c r="B31" s="25">
        <v>383</v>
      </c>
      <c r="C31" s="3"/>
      <c r="D31" s="17" t="s">
        <v>41</v>
      </c>
      <c r="E31" s="34">
        <v>12068731</v>
      </c>
      <c r="F31" s="27"/>
      <c r="G31" s="27"/>
      <c r="H31" s="44">
        <v>427957</v>
      </c>
      <c r="I31" s="28">
        <v>0.035699999999999996</v>
      </c>
      <c r="J31" s="27"/>
      <c r="K31" s="44">
        <f>'CWK-1 Sch 1'!J31*'CWK-1 Sch 1'!E31</f>
        <v>485296.7828013662</v>
      </c>
      <c r="L31" s="44">
        <f>'CWK-1 Sch 1'!K31*'CWK-1 Sch 1'!E31</f>
        <v>0</v>
      </c>
      <c r="M31" s="35">
        <v>0.035699999999999996</v>
      </c>
      <c r="N31" s="151">
        <f t="shared" si="0"/>
        <v>485296.7828013662</v>
      </c>
    </row>
    <row r="32" spans="1:14" ht="15" customHeight="1">
      <c r="A32"/>
      <c r="B32" s="25">
        <v>384</v>
      </c>
      <c r="C32" s="3"/>
      <c r="D32" s="17" t="s">
        <v>42</v>
      </c>
      <c r="E32" s="34">
        <v>2377367.76</v>
      </c>
      <c r="F32" s="27"/>
      <c r="G32" s="27"/>
      <c r="H32" s="44">
        <v>48725</v>
      </c>
      <c r="I32" s="28">
        <v>0.0222</v>
      </c>
      <c r="J32" s="27"/>
      <c r="K32" s="44">
        <f>'CWK-1 Sch 1'!J32*'CWK-1 Sch 1'!E32</f>
        <v>24599.62203839043</v>
      </c>
      <c r="L32" s="44">
        <f>'CWK-1 Sch 1'!K32*'CWK-1 Sch 1'!E32</f>
        <v>0</v>
      </c>
      <c r="M32" s="35">
        <v>0.0222</v>
      </c>
      <c r="N32" s="151">
        <f t="shared" si="0"/>
        <v>24599.62203839043</v>
      </c>
    </row>
    <row r="33" spans="1:14" ht="15" customHeight="1">
      <c r="A33"/>
      <c r="B33" s="25">
        <v>387</v>
      </c>
      <c r="C33" s="3"/>
      <c r="D33" s="17" t="s">
        <v>43</v>
      </c>
      <c r="E33" s="36">
        <v>2572034.07</v>
      </c>
      <c r="F33" s="37"/>
      <c r="G33" s="37"/>
      <c r="H33" s="93">
        <v>161644</v>
      </c>
      <c r="I33" s="38">
        <v>0.0666</v>
      </c>
      <c r="J33" s="37"/>
      <c r="K33" s="93">
        <f>'CWK-1 Sch 1'!J33*'CWK-1 Sch 1'!E33</f>
        <v>146628.08759283315</v>
      </c>
      <c r="L33" s="93">
        <f>'CWK-1 Sch 1'!K33*'CWK-1 Sch 1'!E33</f>
        <v>0</v>
      </c>
      <c r="M33" s="40">
        <v>0.0666</v>
      </c>
      <c r="N33" s="93">
        <f t="shared" si="0"/>
        <v>146628.08759283315</v>
      </c>
    </row>
    <row r="34" spans="1:13" ht="15" customHeight="1">
      <c r="A34" s="21" t="s">
        <v>44</v>
      </c>
      <c r="B34" s="25"/>
      <c r="C34" s="3"/>
      <c r="D34" s="25"/>
      <c r="E34" s="44"/>
      <c r="F34" s="27"/>
      <c r="G34" s="27"/>
      <c r="H34" s="44"/>
      <c r="I34" s="28"/>
      <c r="J34" s="27"/>
      <c r="K34" s="44"/>
      <c r="L34" s="44"/>
      <c r="M34" s="45"/>
    </row>
    <row r="35" spans="1:14" ht="15" customHeight="1">
      <c r="A35" s="47" t="s">
        <v>45</v>
      </c>
      <c r="B35" s="21"/>
      <c r="C35" s="3"/>
      <c r="D35" s="21"/>
      <c r="E35" s="143">
        <f>SUM(E23:E33)+E21+E11</f>
        <v>1043382358.0699999</v>
      </c>
      <c r="F35" s="140"/>
      <c r="G35" s="140"/>
      <c r="H35" s="143">
        <f>SUM(H23:H33)+H21+H11</f>
        <v>31894625</v>
      </c>
      <c r="I35" s="137">
        <v>0.03156234585997044</v>
      </c>
      <c r="J35" s="140"/>
      <c r="K35" s="143">
        <f>SUM(K23:K33)+K21+K11</f>
        <v>19011603.27827072</v>
      </c>
      <c r="L35" s="143">
        <f>SUM(L23:L33)+L21+L11</f>
        <v>6232265.927682477</v>
      </c>
      <c r="M35" s="137">
        <v>0.025186535867878806</v>
      </c>
      <c r="N35" s="143">
        <f>+K35+L35</f>
        <v>25243869.2059532</v>
      </c>
    </row>
    <row r="36" spans="1:15" ht="15" customHeight="1">
      <c r="A36" s="21" t="s">
        <v>44</v>
      </c>
      <c r="B36" s="25"/>
      <c r="C36" s="48"/>
      <c r="D36" s="25"/>
      <c r="E36" s="49"/>
      <c r="F36" s="27"/>
      <c r="G36" s="27"/>
      <c r="H36" s="44"/>
      <c r="I36" s="50"/>
      <c r="J36" s="27"/>
      <c r="K36" s="44"/>
      <c r="L36" s="44"/>
      <c r="M36" s="52"/>
      <c r="N36" s="22"/>
      <c r="O36" s="22"/>
    </row>
    <row r="37" spans="1:13" ht="15" customHeight="1">
      <c r="A37" s="47" t="s">
        <v>89</v>
      </c>
      <c r="B37" s="25"/>
      <c r="C37" s="48"/>
      <c r="D37" s="25"/>
      <c r="E37" s="44"/>
      <c r="F37" s="27"/>
      <c r="G37" s="27"/>
      <c r="H37" s="54"/>
      <c r="J37" s="27"/>
      <c r="K37" s="54"/>
      <c r="L37" s="54"/>
      <c r="M37" s="35">
        <v>0.025</v>
      </c>
    </row>
    <row r="38" spans="1:14" ht="15" customHeight="1">
      <c r="A38"/>
      <c r="B38" s="25">
        <v>390.01</v>
      </c>
      <c r="C38" s="48"/>
      <c r="D38" s="17" t="s">
        <v>90</v>
      </c>
      <c r="E38" s="26">
        <v>6235274.86</v>
      </c>
      <c r="F38" s="27"/>
      <c r="G38" s="27"/>
      <c r="H38" s="44">
        <v>105410</v>
      </c>
      <c r="I38" s="28">
        <v>0.025</v>
      </c>
      <c r="J38" s="27"/>
      <c r="K38" s="44">
        <f aca="true" t="shared" si="1" ref="K38:K56">H38</f>
        <v>105410</v>
      </c>
      <c r="L38" s="44">
        <f>'CWK-1 Sch 1'!K38*'CWK-1 Sch 1'!E38</f>
        <v>0</v>
      </c>
      <c r="M38" s="35">
        <v>0.0667</v>
      </c>
      <c r="N38" s="153">
        <f aca="true" t="shared" si="2" ref="N38:N60">+K38+L38</f>
        <v>105410</v>
      </c>
    </row>
    <row r="39" spans="1:14" ht="15" customHeight="1">
      <c r="A39"/>
      <c r="B39" s="25">
        <v>390.41</v>
      </c>
      <c r="C39" s="48"/>
      <c r="D39" s="17" t="s">
        <v>91</v>
      </c>
      <c r="E39" s="26">
        <v>1250317.56</v>
      </c>
      <c r="F39" s="27"/>
      <c r="G39" s="27"/>
      <c r="H39" s="44">
        <v>24136</v>
      </c>
      <c r="I39" s="28">
        <v>0.0667</v>
      </c>
      <c r="J39" s="27"/>
      <c r="K39" s="44">
        <f t="shared" si="1"/>
        <v>24136</v>
      </c>
      <c r="L39" s="44">
        <f>'CWK-1 Sch 1'!K39*'CWK-1 Sch 1'!E39</f>
        <v>0</v>
      </c>
      <c r="M39" s="35">
        <v>0.05</v>
      </c>
      <c r="N39" s="153">
        <f t="shared" si="2"/>
        <v>24136</v>
      </c>
    </row>
    <row r="40" spans="1:14" ht="15" customHeight="1">
      <c r="A40"/>
      <c r="B40" s="25">
        <v>391.01</v>
      </c>
      <c r="C40" s="3"/>
      <c r="D40" s="17" t="s">
        <v>92</v>
      </c>
      <c r="E40" s="26">
        <v>4759515.87</v>
      </c>
      <c r="F40" s="27"/>
      <c r="G40" s="27"/>
      <c r="H40" s="44">
        <v>179343</v>
      </c>
      <c r="I40" s="28">
        <v>0.05</v>
      </c>
      <c r="J40" s="27"/>
      <c r="K40" s="44">
        <f t="shared" si="1"/>
        <v>179343</v>
      </c>
      <c r="L40" s="44">
        <f>'CWK-1 Sch 1'!K40*'CWK-1 Sch 1'!E40</f>
        <v>0</v>
      </c>
      <c r="M40" s="35">
        <v>0.1429</v>
      </c>
      <c r="N40" s="153">
        <f t="shared" si="2"/>
        <v>179343</v>
      </c>
    </row>
    <row r="41" spans="1:14" ht="15" customHeight="1">
      <c r="A41"/>
      <c r="B41" s="25">
        <v>391.02</v>
      </c>
      <c r="C41" s="3"/>
      <c r="D41" s="17" t="s">
        <v>93</v>
      </c>
      <c r="E41" s="26">
        <v>5853013.7</v>
      </c>
      <c r="F41" s="27"/>
      <c r="G41" s="27"/>
      <c r="H41" s="44">
        <v>3548</v>
      </c>
      <c r="I41" s="28">
        <v>0.1429</v>
      </c>
      <c r="J41" s="27"/>
      <c r="K41" s="44">
        <f t="shared" si="1"/>
        <v>3548</v>
      </c>
      <c r="L41" s="44">
        <f>'CWK-1 Sch 1'!K41*'CWK-1 Sch 1'!E41</f>
        <v>0</v>
      </c>
      <c r="M41" s="35">
        <v>0.25</v>
      </c>
      <c r="N41" s="153">
        <f t="shared" si="2"/>
        <v>3548</v>
      </c>
    </row>
    <row r="42" spans="1:14" ht="15" customHeight="1">
      <c r="A42"/>
      <c r="B42" s="25">
        <v>391.03</v>
      </c>
      <c r="C42" s="31"/>
      <c r="D42" s="17" t="s">
        <v>94</v>
      </c>
      <c r="E42" s="26">
        <v>5573733.16</v>
      </c>
      <c r="F42" s="27"/>
      <c r="G42" s="27"/>
      <c r="H42" s="44">
        <v>554202</v>
      </c>
      <c r="I42" s="28">
        <v>0.25</v>
      </c>
      <c r="J42" s="27"/>
      <c r="K42" s="44">
        <f t="shared" si="1"/>
        <v>554202</v>
      </c>
      <c r="L42" s="44">
        <f>'CWK-1 Sch 1'!K42*'CWK-1 Sch 1'!E42</f>
        <v>0</v>
      </c>
      <c r="M42" s="35">
        <v>0.1</v>
      </c>
      <c r="N42" s="153">
        <f t="shared" si="2"/>
        <v>554202</v>
      </c>
    </row>
    <row r="43" spans="1:14" ht="15" customHeight="1">
      <c r="A43"/>
      <c r="B43" s="25">
        <v>391.04</v>
      </c>
      <c r="C43" s="3"/>
      <c r="D43" s="17" t="s">
        <v>95</v>
      </c>
      <c r="E43" s="26">
        <v>61378276.13</v>
      </c>
      <c r="F43" s="27"/>
      <c r="G43" s="27"/>
      <c r="H43" s="44">
        <v>4050447</v>
      </c>
      <c r="I43" s="28">
        <v>0.1</v>
      </c>
      <c r="J43" s="27"/>
      <c r="K43" s="44">
        <v>5400596</v>
      </c>
      <c r="L43" s="44">
        <f>'CWK-1 Sch 1'!K43*'CWK-1 Sch 1'!E43</f>
        <v>0</v>
      </c>
      <c r="M43" s="35">
        <v>0.0839</v>
      </c>
      <c r="N43" s="153">
        <f t="shared" si="2"/>
        <v>5400596</v>
      </c>
    </row>
    <row r="44" spans="1:14" ht="15" customHeight="1">
      <c r="A44"/>
      <c r="B44" s="25">
        <v>392.01</v>
      </c>
      <c r="C44" s="3"/>
      <c r="D44" s="17" t="s">
        <v>96</v>
      </c>
      <c r="E44" s="26">
        <v>24958354.75</v>
      </c>
      <c r="F44" s="27"/>
      <c r="G44" s="27"/>
      <c r="H44" s="44">
        <v>1061486</v>
      </c>
      <c r="I44" s="28">
        <v>0.0839</v>
      </c>
      <c r="J44" s="27"/>
      <c r="K44" s="44">
        <f t="shared" si="1"/>
        <v>1061486</v>
      </c>
      <c r="L44" s="44">
        <f>'CWK-1 Sch 1'!K44*'CWK-1 Sch 1'!E44</f>
        <v>0</v>
      </c>
      <c r="M44" s="35">
        <v>0.1</v>
      </c>
      <c r="N44" s="153">
        <f t="shared" si="2"/>
        <v>1061486</v>
      </c>
    </row>
    <row r="45" spans="1:14" ht="15" customHeight="1">
      <c r="A45"/>
      <c r="B45" s="25">
        <v>392.02</v>
      </c>
      <c r="C45" s="3"/>
      <c r="D45" s="17" t="s">
        <v>97</v>
      </c>
      <c r="E45" s="26">
        <v>2015575.26</v>
      </c>
      <c r="F45" s="27"/>
      <c r="G45" s="27"/>
      <c r="H45" s="44">
        <v>35481</v>
      </c>
      <c r="I45" s="28">
        <v>0.1</v>
      </c>
      <c r="J45" s="27"/>
      <c r="K45" s="44">
        <f t="shared" si="1"/>
        <v>35481</v>
      </c>
      <c r="L45" s="44">
        <f>'CWK-1 Sch 1'!K45*'CWK-1 Sch 1'!E45</f>
        <v>0</v>
      </c>
      <c r="M45" s="35">
        <v>0.05</v>
      </c>
      <c r="N45" s="153">
        <f t="shared" si="2"/>
        <v>35481</v>
      </c>
    </row>
    <row r="46" spans="1:14" ht="15" customHeight="1">
      <c r="A46"/>
      <c r="B46" s="25">
        <v>393</v>
      </c>
      <c r="C46" s="3"/>
      <c r="D46" s="17" t="s">
        <v>98</v>
      </c>
      <c r="E46" s="26">
        <v>636972</v>
      </c>
      <c r="F46" s="27"/>
      <c r="G46" s="27"/>
      <c r="H46" s="44">
        <v>0</v>
      </c>
      <c r="I46" s="28">
        <v>0.05</v>
      </c>
      <c r="J46" s="27"/>
      <c r="K46" s="44">
        <f t="shared" si="1"/>
        <v>0</v>
      </c>
      <c r="L46" s="44">
        <f>'CWK-1 Sch 1'!K46*'CWK-1 Sch 1'!E46</f>
        <v>0</v>
      </c>
      <c r="M46" s="35">
        <v>0.1</v>
      </c>
      <c r="N46" s="153">
        <f t="shared" si="2"/>
        <v>0</v>
      </c>
    </row>
    <row r="47" spans="1:14" ht="15" customHeight="1">
      <c r="A47"/>
      <c r="B47" s="25">
        <v>394.1</v>
      </c>
      <c r="C47" s="3"/>
      <c r="D47" s="17" t="s">
        <v>99</v>
      </c>
      <c r="E47" s="26">
        <v>8160854.59</v>
      </c>
      <c r="F47" s="27"/>
      <c r="G47" s="27"/>
      <c r="H47" s="44">
        <v>154842</v>
      </c>
      <c r="I47" s="28">
        <v>0.1</v>
      </c>
      <c r="J47" s="27"/>
      <c r="K47" s="44">
        <f t="shared" si="1"/>
        <v>154842</v>
      </c>
      <c r="L47" s="44">
        <f>'CWK-1 Sch 1'!K47*'CWK-1 Sch 1'!E47</f>
        <v>0</v>
      </c>
      <c r="M47" s="35">
        <v>0.05</v>
      </c>
      <c r="N47" s="153">
        <f t="shared" si="2"/>
        <v>154842</v>
      </c>
    </row>
    <row r="48" spans="1:14" ht="15" customHeight="1">
      <c r="A48"/>
      <c r="B48" s="25">
        <v>394.2</v>
      </c>
      <c r="C48" s="3"/>
      <c r="D48" s="17" t="s">
        <v>100</v>
      </c>
      <c r="E48" s="26">
        <v>2536979.45</v>
      </c>
      <c r="F48" s="27"/>
      <c r="G48" s="27"/>
      <c r="H48" s="44">
        <v>17229</v>
      </c>
      <c r="I48" s="28">
        <v>0.05</v>
      </c>
      <c r="J48" s="27"/>
      <c r="K48" s="44">
        <f t="shared" si="1"/>
        <v>17229</v>
      </c>
      <c r="L48" s="44">
        <f>'CWK-1 Sch 1'!K48*'CWK-1 Sch 1'!E48</f>
        <v>0</v>
      </c>
      <c r="M48" s="35">
        <v>0.1</v>
      </c>
      <c r="N48" s="153">
        <f t="shared" si="2"/>
        <v>17229</v>
      </c>
    </row>
    <row r="49" spans="1:14" ht="15" customHeight="1">
      <c r="A49"/>
      <c r="B49" s="25">
        <v>394.4</v>
      </c>
      <c r="C49" s="3"/>
      <c r="D49" s="17" t="s">
        <v>101</v>
      </c>
      <c r="E49" s="26">
        <v>9583245.13</v>
      </c>
      <c r="F49" s="27"/>
      <c r="G49" s="27"/>
      <c r="H49" s="44">
        <v>1123</v>
      </c>
      <c r="I49" s="28">
        <v>0.1</v>
      </c>
      <c r="J49" s="27"/>
      <c r="K49" s="44">
        <f t="shared" si="1"/>
        <v>1123</v>
      </c>
      <c r="L49" s="44">
        <f>'CWK-1 Sch 1'!K49*'CWK-1 Sch 1'!E49</f>
        <v>0</v>
      </c>
      <c r="M49" s="35">
        <v>0.0667</v>
      </c>
      <c r="N49" s="153">
        <f t="shared" si="2"/>
        <v>1123</v>
      </c>
    </row>
    <row r="50" spans="1:14" ht="15" customHeight="1">
      <c r="A50"/>
      <c r="B50" s="25">
        <v>395</v>
      </c>
      <c r="C50" s="3"/>
      <c r="D50" s="17" t="s">
        <v>102</v>
      </c>
      <c r="E50" s="26">
        <v>524643</v>
      </c>
      <c r="F50" s="27"/>
      <c r="G50" s="27"/>
      <c r="H50" s="44">
        <v>-9</v>
      </c>
      <c r="I50" s="28">
        <v>0.0667</v>
      </c>
      <c r="J50" s="27"/>
      <c r="K50" s="44">
        <f t="shared" si="1"/>
        <v>-9</v>
      </c>
      <c r="L50" s="44">
        <f>'CWK-1 Sch 1'!K50*'CWK-1 Sch 1'!E50</f>
        <v>0</v>
      </c>
      <c r="M50" s="35">
        <v>0.0735</v>
      </c>
      <c r="N50" s="153">
        <f t="shared" si="2"/>
        <v>-9</v>
      </c>
    </row>
    <row r="51" spans="1:14" ht="15" customHeight="1">
      <c r="A51"/>
      <c r="B51" s="25">
        <v>396</v>
      </c>
      <c r="C51" s="3"/>
      <c r="D51" s="17" t="s">
        <v>103</v>
      </c>
      <c r="E51" s="26">
        <v>6915703.1</v>
      </c>
      <c r="F51" s="27"/>
      <c r="G51" s="27"/>
      <c r="H51" s="44">
        <v>272154</v>
      </c>
      <c r="I51" s="28">
        <v>0.0735</v>
      </c>
      <c r="J51" s="27"/>
      <c r="K51" s="44">
        <f t="shared" si="1"/>
        <v>272154</v>
      </c>
      <c r="L51" s="44">
        <f>'CWK-1 Sch 1'!K51*'CWK-1 Sch 1'!E51</f>
        <v>0</v>
      </c>
      <c r="M51" s="35">
        <v>0.2</v>
      </c>
      <c r="N51" s="153">
        <f t="shared" si="2"/>
        <v>272154</v>
      </c>
    </row>
    <row r="52" spans="1:14" ht="15" customHeight="1">
      <c r="A52"/>
      <c r="B52" s="25">
        <v>397.1</v>
      </c>
      <c r="C52" s="3"/>
      <c r="D52" s="17" t="s">
        <v>104</v>
      </c>
      <c r="E52" s="26">
        <v>2806397.73</v>
      </c>
      <c r="F52" s="27"/>
      <c r="G52" s="27"/>
      <c r="H52" s="44">
        <v>4810</v>
      </c>
      <c r="I52" s="28">
        <v>0.2</v>
      </c>
      <c r="J52" s="27"/>
      <c r="K52" s="44">
        <f t="shared" si="1"/>
        <v>4810</v>
      </c>
      <c r="L52" s="44">
        <f>'CWK-1 Sch 1'!K52*'CWK-1 Sch 1'!E52</f>
        <v>0</v>
      </c>
      <c r="M52" s="35">
        <v>0.1</v>
      </c>
      <c r="N52" s="153">
        <f t="shared" si="2"/>
        <v>4810</v>
      </c>
    </row>
    <row r="53" spans="1:14" ht="15" customHeight="1">
      <c r="A53"/>
      <c r="B53" s="25">
        <v>397.3</v>
      </c>
      <c r="C53" s="3"/>
      <c r="D53" s="17" t="s">
        <v>105</v>
      </c>
      <c r="E53" s="26">
        <v>15991403.72</v>
      </c>
      <c r="F53" s="27"/>
      <c r="G53" s="27"/>
      <c r="H53" s="44">
        <v>-9562</v>
      </c>
      <c r="I53" s="28">
        <v>0.1</v>
      </c>
      <c r="J53" s="27"/>
      <c r="K53" s="44">
        <f t="shared" si="1"/>
        <v>-9562</v>
      </c>
      <c r="L53" s="44">
        <f>'CWK-1 Sch 1'!K53*'CWK-1 Sch 1'!E53</f>
        <v>0</v>
      </c>
      <c r="M53" s="35">
        <v>0.1</v>
      </c>
      <c r="N53" s="153">
        <f t="shared" si="2"/>
        <v>-9562</v>
      </c>
    </row>
    <row r="54" spans="1:14" ht="15" customHeight="1">
      <c r="A54"/>
      <c r="B54" s="25">
        <v>397.4</v>
      </c>
      <c r="C54" s="3"/>
      <c r="D54" s="17" t="s">
        <v>106</v>
      </c>
      <c r="E54" s="26">
        <v>839376.24</v>
      </c>
      <c r="F54" s="27"/>
      <c r="G54" s="27"/>
      <c r="H54" s="44">
        <v>44337</v>
      </c>
      <c r="I54" s="28">
        <v>0.1</v>
      </c>
      <c r="J54" s="27"/>
      <c r="K54" s="44">
        <f t="shared" si="1"/>
        <v>44337</v>
      </c>
      <c r="L54" s="44">
        <f>'CWK-1 Sch 1'!K54*'CWK-1 Sch 1'!E54</f>
        <v>0</v>
      </c>
      <c r="M54" s="35">
        <v>0.1</v>
      </c>
      <c r="N54" s="153">
        <f t="shared" si="2"/>
        <v>44337</v>
      </c>
    </row>
    <row r="55" spans="1:14" ht="15" customHeight="1">
      <c r="A55"/>
      <c r="B55" s="25">
        <v>397.5</v>
      </c>
      <c r="C55" s="3"/>
      <c r="D55" s="17" t="s">
        <v>107</v>
      </c>
      <c r="E55" s="26">
        <v>52064</v>
      </c>
      <c r="F55" s="27"/>
      <c r="G55" s="27"/>
      <c r="H55" s="44">
        <v>0</v>
      </c>
      <c r="I55" s="28">
        <v>0.1</v>
      </c>
      <c r="J55" s="27"/>
      <c r="K55" s="44">
        <f t="shared" si="1"/>
        <v>0</v>
      </c>
      <c r="L55" s="44">
        <f>'CWK-1 Sch 1'!K55*'CWK-1 Sch 1'!E55</f>
        <v>0</v>
      </c>
      <c r="M55" s="40">
        <v>0.0667</v>
      </c>
      <c r="N55" s="153">
        <f t="shared" si="2"/>
        <v>0</v>
      </c>
    </row>
    <row r="56" spans="1:14" ht="15" customHeight="1">
      <c r="A56"/>
      <c r="B56" s="25">
        <v>398</v>
      </c>
      <c r="C56" s="3"/>
      <c r="D56" s="17" t="s">
        <v>108</v>
      </c>
      <c r="E56" s="26">
        <v>406140.31</v>
      </c>
      <c r="F56" s="27"/>
      <c r="G56" s="27"/>
      <c r="H56" s="44">
        <v>7076</v>
      </c>
      <c r="I56" s="28">
        <v>0.0667</v>
      </c>
      <c r="J56" s="27"/>
      <c r="K56" s="44">
        <f t="shared" si="1"/>
        <v>7076</v>
      </c>
      <c r="L56" s="44">
        <f>'CWK-1 Sch 1'!K56*'CWK-1 Sch 1'!E56</f>
        <v>0</v>
      </c>
      <c r="M56"/>
      <c r="N56" s="153">
        <f t="shared" si="2"/>
        <v>7076</v>
      </c>
    </row>
    <row r="57" spans="1:14" ht="15" customHeight="1">
      <c r="A57" s="131"/>
      <c r="B57" s="21" t="s">
        <v>44</v>
      </c>
      <c r="C57" s="3"/>
      <c r="D57" s="25"/>
      <c r="E57" s="17"/>
      <c r="F57" s="42"/>
      <c r="G57" s="42"/>
      <c r="H57" s="58"/>
      <c r="I57" s="28"/>
      <c r="J57" s="27"/>
      <c r="K57" s="58"/>
      <c r="L57" s="58"/>
      <c r="M57" s="137"/>
      <c r="N57" s="152"/>
    </row>
    <row r="58" spans="1:14" ht="15" customHeight="1">
      <c r="A58" s="47" t="s">
        <v>109</v>
      </c>
      <c r="B58"/>
      <c r="C58" s="3"/>
      <c r="D58" s="132"/>
      <c r="E58" s="133">
        <f>SUM(E38:E56)</f>
        <v>160477840.56</v>
      </c>
      <c r="F58" s="37"/>
      <c r="G58" s="37"/>
      <c r="H58" s="139">
        <f>SUM(H38:H56)</f>
        <v>6506053</v>
      </c>
      <c r="I58" s="137">
        <v>0.07540029032884968</v>
      </c>
      <c r="J58" s="140"/>
      <c r="K58" s="139">
        <f>SUM(K38:K56)</f>
        <v>7856202</v>
      </c>
      <c r="L58" s="139">
        <f>SUM(L38:L56)</f>
        <v>0</v>
      </c>
      <c r="M58"/>
      <c r="N58" s="143">
        <f t="shared" si="2"/>
        <v>7856202</v>
      </c>
    </row>
    <row r="59" spans="1:13" ht="15" customHeight="1" thickBot="1">
      <c r="A59" s="134" t="s">
        <v>44</v>
      </c>
      <c r="B59"/>
      <c r="C59" s="3"/>
      <c r="D59" s="124"/>
      <c r="E59" s="17"/>
      <c r="F59" s="42"/>
      <c r="G59" s="42"/>
      <c r="H59" s="58"/>
      <c r="I59" s="1"/>
      <c r="J59" s="27"/>
      <c r="K59" s="58"/>
      <c r="L59" s="58"/>
      <c r="M59" s="138">
        <v>0.03195348439516408</v>
      </c>
    </row>
    <row r="60" spans="1:14" ht="15" customHeight="1" thickBot="1" thickTop="1">
      <c r="A60" s="135" t="s">
        <v>110</v>
      </c>
      <c r="B60"/>
      <c r="C60" s="3"/>
      <c r="D60" s="21"/>
      <c r="E60" s="136">
        <f>E58+E35</f>
        <v>1203860198.6299999</v>
      </c>
      <c r="F60" s="142"/>
      <c r="G60" s="142"/>
      <c r="H60" s="136">
        <f>H58+H35</f>
        <v>38400678</v>
      </c>
      <c r="I60" s="138">
        <v>0.03740606315452078</v>
      </c>
      <c r="J60" s="142"/>
      <c r="K60" s="136">
        <f>K58+K35</f>
        <v>26867805.27827072</v>
      </c>
      <c r="L60" s="136">
        <f>L58+L35</f>
        <v>6232265.927682477</v>
      </c>
      <c r="M60" s="11"/>
      <c r="N60" s="154">
        <f t="shared" si="2"/>
        <v>33100071.2059532</v>
      </c>
    </row>
    <row r="61" spans="1:13" ht="15" customHeight="1" thickTop="1">
      <c r="A61" s="11"/>
      <c r="B61" s="56" t="s">
        <v>46</v>
      </c>
      <c r="D61" s="3" t="s">
        <v>47</v>
      </c>
      <c r="E61" s="58"/>
      <c r="F61" s="28"/>
      <c r="G61" s="28"/>
      <c r="I61" s="55"/>
      <c r="J61" s="28"/>
      <c r="K61" s="28"/>
      <c r="L61" s="28"/>
      <c r="M61" s="11"/>
    </row>
    <row r="62" spans="1:13" ht="15" customHeight="1">
      <c r="A62" s="11"/>
      <c r="B62" s="57"/>
      <c r="C62" s="13"/>
      <c r="D62" s="13"/>
      <c r="E62" s="58"/>
      <c r="F62" s="28"/>
      <c r="G62" s="28"/>
      <c r="I62" s="55"/>
      <c r="J62" s="28"/>
      <c r="K62" s="28"/>
      <c r="L62" s="28"/>
      <c r="M62" s="11"/>
    </row>
    <row r="63" spans="1:13" ht="15" customHeight="1">
      <c r="A63" s="11"/>
      <c r="B63" s="57"/>
      <c r="C63" s="13"/>
      <c r="D63" s="13"/>
      <c r="E63" s="58"/>
      <c r="F63" s="28"/>
      <c r="G63" s="28"/>
      <c r="I63" s="55"/>
      <c r="J63" s="28"/>
      <c r="K63" s="28"/>
      <c r="L63" s="28"/>
      <c r="M63" s="11"/>
    </row>
    <row r="64" spans="1:13" ht="15" customHeight="1">
      <c r="A64" s="11"/>
      <c r="B64" s="57"/>
      <c r="C64" s="13"/>
      <c r="D64" s="13"/>
      <c r="E64" s="58"/>
      <c r="F64" s="28"/>
      <c r="G64" s="28"/>
      <c r="I64" s="55"/>
      <c r="J64" s="28"/>
      <c r="K64" s="28"/>
      <c r="L64" s="28"/>
      <c r="M64" s="11"/>
    </row>
    <row r="65" spans="1:13" ht="15" customHeight="1">
      <c r="A65" s="11"/>
      <c r="B65" s="57"/>
      <c r="C65" s="13"/>
      <c r="D65" s="13"/>
      <c r="E65" s="58"/>
      <c r="F65" s="28"/>
      <c r="G65" s="28"/>
      <c r="I65" s="55"/>
      <c r="J65" s="28"/>
      <c r="K65" s="28"/>
      <c r="L65" s="28"/>
      <c r="M65" s="11"/>
    </row>
    <row r="66" spans="1:13" ht="15" customHeight="1">
      <c r="A66" s="11"/>
      <c r="B66" s="57"/>
      <c r="C66" s="13"/>
      <c r="D66" s="13"/>
      <c r="E66" s="58"/>
      <c r="F66" s="28"/>
      <c r="G66" s="28"/>
      <c r="I66" s="55"/>
      <c r="J66" s="28"/>
      <c r="K66" s="28"/>
      <c r="L66" s="28"/>
      <c r="M66" s="11"/>
    </row>
    <row r="67" spans="1:13" ht="15" customHeight="1">
      <c r="A67" s="11"/>
      <c r="B67" s="57"/>
      <c r="C67" s="13"/>
      <c r="D67" s="13"/>
      <c r="E67" s="58"/>
      <c r="F67" s="28"/>
      <c r="G67" s="28"/>
      <c r="I67" s="55"/>
      <c r="J67" s="28"/>
      <c r="K67" s="28"/>
      <c r="L67" s="28"/>
      <c r="M67" s="11"/>
    </row>
    <row r="68" spans="1:13" ht="15" customHeight="1">
      <c r="A68" s="11"/>
      <c r="B68" s="57"/>
      <c r="C68" s="13"/>
      <c r="D68" s="13"/>
      <c r="E68" s="58"/>
      <c r="F68" s="28"/>
      <c r="G68" s="28"/>
      <c r="I68" s="55"/>
      <c r="J68" s="28"/>
      <c r="K68" s="28"/>
      <c r="L68" s="28"/>
      <c r="M68" s="11"/>
    </row>
    <row r="69" spans="1:13" ht="15" customHeight="1">
      <c r="A69" s="11"/>
      <c r="B69" s="57"/>
      <c r="C69" s="13"/>
      <c r="D69" s="13"/>
      <c r="E69" s="58"/>
      <c r="F69" s="28"/>
      <c r="G69" s="28"/>
      <c r="I69" s="55"/>
      <c r="J69" s="28"/>
      <c r="K69" s="28"/>
      <c r="L69" s="28"/>
      <c r="M69" s="11"/>
    </row>
    <row r="70" spans="1:13" ht="15" customHeight="1">
      <c r="A70" s="11"/>
      <c r="B70" s="57"/>
      <c r="C70" s="13"/>
      <c r="D70" s="13"/>
      <c r="E70" s="58"/>
      <c r="F70" s="28"/>
      <c r="G70" s="28"/>
      <c r="I70" s="55"/>
      <c r="J70" s="28"/>
      <c r="K70" s="28"/>
      <c r="L70" s="28"/>
      <c r="M70" s="11"/>
    </row>
    <row r="71" spans="1:13" ht="15" customHeight="1">
      <c r="A71" s="11"/>
      <c r="B71" s="57"/>
      <c r="C71" s="13"/>
      <c r="D71" s="13"/>
      <c r="E71" s="58"/>
      <c r="F71" s="28"/>
      <c r="G71" s="28"/>
      <c r="I71" s="55"/>
      <c r="J71" s="28"/>
      <c r="K71" s="28"/>
      <c r="L71" s="28"/>
      <c r="M71" s="11"/>
    </row>
    <row r="72" spans="1:13" ht="15" customHeight="1">
      <c r="A72" s="11"/>
      <c r="B72" s="47"/>
      <c r="C72" s="13"/>
      <c r="D72" s="13"/>
      <c r="E72" s="60"/>
      <c r="F72" s="28"/>
      <c r="G72" s="28"/>
      <c r="I72" s="55"/>
      <c r="J72" s="28"/>
      <c r="K72" s="28"/>
      <c r="L72" s="28"/>
      <c r="M72" s="11"/>
    </row>
    <row r="73" spans="1:13" ht="15" customHeight="1">
      <c r="A73" s="11"/>
      <c r="B73" s="59"/>
      <c r="C73" s="59"/>
      <c r="D73" s="59"/>
      <c r="E73" s="59"/>
      <c r="F73" s="28"/>
      <c r="G73" s="28"/>
      <c r="I73" s="55"/>
      <c r="J73" s="28"/>
      <c r="K73" s="28"/>
      <c r="L73" s="28"/>
      <c r="M73" s="11"/>
    </row>
    <row r="74" spans="1:13" ht="15" customHeight="1">
      <c r="A74" s="11"/>
      <c r="B74" s="59"/>
      <c r="C74" s="59"/>
      <c r="D74" s="59"/>
      <c r="E74" s="59"/>
      <c r="F74" s="28"/>
      <c r="G74" s="28"/>
      <c r="I74" s="55"/>
      <c r="J74" s="28"/>
      <c r="K74" s="28"/>
      <c r="L74" s="28"/>
      <c r="M74" s="11"/>
    </row>
    <row r="75" spans="1:13" ht="15" customHeight="1">
      <c r="A75" s="11"/>
      <c r="B75" s="62"/>
      <c r="C75" s="13"/>
      <c r="D75" s="13"/>
      <c r="E75" s="13"/>
      <c r="F75" s="28"/>
      <c r="G75" s="28"/>
      <c r="I75" s="55"/>
      <c r="J75" s="28"/>
      <c r="K75" s="28"/>
      <c r="L75" s="28"/>
      <c r="M75" s="11"/>
    </row>
    <row r="76" spans="1:13" ht="15" customHeight="1">
      <c r="A76" s="11"/>
      <c r="B76" s="62"/>
      <c r="C76" s="13"/>
      <c r="D76" s="13"/>
      <c r="E76" s="13"/>
      <c r="F76" s="13"/>
      <c r="G76" s="13"/>
      <c r="I76" s="55"/>
      <c r="J76" s="13"/>
      <c r="K76" s="13"/>
      <c r="L76" s="13"/>
      <c r="M76" s="11"/>
    </row>
    <row r="77" spans="1:13" ht="15" customHeight="1">
      <c r="A77" s="11"/>
      <c r="B77" s="57"/>
      <c r="C77" s="13"/>
      <c r="D77" s="13"/>
      <c r="E77" s="58"/>
      <c r="F77" s="28"/>
      <c r="G77" s="28"/>
      <c r="I77" s="55"/>
      <c r="J77" s="28"/>
      <c r="K77" s="28"/>
      <c r="L77" s="28"/>
      <c r="M77" s="11"/>
    </row>
    <row r="78" spans="1:13" ht="15" customHeight="1">
      <c r="A78" s="11"/>
      <c r="B78" s="57"/>
      <c r="C78" s="13"/>
      <c r="D78" s="13"/>
      <c r="E78" s="58"/>
      <c r="F78" s="28"/>
      <c r="G78" s="28"/>
      <c r="I78" s="55"/>
      <c r="J78" s="28"/>
      <c r="K78" s="28"/>
      <c r="L78" s="28"/>
      <c r="M78" s="11"/>
    </row>
    <row r="79" spans="1:13" ht="15" customHeight="1">
      <c r="A79" s="11"/>
      <c r="B79" s="57"/>
      <c r="C79" s="13"/>
      <c r="D79" s="13"/>
      <c r="E79" s="58"/>
      <c r="F79" s="28"/>
      <c r="G79" s="28"/>
      <c r="I79" s="55"/>
      <c r="J79" s="28"/>
      <c r="K79" s="28"/>
      <c r="L79" s="28"/>
      <c r="M79" s="11"/>
    </row>
    <row r="80" spans="1:13" ht="15" customHeight="1">
      <c r="A80" s="11"/>
      <c r="B80" s="57"/>
      <c r="C80" s="13"/>
      <c r="D80" s="13"/>
      <c r="E80" s="58"/>
      <c r="F80" s="28"/>
      <c r="G80" s="28"/>
      <c r="I80" s="55"/>
      <c r="J80" s="28"/>
      <c r="K80" s="28"/>
      <c r="L80" s="28"/>
      <c r="M80" s="11"/>
    </row>
    <row r="81" spans="1:13" ht="15" customHeight="1">
      <c r="A81" s="11"/>
      <c r="B81" s="57"/>
      <c r="C81" s="13"/>
      <c r="D81" s="13"/>
      <c r="E81" s="58"/>
      <c r="F81" s="28"/>
      <c r="G81" s="28"/>
      <c r="I81" s="55"/>
      <c r="J81" s="28"/>
      <c r="K81" s="28"/>
      <c r="L81" s="28"/>
      <c r="M81" s="11"/>
    </row>
    <row r="82" spans="1:13" ht="15" customHeight="1">
      <c r="A82" s="11"/>
      <c r="B82" s="57"/>
      <c r="C82" s="13"/>
      <c r="D82" s="13"/>
      <c r="E82" s="58"/>
      <c r="F82" s="28"/>
      <c r="G82" s="28"/>
      <c r="I82" s="55"/>
      <c r="J82" s="28"/>
      <c r="K82" s="28"/>
      <c r="L82" s="28"/>
      <c r="M82" s="11"/>
    </row>
    <row r="83" spans="1:13" ht="15" customHeight="1">
      <c r="A83" s="11"/>
      <c r="B83" s="57"/>
      <c r="C83" s="13"/>
      <c r="D83" s="13"/>
      <c r="E83" s="58"/>
      <c r="F83" s="28"/>
      <c r="G83" s="28"/>
      <c r="I83" s="55"/>
      <c r="J83" s="28"/>
      <c r="K83" s="28"/>
      <c r="L83" s="28"/>
      <c r="M83" s="11"/>
    </row>
    <row r="84" spans="1:13" ht="15" customHeight="1">
      <c r="A84" s="11"/>
      <c r="B84" s="57"/>
      <c r="C84" s="13"/>
      <c r="D84" s="13"/>
      <c r="E84" s="58"/>
      <c r="F84" s="28"/>
      <c r="G84" s="28"/>
      <c r="I84" s="55"/>
      <c r="J84" s="28"/>
      <c r="K84" s="28"/>
      <c r="L84" s="28"/>
      <c r="M84" s="11"/>
    </row>
    <row r="85" spans="1:13" ht="15" customHeight="1">
      <c r="A85" s="11"/>
      <c r="B85" s="47"/>
      <c r="C85" s="13"/>
      <c r="D85" s="13"/>
      <c r="E85" s="60"/>
      <c r="F85" s="43"/>
      <c r="G85" s="43"/>
      <c r="I85" s="55"/>
      <c r="J85" s="43"/>
      <c r="K85" s="43"/>
      <c r="L85" s="43"/>
      <c r="M85" s="11"/>
    </row>
    <row r="86" spans="1:13" ht="15" customHeight="1">
      <c r="A86" s="11"/>
      <c r="B86" s="59"/>
      <c r="C86" s="59"/>
      <c r="D86" s="59"/>
      <c r="E86" s="59"/>
      <c r="F86" s="59"/>
      <c r="G86" s="59"/>
      <c r="I86" s="55"/>
      <c r="J86" s="59"/>
      <c r="K86" s="59"/>
      <c r="L86" s="59"/>
      <c r="M86" s="11"/>
    </row>
    <row r="87" spans="1:13" ht="15" customHeight="1">
      <c r="A87" s="11"/>
      <c r="B87" s="57"/>
      <c r="C87" s="13"/>
      <c r="D87" s="13"/>
      <c r="E87" s="58"/>
      <c r="F87" s="28"/>
      <c r="G87" s="28"/>
      <c r="I87" s="55"/>
      <c r="J87" s="28"/>
      <c r="K87" s="28"/>
      <c r="L87" s="28"/>
      <c r="M87" s="11"/>
    </row>
    <row r="88" spans="1:13" ht="15" customHeight="1">
      <c r="A88" s="11"/>
      <c r="B88" s="59"/>
      <c r="C88" s="59"/>
      <c r="D88" s="59"/>
      <c r="E88" s="59"/>
      <c r="F88" s="59"/>
      <c r="G88" s="59"/>
      <c r="I88" s="55"/>
      <c r="J88" s="59"/>
      <c r="K88" s="59"/>
      <c r="L88" s="59"/>
      <c r="M88" s="11"/>
    </row>
    <row r="89" spans="1:13" ht="15" customHeight="1">
      <c r="A89" s="11"/>
      <c r="B89" s="47"/>
      <c r="C89" s="13"/>
      <c r="D89" s="13"/>
      <c r="E89" s="60"/>
      <c r="F89" s="43"/>
      <c r="G89" s="43"/>
      <c r="I89" s="55"/>
      <c r="J89" s="43"/>
      <c r="K89" s="43"/>
      <c r="L89" s="43"/>
      <c r="M89" s="11"/>
    </row>
    <row r="90" spans="1:13" ht="15" customHeight="1">
      <c r="A90" s="11"/>
      <c r="B90" s="59"/>
      <c r="C90" s="59"/>
      <c r="D90" s="59"/>
      <c r="E90" s="59"/>
      <c r="F90" s="63"/>
      <c r="G90" s="63"/>
      <c r="I90" s="55"/>
      <c r="J90" s="63"/>
      <c r="K90" s="63"/>
      <c r="L90" s="63"/>
      <c r="M90" s="11"/>
    </row>
    <row r="91" spans="1:13" ht="15" customHeight="1">
      <c r="A91" s="11"/>
      <c r="B91" s="59"/>
      <c r="C91" s="59"/>
      <c r="D91" s="59"/>
      <c r="E91" s="59"/>
      <c r="F91" s="63"/>
      <c r="G91" s="63"/>
      <c r="I91" s="55"/>
      <c r="J91" s="63"/>
      <c r="K91" s="63"/>
      <c r="L91" s="63"/>
      <c r="M91" s="11"/>
    </row>
    <row r="92" spans="1:13" ht="15" customHeight="1">
      <c r="A92" s="11"/>
      <c r="B92" s="59"/>
      <c r="C92" s="59"/>
      <c r="D92" s="59"/>
      <c r="E92" s="59"/>
      <c r="F92" s="63"/>
      <c r="G92" s="63"/>
      <c r="I92" s="55"/>
      <c r="J92" s="63"/>
      <c r="K92" s="63"/>
      <c r="L92" s="63"/>
      <c r="M92" s="11"/>
    </row>
    <row r="93" spans="1:13" ht="15" customHeight="1">
      <c r="A93" s="11"/>
      <c r="B93" s="47"/>
      <c r="C93" s="59"/>
      <c r="D93" s="59"/>
      <c r="E93" s="60"/>
      <c r="F93" s="43"/>
      <c r="G93" s="43"/>
      <c r="I93" s="55"/>
      <c r="J93" s="43"/>
      <c r="K93" s="43"/>
      <c r="L93" s="43"/>
      <c r="M93" s="11"/>
    </row>
    <row r="94" spans="1:13" ht="15" customHeight="1">
      <c r="A94" s="11"/>
      <c r="B94" s="59"/>
      <c r="C94" s="59"/>
      <c r="D94" s="47"/>
      <c r="E94" s="59"/>
      <c r="F94" s="64"/>
      <c r="G94" s="64"/>
      <c r="I94" s="55"/>
      <c r="J94" s="64"/>
      <c r="K94" s="64"/>
      <c r="L94" s="64"/>
      <c r="M94" s="11"/>
    </row>
    <row r="95" spans="1:13" ht="15" customHeight="1">
      <c r="A95" s="11"/>
      <c r="B95" s="65"/>
      <c r="C95" s="65"/>
      <c r="D95" s="65"/>
      <c r="E95" s="65"/>
      <c r="F95" s="64"/>
      <c r="G95" s="64"/>
      <c r="I95" s="55"/>
      <c r="J95" s="64"/>
      <c r="K95" s="64"/>
      <c r="L95" s="64"/>
      <c r="M95" s="11"/>
    </row>
    <row r="96" spans="1:13" ht="15" customHeight="1">
      <c r="A96" s="11"/>
      <c r="B96" s="65"/>
      <c r="C96" s="65"/>
      <c r="D96" s="65"/>
      <c r="E96" s="65"/>
      <c r="F96" s="64"/>
      <c r="G96" s="64"/>
      <c r="I96" s="55"/>
      <c r="J96" s="64"/>
      <c r="K96" s="64"/>
      <c r="L96" s="64"/>
      <c r="M96" s="11"/>
    </row>
    <row r="97" spans="1:13" ht="15" customHeight="1">
      <c r="A97" s="11"/>
      <c r="B97" s="65"/>
      <c r="C97" s="65"/>
      <c r="D97" s="65"/>
      <c r="E97" s="65"/>
      <c r="F97" s="64"/>
      <c r="G97" s="64"/>
      <c r="I97" s="55"/>
      <c r="J97" s="64"/>
      <c r="K97" s="64"/>
      <c r="L97" s="64"/>
      <c r="M97" s="11"/>
    </row>
    <row r="98" spans="1:13" ht="15" customHeight="1">
      <c r="A98" s="11"/>
      <c r="B98" s="65"/>
      <c r="C98" s="65"/>
      <c r="D98" s="65"/>
      <c r="E98" s="65"/>
      <c r="F98" s="64"/>
      <c r="G98" s="64"/>
      <c r="I98" s="55"/>
      <c r="J98" s="64"/>
      <c r="K98" s="64"/>
      <c r="L98" s="64"/>
      <c r="M98" s="11"/>
    </row>
    <row r="99" spans="1:13" ht="15" customHeight="1">
      <c r="A99" s="11"/>
      <c r="B99" s="65"/>
      <c r="C99" s="65"/>
      <c r="D99" s="65"/>
      <c r="E99" s="65"/>
      <c r="F99" s="64"/>
      <c r="G99" s="64"/>
      <c r="I99" s="55"/>
      <c r="J99" s="64"/>
      <c r="K99" s="64"/>
      <c r="L99" s="64"/>
      <c r="M99" s="11"/>
    </row>
    <row r="100" spans="1:13" ht="15" customHeight="1">
      <c r="A100" s="11"/>
      <c r="B100" s="65"/>
      <c r="C100" s="65"/>
      <c r="D100" s="65"/>
      <c r="E100" s="65"/>
      <c r="F100" s="64"/>
      <c r="G100" s="64"/>
      <c r="I100" s="55"/>
      <c r="J100" s="64"/>
      <c r="K100" s="64"/>
      <c r="L100" s="64"/>
      <c r="M100" s="11"/>
    </row>
    <row r="101" spans="1:13" ht="15" customHeight="1">
      <c r="A101" s="11"/>
      <c r="B101" s="65"/>
      <c r="C101" s="65"/>
      <c r="D101" s="65"/>
      <c r="E101" s="65"/>
      <c r="F101" s="64"/>
      <c r="G101" s="64"/>
      <c r="J101" s="64"/>
      <c r="K101" s="64"/>
      <c r="L101" s="64"/>
      <c r="M101" s="11"/>
    </row>
    <row r="102" spans="1:13" ht="15" customHeight="1">
      <c r="A102" s="11"/>
      <c r="B102" s="65"/>
      <c r="C102" s="65"/>
      <c r="D102" s="65"/>
      <c r="E102" s="65"/>
      <c r="F102" s="64"/>
      <c r="G102" s="64"/>
      <c r="J102" s="64"/>
      <c r="K102" s="64"/>
      <c r="L102" s="64"/>
      <c r="M102" s="11"/>
    </row>
    <row r="103" spans="1:13" ht="15" customHeight="1">
      <c r="A103" s="11"/>
      <c r="B103" s="65"/>
      <c r="C103" s="65"/>
      <c r="D103" s="65"/>
      <c r="E103" s="65"/>
      <c r="F103" s="64"/>
      <c r="G103" s="64"/>
      <c r="J103" s="64"/>
      <c r="K103" s="64"/>
      <c r="L103" s="64"/>
      <c r="M103" s="11"/>
    </row>
    <row r="104" spans="1:13" ht="15" customHeight="1">
      <c r="A104" s="11"/>
      <c r="B104" s="65"/>
      <c r="C104" s="65"/>
      <c r="D104" s="65"/>
      <c r="E104" s="65"/>
      <c r="F104" s="64"/>
      <c r="G104" s="64"/>
      <c r="J104" s="64"/>
      <c r="K104" s="64"/>
      <c r="L104" s="64"/>
      <c r="M104" s="11"/>
    </row>
    <row r="105" spans="1:13" ht="15" customHeight="1">
      <c r="A105" s="11"/>
      <c r="B105" s="65"/>
      <c r="C105" s="65"/>
      <c r="D105" s="65"/>
      <c r="E105" s="65"/>
      <c r="F105" s="64"/>
      <c r="G105" s="64"/>
      <c r="J105" s="64"/>
      <c r="K105" s="64"/>
      <c r="L105" s="64"/>
      <c r="M105" s="11"/>
    </row>
    <row r="106" spans="1:13" ht="15" customHeight="1">
      <c r="A106" s="11"/>
      <c r="B106" s="65"/>
      <c r="C106" s="65"/>
      <c r="D106" s="65"/>
      <c r="E106" s="65"/>
      <c r="F106" s="64"/>
      <c r="G106" s="64"/>
      <c r="J106" s="64"/>
      <c r="K106" s="64"/>
      <c r="L106" s="64"/>
      <c r="M106" s="11"/>
    </row>
    <row r="107" spans="1:13" ht="15" customHeight="1">
      <c r="A107" s="11"/>
      <c r="B107" s="65"/>
      <c r="C107" s="65"/>
      <c r="D107" s="65"/>
      <c r="E107" s="65"/>
      <c r="F107" s="64"/>
      <c r="G107" s="64"/>
      <c r="J107" s="64"/>
      <c r="K107" s="64"/>
      <c r="L107" s="64"/>
      <c r="M107" s="11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mergeCells count="5">
    <mergeCell ref="B1:M1"/>
    <mergeCell ref="B2:M2"/>
    <mergeCell ref="B3:M3"/>
    <mergeCell ref="H5:I5"/>
    <mergeCell ref="K5:N5"/>
  </mergeCells>
  <printOptions/>
  <pageMargins left="0.24" right="0.25" top="0.7" bottom="0.49" header="0.34" footer="0.26"/>
  <pageSetup fitToHeight="12" horizontalDpi="600" verticalDpi="600" orientation="landscape" scale="90" r:id="rId1"/>
  <headerFooter alignWithMargins="0">
    <oddHeader>&amp;RExhibit-_____(CWK-1)
Schedule  2
</oddHeader>
    <oddFooter>&amp;L&amp;D&amp;CSnavely King Majoros O'Connor &amp; Lee, Inc.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61"/>
  <sheetViews>
    <sheetView workbookViewId="0" topLeftCell="A1">
      <selection activeCell="J4" sqref="J4"/>
    </sheetView>
  </sheetViews>
  <sheetFormatPr defaultColWidth="9.140625" defaultRowHeight="12.75"/>
  <cols>
    <col min="1" max="1" width="9.00390625" style="0" bestFit="1" customWidth="1"/>
    <col min="2" max="2" width="44.00390625" style="0" bestFit="1" customWidth="1"/>
    <col min="3" max="3" width="17.00390625" style="0" bestFit="1" customWidth="1"/>
    <col min="4" max="5" width="2.7109375" style="0" customWidth="1"/>
    <col min="6" max="6" width="10.7109375" style="0" bestFit="1" customWidth="1"/>
    <col min="7" max="7" width="2.7109375" style="0" customWidth="1"/>
    <col min="8" max="8" width="10.7109375" style="0" bestFit="1" customWidth="1"/>
    <col min="9" max="9" width="9.7109375" style="0" bestFit="1" customWidth="1"/>
    <col min="10" max="10" width="10.140625" style="0" bestFit="1" customWidth="1"/>
  </cols>
  <sheetData>
    <row r="1" spans="1:9" ht="15.75">
      <c r="A1" s="165" t="s">
        <v>119</v>
      </c>
      <c r="B1" s="165"/>
      <c r="C1" s="165"/>
      <c r="D1" s="165"/>
      <c r="E1" s="165"/>
      <c r="F1" s="165"/>
      <c r="G1" s="165"/>
      <c r="H1" s="165"/>
      <c r="I1" s="165"/>
    </row>
    <row r="2" spans="1:9" ht="15.75">
      <c r="A2" s="165" t="s">
        <v>117</v>
      </c>
      <c r="B2" s="165"/>
      <c r="C2" s="165"/>
      <c r="D2" s="165"/>
      <c r="E2" s="165"/>
      <c r="F2" s="165"/>
      <c r="G2" s="165"/>
      <c r="H2" s="165"/>
      <c r="I2" s="165"/>
    </row>
    <row r="3" spans="1:9" ht="15.75">
      <c r="A3" s="165" t="s">
        <v>120</v>
      </c>
      <c r="B3" s="165"/>
      <c r="C3" s="165"/>
      <c r="D3" s="165"/>
      <c r="E3" s="165"/>
      <c r="F3" s="165"/>
      <c r="G3" s="165"/>
      <c r="H3" s="165"/>
      <c r="I3" s="165"/>
    </row>
    <row r="4" spans="1:10" ht="12.75">
      <c r="A4" s="3"/>
      <c r="B4" s="3"/>
      <c r="C4" s="4" t="s">
        <v>3</v>
      </c>
      <c r="D4" s="5"/>
      <c r="E4" s="5"/>
      <c r="F4" s="5" t="s">
        <v>4</v>
      </c>
      <c r="G4" s="5"/>
      <c r="H4" s="5" t="s">
        <v>5</v>
      </c>
      <c r="I4" s="5" t="s">
        <v>6</v>
      </c>
      <c r="J4" s="5" t="s">
        <v>7</v>
      </c>
    </row>
    <row r="5" spans="1:10" ht="12.75">
      <c r="A5" s="8"/>
      <c r="B5" s="3"/>
      <c r="C5" s="9">
        <v>38352</v>
      </c>
      <c r="D5" s="5"/>
      <c r="E5" s="5"/>
      <c r="F5" s="10" t="s">
        <v>9</v>
      </c>
      <c r="G5" s="5"/>
      <c r="H5" s="168" t="s">
        <v>10</v>
      </c>
      <c r="I5" s="168"/>
      <c r="J5" s="168"/>
    </row>
    <row r="6" spans="1:10" ht="12.75">
      <c r="A6" s="12" t="s">
        <v>11</v>
      </c>
      <c r="B6" s="12" t="s">
        <v>12</v>
      </c>
      <c r="C6" s="4" t="s">
        <v>13</v>
      </c>
      <c r="D6" s="5"/>
      <c r="E6" s="5"/>
      <c r="F6" s="5" t="s">
        <v>126</v>
      </c>
      <c r="G6" s="5"/>
      <c r="H6" s="5" t="s">
        <v>126</v>
      </c>
      <c r="I6" s="5" t="s">
        <v>70</v>
      </c>
      <c r="J6" s="145" t="s">
        <v>115</v>
      </c>
    </row>
    <row r="7" spans="1:10" ht="12.75">
      <c r="A7" s="14"/>
      <c r="B7" s="14"/>
      <c r="C7" s="15"/>
      <c r="D7" s="10"/>
      <c r="E7" s="10"/>
      <c r="F7" s="10" t="s">
        <v>128</v>
      </c>
      <c r="G7" s="10"/>
      <c r="H7" s="10"/>
      <c r="I7" s="10" t="s">
        <v>17</v>
      </c>
      <c r="J7" s="150" t="s">
        <v>116</v>
      </c>
    </row>
    <row r="8" spans="2:9" ht="12.75">
      <c r="B8" s="17"/>
      <c r="C8" s="7" t="s">
        <v>18</v>
      </c>
      <c r="D8" s="18"/>
      <c r="E8" s="18"/>
      <c r="F8" s="19" t="s">
        <v>19</v>
      </c>
      <c r="G8" s="18"/>
      <c r="H8" s="18" t="s">
        <v>19</v>
      </c>
      <c r="I8" s="18"/>
    </row>
    <row r="9" spans="2:9" ht="12.75">
      <c r="B9" s="17"/>
      <c r="C9" s="4" t="s">
        <v>20</v>
      </c>
      <c r="D9" s="20"/>
      <c r="E9" s="20"/>
      <c r="F9" s="18" t="s">
        <v>21</v>
      </c>
      <c r="G9" s="20"/>
      <c r="H9" s="20" t="s">
        <v>122</v>
      </c>
      <c r="I9" s="20"/>
    </row>
    <row r="10" spans="2:9" ht="12.75">
      <c r="B10" s="17"/>
      <c r="C10" s="1"/>
      <c r="D10" s="20"/>
      <c r="E10" s="20"/>
      <c r="F10" s="20"/>
      <c r="G10" s="20"/>
      <c r="H10" s="24"/>
      <c r="I10" s="24"/>
    </row>
    <row r="11" spans="1:10" ht="12.75">
      <c r="A11" s="25">
        <v>374.21</v>
      </c>
      <c r="B11" s="17" t="s">
        <v>24</v>
      </c>
      <c r="C11" s="26">
        <f>(1-(4690576)/6267323)*4658598</f>
        <v>1172020.4018056833</v>
      </c>
      <c r="D11" s="27"/>
      <c r="E11" s="27"/>
      <c r="F11" s="44">
        <f>+C11*'CWK-1 Sch 1'!H11</f>
        <v>15588.020208138007</v>
      </c>
      <c r="G11" s="27"/>
      <c r="H11" s="44">
        <f>+C11*'CWK-1 Sch 1'!J11</f>
        <v>14575.226562503929</v>
      </c>
      <c r="I11" s="44">
        <f>+C11*'CWK-1 Sch 1'!K11</f>
        <v>0</v>
      </c>
      <c r="J11" s="151">
        <f>+H11+I11</f>
        <v>14575.226562503929</v>
      </c>
    </row>
    <row r="12" spans="1:9" ht="12.75">
      <c r="A12" s="25"/>
      <c r="B12" s="17"/>
      <c r="C12" s="26"/>
      <c r="D12" s="27"/>
      <c r="E12" s="27"/>
      <c r="F12" s="28"/>
      <c r="G12" s="27"/>
      <c r="H12" s="28"/>
      <c r="I12" s="28"/>
    </row>
    <row r="13" spans="1:9" ht="12.75">
      <c r="A13" s="25"/>
      <c r="B13" s="32" t="s">
        <v>25</v>
      </c>
      <c r="C13" s="26"/>
      <c r="D13" s="27"/>
      <c r="E13" s="27"/>
      <c r="F13" s="28"/>
      <c r="G13" s="27"/>
      <c r="H13" s="28"/>
      <c r="I13" s="28"/>
    </row>
    <row r="14" spans="1:10" ht="12.75">
      <c r="A14" s="25">
        <v>375.0001</v>
      </c>
      <c r="B14" s="91" t="s">
        <v>123</v>
      </c>
      <c r="C14" s="34">
        <f>5724183.24/51944194*C21</f>
        <v>5710381.622796597</v>
      </c>
      <c r="D14" s="27"/>
      <c r="E14" s="27"/>
      <c r="F14" s="44">
        <f>+C14*'CWK-1 Sch 1'!H14</f>
        <v>140968.28890749562</v>
      </c>
      <c r="G14" s="27"/>
      <c r="H14" s="44">
        <f>+C14*'CWK-1 Sch 1'!J14</f>
        <v>0</v>
      </c>
      <c r="I14" s="44">
        <f>+C14*'CWK-1 Sch 1'!K14</f>
        <v>0</v>
      </c>
      <c r="J14" s="151">
        <f aca="true" t="shared" si="0" ref="J14:J33">+H14+I14</f>
        <v>0</v>
      </c>
    </row>
    <row r="15" spans="1:10" ht="12.75">
      <c r="A15" s="25">
        <v>375.0002</v>
      </c>
      <c r="B15" s="33" t="s">
        <v>26</v>
      </c>
      <c r="C15" s="34">
        <f>11487530.61/51944194*C21</f>
        <v>11459832.946692562</v>
      </c>
      <c r="D15" s="27"/>
      <c r="E15" s="27"/>
      <c r="F15" s="44">
        <f>+C15*'CWK-1 Sch 1'!H15</f>
        <v>213547.8688313847</v>
      </c>
      <c r="G15" s="27"/>
      <c r="H15" s="44">
        <f>+C15*'CWK-1 Sch 1'!J15</f>
        <v>38971.81571177583</v>
      </c>
      <c r="I15" s="44">
        <f>+C15*'CWK-1 Sch 1'!K15</f>
        <v>0</v>
      </c>
      <c r="J15" s="151">
        <f t="shared" si="0"/>
        <v>38971.81571177583</v>
      </c>
    </row>
    <row r="16" spans="1:10" ht="12.75">
      <c r="A16" s="25">
        <v>375.0003</v>
      </c>
      <c r="B16" s="33" t="s">
        <v>27</v>
      </c>
      <c r="C16" s="34">
        <f>1457895.17/51944194*C21</f>
        <v>1454380.029024354</v>
      </c>
      <c r="D16" s="27"/>
      <c r="E16" s="27"/>
      <c r="F16" s="44">
        <f>+C16*'CWK-1 Sch 1'!H16</f>
        <v>37684.91802906789</v>
      </c>
      <c r="G16" s="27"/>
      <c r="H16" s="44">
        <f>+C16*'CWK-1 Sch 1'!J16</f>
        <v>0</v>
      </c>
      <c r="I16" s="44">
        <f>+C16*'CWK-1 Sch 1'!K16</f>
        <v>0</v>
      </c>
      <c r="J16" s="151">
        <f t="shared" si="0"/>
        <v>0</v>
      </c>
    </row>
    <row r="17" spans="1:10" ht="12.75">
      <c r="A17" s="25">
        <v>375.0004</v>
      </c>
      <c r="B17" s="33" t="s">
        <v>28</v>
      </c>
      <c r="C17" s="34">
        <f>746620.65/51944194*C21</f>
        <v>744820.4678647657</v>
      </c>
      <c r="D17" s="27"/>
      <c r="E17" s="27"/>
      <c r="F17" s="44">
        <f>+C17*'CWK-1 Sch 1'!H17</f>
        <v>15966.410235473095</v>
      </c>
      <c r="G17" s="27"/>
      <c r="H17" s="44">
        <f>+C17*'CWK-1 Sch 1'!J17</f>
        <v>2202.100240208299</v>
      </c>
      <c r="I17" s="44">
        <f>+C17*'CWK-1 Sch 1'!K17</f>
        <v>0</v>
      </c>
      <c r="J17" s="151">
        <f t="shared" si="0"/>
        <v>2202.100240208299</v>
      </c>
    </row>
    <row r="18" spans="1:10" ht="12.75">
      <c r="A18" s="25">
        <v>375.0005</v>
      </c>
      <c r="B18" s="33" t="s">
        <v>29</v>
      </c>
      <c r="C18" s="34">
        <f>4267848.19/51944194*C21</f>
        <v>4257557.952156283</v>
      </c>
      <c r="D18" s="27"/>
      <c r="E18" s="27"/>
      <c r="F18" s="44">
        <f>+C18*'CWK-1 Sch 1'!H18</f>
        <v>91093.83219256418</v>
      </c>
      <c r="G18" s="27"/>
      <c r="H18" s="44">
        <f>+C18*'CWK-1 Sch 1'!J18</f>
        <v>11023.700522393154</v>
      </c>
      <c r="I18" s="44">
        <f>+C18*'CWK-1 Sch 1'!K18</f>
        <v>0</v>
      </c>
      <c r="J18" s="151">
        <f t="shared" si="0"/>
        <v>11023.700522393154</v>
      </c>
    </row>
    <row r="19" spans="1:10" ht="12.75">
      <c r="A19" s="25">
        <v>375.0006</v>
      </c>
      <c r="B19" s="33" t="s">
        <v>30</v>
      </c>
      <c r="C19" s="34">
        <f>1046574.3/51944194*C21</f>
        <v>1044050.8975759506</v>
      </c>
      <c r="D19" s="27"/>
      <c r="E19" s="27"/>
      <c r="F19" s="44">
        <f>+C19*'CWK-1 Sch 1'!H19</f>
        <v>22434.776618903743</v>
      </c>
      <c r="G19" s="27"/>
      <c r="H19" s="44">
        <f>+C19*'CWK-1 Sch 1'!J19</f>
        <v>3086.7904837963283</v>
      </c>
      <c r="I19" s="44">
        <f>+C19*'CWK-1 Sch 1'!K19</f>
        <v>0</v>
      </c>
      <c r="J19" s="151">
        <f t="shared" si="0"/>
        <v>3086.7904837963283</v>
      </c>
    </row>
    <row r="20" spans="1:10" ht="12.75">
      <c r="A20" s="25">
        <v>375.0009</v>
      </c>
      <c r="B20" s="33" t="s">
        <v>31</v>
      </c>
      <c r="C20" s="36">
        <f>27213541.49/51944194*C21</f>
        <v>27147926.734733373</v>
      </c>
      <c r="D20" s="37"/>
      <c r="E20" s="37"/>
      <c r="F20" s="93">
        <f>+C20*'CWK-1 Sch 1'!H20</f>
        <v>678698.6300025947</v>
      </c>
      <c r="G20" s="37"/>
      <c r="H20" s="93">
        <f>+C20*'CWK-1 Sch 1'!J20</f>
        <v>602309.9553580662</v>
      </c>
      <c r="I20" s="93">
        <f>+C20*'CWK-1 Sch 1'!K20</f>
        <v>0</v>
      </c>
      <c r="J20" s="93">
        <f t="shared" si="0"/>
        <v>602309.9553580662</v>
      </c>
    </row>
    <row r="21" spans="1:10" ht="12.75">
      <c r="A21" s="25"/>
      <c r="B21" s="32" t="s">
        <v>32</v>
      </c>
      <c r="C21" s="41">
        <v>51818951</v>
      </c>
      <c r="D21" s="42"/>
      <c r="E21" s="42"/>
      <c r="F21" s="41">
        <f>SUM(F14:F20)</f>
        <v>1200394.7248174837</v>
      </c>
      <c r="G21" s="42"/>
      <c r="H21" s="41">
        <f>SUM(H14:H20)</f>
        <v>657594.3623162399</v>
      </c>
      <c r="I21" s="41">
        <f>SUM(I14:I20)</f>
        <v>0</v>
      </c>
      <c r="J21" s="151">
        <f t="shared" si="0"/>
        <v>657594.3623162399</v>
      </c>
    </row>
    <row r="22" spans="1:9" ht="12.75">
      <c r="A22" s="25"/>
      <c r="B22" s="32"/>
      <c r="C22" s="44"/>
      <c r="D22" s="27"/>
      <c r="E22" s="27"/>
      <c r="F22" s="44"/>
      <c r="G22" s="27"/>
      <c r="H22" s="44"/>
      <c r="I22" s="44"/>
    </row>
    <row r="23" spans="1:10" ht="12.75">
      <c r="A23" s="25">
        <v>376</v>
      </c>
      <c r="B23" s="17" t="s">
        <v>33</v>
      </c>
      <c r="C23" s="34">
        <v>530311445</v>
      </c>
      <c r="D23" s="27"/>
      <c r="E23" s="27"/>
      <c r="F23" s="44">
        <f>+C23*'CWK-1 Sch 1'!H23</f>
        <v>12356256.6685</v>
      </c>
      <c r="G23" s="27"/>
      <c r="H23" s="44">
        <f>+C23*'CWK-1 Sch 1'!J23</f>
        <v>8073822.26339844</v>
      </c>
      <c r="I23" s="44">
        <f>+C23*'CWK-1 Sch 1'!K23</f>
        <v>2828327.7066666665</v>
      </c>
      <c r="J23" s="151">
        <f t="shared" si="0"/>
        <v>10902149.970065106</v>
      </c>
    </row>
    <row r="24" spans="1:10" ht="12.75">
      <c r="A24" s="25">
        <v>377</v>
      </c>
      <c r="B24" s="17" t="s">
        <v>34</v>
      </c>
      <c r="C24" s="34">
        <v>4239504</v>
      </c>
      <c r="D24" s="27"/>
      <c r="E24" s="27"/>
      <c r="F24" s="44">
        <f>+C24*'CWK-1 Sch 1'!H24</f>
        <v>134816.2272</v>
      </c>
      <c r="G24" s="27"/>
      <c r="H24" s="44">
        <f>+C24*'CWK-1 Sch 1'!J24</f>
        <v>100908.01683657253</v>
      </c>
      <c r="I24" s="44">
        <f>+C24*'CWK-1 Sch 1'!K24</f>
        <v>3854.0945454545454</v>
      </c>
      <c r="J24" s="151">
        <f t="shared" si="0"/>
        <v>104762.11138202707</v>
      </c>
    </row>
    <row r="25" spans="1:10" ht="12.75">
      <c r="A25" s="25">
        <v>378</v>
      </c>
      <c r="B25" s="17" t="s">
        <v>35</v>
      </c>
      <c r="C25" s="34">
        <v>23990505</v>
      </c>
      <c r="D25" s="27"/>
      <c r="E25" s="27"/>
      <c r="F25" s="44">
        <f>+C25*'CWK-1 Sch 1'!H25</f>
        <v>952423.0485</v>
      </c>
      <c r="G25" s="27"/>
      <c r="H25" s="44">
        <f>+C25*'CWK-1 Sch 1'!J25</f>
        <v>646161.1229665761</v>
      </c>
      <c r="I25" s="44">
        <f>+C25*'CWK-1 Sch 1'!K25</f>
        <v>204624.89558823526</v>
      </c>
      <c r="J25" s="151">
        <f t="shared" si="0"/>
        <v>850786.0185548114</v>
      </c>
    </row>
    <row r="26" spans="1:10" ht="12.75">
      <c r="A26" s="25">
        <v>380</v>
      </c>
      <c r="B26" s="17" t="s">
        <v>36</v>
      </c>
      <c r="C26" s="34">
        <v>255164904</v>
      </c>
      <c r="D26" s="27"/>
      <c r="E26" s="27"/>
      <c r="F26" s="44">
        <f>+C26*'CWK-1 Sch 1'!H26</f>
        <v>10334178.612</v>
      </c>
      <c r="G26" s="27"/>
      <c r="H26" s="44">
        <f>+C26*'CWK-1 Sch 1'!J26</f>
        <v>4400386.174946105</v>
      </c>
      <c r="I26" s="44">
        <f>+C26*'CWK-1 Sch 1'!K26</f>
        <v>3104506.332000001</v>
      </c>
      <c r="J26" s="151">
        <f t="shared" si="0"/>
        <v>7504892.5069461055</v>
      </c>
    </row>
    <row r="27" spans="1:10" ht="12.75">
      <c r="A27" s="25">
        <v>381.01</v>
      </c>
      <c r="B27" s="17" t="s">
        <v>37</v>
      </c>
      <c r="C27" s="34">
        <f>50322843.37/93775022*180626225</f>
        <v>96930131.66330558</v>
      </c>
      <c r="D27" s="27"/>
      <c r="E27" s="27"/>
      <c r="F27" s="44">
        <f>+C27*'CWK-1 Sch 1'!H27</f>
        <v>3460404.7212926806</v>
      </c>
      <c r="G27" s="27"/>
      <c r="H27" s="44">
        <f>+C27*'CWK-1 Sch 1'!J27</f>
        <v>2447574.6288421866</v>
      </c>
      <c r="I27" s="44">
        <f>+C27*'CWK-1 Sch 1'!K27</f>
        <v>0</v>
      </c>
      <c r="J27" s="151">
        <f t="shared" si="0"/>
        <v>2447574.6288421866</v>
      </c>
    </row>
    <row r="28" spans="1:10" ht="12.75">
      <c r="A28" s="25">
        <v>381.11</v>
      </c>
      <c r="B28" s="17" t="s">
        <v>38</v>
      </c>
      <c r="C28" s="34">
        <f>135117/93775022*180626225</f>
        <v>260257.72239568227</v>
      </c>
      <c r="D28" s="27"/>
      <c r="E28" s="27"/>
      <c r="F28" s="44">
        <f>+C28*'CWK-1 Sch 1'!H28</f>
        <v>9865.820393515874</v>
      </c>
      <c r="G28" s="27"/>
      <c r="H28" s="44">
        <f>+C28*'CWK-1 Sch 1'!J28</f>
        <v>4155.31280752087</v>
      </c>
      <c r="I28" s="44">
        <f>+C28*'CWK-1 Sch 1'!K28</f>
        <v>0</v>
      </c>
      <c r="J28" s="151">
        <f t="shared" si="0"/>
        <v>4155.31280752087</v>
      </c>
    </row>
    <row r="29" spans="1:10" ht="12.75">
      <c r="A29" s="25">
        <v>381.21</v>
      </c>
      <c r="B29" s="17" t="s">
        <v>39</v>
      </c>
      <c r="C29" s="34">
        <f>43317061.69/93775022*180626225</f>
        <v>83435835.72986867</v>
      </c>
      <c r="D29" s="27"/>
      <c r="E29" s="27"/>
      <c r="F29" s="44">
        <f>+C29*'CWK-1 Sch 1'!H29</f>
        <v>6950204.656374008</v>
      </c>
      <c r="G29" s="27"/>
      <c r="H29" s="44">
        <f>+C29*'CWK-1 Sch 1'!J29</f>
        <v>5156309.601508525</v>
      </c>
      <c r="I29" s="44">
        <f>+C29*'CWK-1 Sch 1'!K29</f>
        <v>0</v>
      </c>
      <c r="J29" s="151">
        <f t="shared" si="0"/>
        <v>5156309.601508525</v>
      </c>
    </row>
    <row r="30" spans="1:10" ht="12.75">
      <c r="A30" s="25">
        <v>382</v>
      </c>
      <c r="B30" s="17" t="s">
        <v>40</v>
      </c>
      <c r="C30" s="34">
        <f>180626225/93775022*74509361</f>
        <v>143517370.8046928</v>
      </c>
      <c r="D30" s="27"/>
      <c r="E30" s="27"/>
      <c r="F30" s="44">
        <f>+C30*'CWK-1 Sch 1'!H30</f>
        <v>3846265.5375657673</v>
      </c>
      <c r="G30" s="27"/>
      <c r="H30" s="44">
        <f>+C30*'CWK-1 Sch 1'!J30</f>
        <v>1223415.1238391502</v>
      </c>
      <c r="I30" s="44">
        <f>+C30*'CWK-1 Sch 1'!K30</f>
        <v>210025.42068979435</v>
      </c>
      <c r="J30" s="151">
        <f t="shared" si="0"/>
        <v>1433440.5445289444</v>
      </c>
    </row>
    <row r="31" spans="1:10" ht="12.75">
      <c r="A31" s="25">
        <v>383</v>
      </c>
      <c r="B31" s="17" t="s">
        <v>41</v>
      </c>
      <c r="C31" s="34">
        <v>13755245</v>
      </c>
      <c r="D31" s="27"/>
      <c r="E31" s="27"/>
      <c r="F31" s="44">
        <f>+C31*'CWK-1 Sch 1'!H31</f>
        <v>491062.5921838842</v>
      </c>
      <c r="G31" s="27"/>
      <c r="H31" s="44">
        <f>+C31*'CWK-1 Sch 1'!J31</f>
        <v>553113.3426658178</v>
      </c>
      <c r="I31" s="44">
        <f>+C31*'CWK-1 Sch 1'!K31</f>
        <v>0</v>
      </c>
      <c r="J31" s="151">
        <f t="shared" si="0"/>
        <v>553113.3426658178</v>
      </c>
    </row>
    <row r="32" spans="1:10" ht="12.75">
      <c r="A32" s="25">
        <v>384</v>
      </c>
      <c r="B32" s="17" t="s">
        <v>42</v>
      </c>
      <c r="C32" s="34">
        <f>13755245/12068731*2377367.76</f>
        <v>2709586.9477827614</v>
      </c>
      <c r="D32" s="27"/>
      <c r="E32" s="27"/>
      <c r="F32" s="44">
        <f>+C32*'CWK-1 Sch 1'!H32</f>
        <v>60153.32685847418</v>
      </c>
      <c r="G32" s="27"/>
      <c r="H32" s="44">
        <f>+C32*'CWK-1 Sch 1'!J32</f>
        <v>28037.233412979353</v>
      </c>
      <c r="I32" s="44">
        <f>+C32*'CWK-1 Sch 1'!K32</f>
        <v>0</v>
      </c>
      <c r="J32" s="44">
        <f t="shared" si="0"/>
        <v>28037.233412979353</v>
      </c>
    </row>
    <row r="33" spans="1:10" ht="12.75">
      <c r="A33" s="25">
        <v>387</v>
      </c>
      <c r="B33" s="17" t="s">
        <v>43</v>
      </c>
      <c r="C33" s="34">
        <v>2426717</v>
      </c>
      <c r="D33" s="27"/>
      <c r="E33" s="27"/>
      <c r="F33" s="44">
        <f>+C33*'CWK-1 Sch 1'!H33</f>
        <v>161559.46906955243</v>
      </c>
      <c r="G33" s="27"/>
      <c r="H33" s="44">
        <f>+C33*'CWK-1 Sch 1'!J33</f>
        <v>138343.7634008547</v>
      </c>
      <c r="I33" s="44">
        <f>+C33*'CWK-1 Sch 1'!K33</f>
        <v>0</v>
      </c>
      <c r="J33" s="44">
        <f t="shared" si="0"/>
        <v>138343.7634008547</v>
      </c>
    </row>
    <row r="34" spans="1:9" ht="12.75">
      <c r="A34" s="25"/>
      <c r="B34" s="25"/>
      <c r="C34" s="44"/>
      <c r="D34" s="27"/>
      <c r="E34" s="27"/>
      <c r="F34" s="44"/>
      <c r="G34" s="27"/>
      <c r="H34" s="44"/>
      <c r="I34" s="44"/>
    </row>
    <row r="35" spans="1:10" ht="12.75">
      <c r="A35" s="21"/>
      <c r="B35" s="21" t="s">
        <v>23</v>
      </c>
      <c r="C35" s="143">
        <f>SUM(C23:C33)+C21+C11</f>
        <v>1209732474.269851</v>
      </c>
      <c r="D35" s="140"/>
      <c r="E35" s="140"/>
      <c r="F35" s="143">
        <f>SUM(F23:F33)+F21+F11</f>
        <v>39973173.424963504</v>
      </c>
      <c r="G35" s="140"/>
      <c r="H35" s="143">
        <f>SUM(H23:H33)+H21+H11</f>
        <v>23444396.173503473</v>
      </c>
      <c r="I35" s="143">
        <f>SUM(I23:I33)+I21+I11</f>
        <v>6351338.449490151</v>
      </c>
      <c r="J35" s="143">
        <f>+H35+I35</f>
        <v>29795734.622993626</v>
      </c>
    </row>
    <row r="36" spans="1:10" ht="12.75">
      <c r="A36" s="25"/>
      <c r="B36" s="25"/>
      <c r="C36" s="49"/>
      <c r="D36" s="27"/>
      <c r="E36" s="27"/>
      <c r="F36" s="44"/>
      <c r="G36" s="27"/>
      <c r="H36" s="44"/>
      <c r="I36" s="44"/>
      <c r="J36" s="22"/>
    </row>
    <row r="37" spans="1:9" ht="12.75">
      <c r="A37" s="25"/>
      <c r="B37" s="25"/>
      <c r="C37" s="44"/>
      <c r="D37" s="27"/>
      <c r="E37" s="27"/>
      <c r="F37" s="54"/>
      <c r="G37" s="27"/>
      <c r="H37" s="54"/>
      <c r="I37" s="54"/>
    </row>
    <row r="38" spans="1:10" ht="12.75">
      <c r="A38" s="25">
        <v>390.01</v>
      </c>
      <c r="B38" s="17" t="s">
        <v>90</v>
      </c>
      <c r="C38" s="26">
        <f>6235274.86/7485592*6405043</f>
        <v>5335209.77300379</v>
      </c>
      <c r="D38" s="27"/>
      <c r="E38" s="27"/>
      <c r="F38" s="44">
        <f>+C38*'CWK-1 Sch 1'!H38</f>
        <v>90194.0130626943</v>
      </c>
      <c r="G38" s="27"/>
      <c r="H38" s="44">
        <f>+C38*'CWK-1 Sch 1'!J38</f>
        <v>90194.0130626943</v>
      </c>
      <c r="I38" s="44">
        <f>+C38*'CWK-1 Sch 1'!K38</f>
        <v>0</v>
      </c>
      <c r="J38" s="153">
        <f aca="true" t="shared" si="1" ref="J38:J60">+H38+I38</f>
        <v>90194.0130626943</v>
      </c>
    </row>
    <row r="39" spans="1:10" ht="12.75">
      <c r="A39" s="25">
        <v>390.41</v>
      </c>
      <c r="B39" s="17" t="s">
        <v>91</v>
      </c>
      <c r="C39" s="26">
        <f>1250317.56/7485592*6405043</f>
        <v>1069833.5863689978</v>
      </c>
      <c r="D39" s="27"/>
      <c r="E39" s="27"/>
      <c r="F39" s="44">
        <f>+C39*'CWK-1 Sch 1'!H39</f>
        <v>20651.956164322073</v>
      </c>
      <c r="G39" s="27"/>
      <c r="H39" s="44">
        <f>+C39*'CWK-1 Sch 1'!J39</f>
        <v>20651.956164322073</v>
      </c>
      <c r="I39" s="44">
        <f>+C39*'CWK-1 Sch 1'!K39</f>
        <v>0</v>
      </c>
      <c r="J39" s="153">
        <f t="shared" si="1"/>
        <v>20651.956164322073</v>
      </c>
    </row>
    <row r="40" spans="1:10" ht="12.75">
      <c r="A40" s="25">
        <v>391.01</v>
      </c>
      <c r="B40" s="17" t="s">
        <v>92</v>
      </c>
      <c r="C40" s="26">
        <f>4759515.87/77564539*(24643410/(24643410+317393)*58218588+24643410)</f>
        <v>5039153.059924667</v>
      </c>
      <c r="D40" s="27"/>
      <c r="E40" s="27"/>
      <c r="F40" s="44">
        <f>+C40*'CWK-1 Sch 1'!H40</f>
        <v>189879.99029953216</v>
      </c>
      <c r="G40" s="27"/>
      <c r="H40" s="44">
        <f>+C40*'CWK-1 Sch 1'!J40</f>
        <v>189879.99029953216</v>
      </c>
      <c r="I40" s="44">
        <f>+C40*'CWK-1 Sch 1'!K40</f>
        <v>0</v>
      </c>
      <c r="J40" s="153">
        <f t="shared" si="1"/>
        <v>189879.99029953216</v>
      </c>
    </row>
    <row r="41" spans="1:10" ht="12.75">
      <c r="A41" s="25">
        <v>391.02</v>
      </c>
      <c r="B41" s="17" t="s">
        <v>93</v>
      </c>
      <c r="C41" s="26">
        <f>5853013.7/77564539*(24643410/(24643410+317393)*58218588+24643410)</f>
        <v>6196897.479015234</v>
      </c>
      <c r="D41" s="27"/>
      <c r="E41" s="27"/>
      <c r="F41" s="44">
        <f>+C41*'CWK-1 Sch 1'!H41</f>
        <v>3756.4566533555267</v>
      </c>
      <c r="G41" s="27"/>
      <c r="H41" s="44">
        <f>+C41*'CWK-1 Sch 1'!J41</f>
        <v>3756.4566533555267</v>
      </c>
      <c r="I41" s="44">
        <f>+C41*'CWK-1 Sch 1'!K41</f>
        <v>0</v>
      </c>
      <c r="J41" s="153">
        <f t="shared" si="1"/>
        <v>3756.4566533555267</v>
      </c>
    </row>
    <row r="42" spans="1:10" ht="12.75">
      <c r="A42" s="25">
        <v>391.03</v>
      </c>
      <c r="B42" s="17" t="s">
        <v>94</v>
      </c>
      <c r="C42" s="26">
        <f>5573733.16/77564539*(24643410/(24643410+317393)*58218588+24643410)</f>
        <v>5901208.289997273</v>
      </c>
      <c r="D42" s="27"/>
      <c r="E42" s="27"/>
      <c r="F42" s="44">
        <f>+C42*'CWK-1 Sch 1'!H42</f>
        <v>586763.187768585</v>
      </c>
      <c r="G42" s="27"/>
      <c r="H42" s="44">
        <f>+C42*'CWK-1 Sch 1'!J42</f>
        <v>586763.187768585</v>
      </c>
      <c r="I42" s="44">
        <f>+C42*'CWK-1 Sch 1'!K42</f>
        <v>0</v>
      </c>
      <c r="J42" s="153">
        <f t="shared" si="1"/>
        <v>586763.187768585</v>
      </c>
    </row>
    <row r="43" spans="1:10" ht="12.75">
      <c r="A43" s="25">
        <v>391.04</v>
      </c>
      <c r="B43" s="17" t="s">
        <v>95</v>
      </c>
      <c r="C43" s="26">
        <f>61378276.13/77564539*(24643410/(24643410+317393)*58218588+24643410)</f>
        <v>64984451.44871229</v>
      </c>
      <c r="D43" s="27"/>
      <c r="E43" s="27"/>
      <c r="F43" s="44">
        <f>+C43*'CWK-1 Sch 1'!H43</f>
        <v>4288424.06488555</v>
      </c>
      <c r="G43" s="27"/>
      <c r="H43" s="44">
        <f>+C43*'CWK-1 Sch 1'!J43</f>
        <v>5717898.753180734</v>
      </c>
      <c r="I43" s="44">
        <f>+C43*'CWK-1 Sch 1'!K43</f>
        <v>0</v>
      </c>
      <c r="J43" s="153">
        <f t="shared" si="1"/>
        <v>5717898.753180734</v>
      </c>
    </row>
    <row r="44" spans="1:10" ht="12.75">
      <c r="A44" s="25">
        <v>392.01</v>
      </c>
      <c r="B44" s="17" t="s">
        <v>96</v>
      </c>
      <c r="C44" s="26">
        <f>24958354.75/26973930*26749341</f>
        <v>24750547.73281905</v>
      </c>
      <c r="D44" s="27"/>
      <c r="E44" s="27"/>
      <c r="F44" s="44">
        <f>+C44*'CWK-1 Sch 1'!H44</f>
        <v>1052647.9078401257</v>
      </c>
      <c r="G44" s="27"/>
      <c r="H44" s="44">
        <f>+C44*'CWK-1 Sch 1'!J44</f>
        <v>1052647.9078401257</v>
      </c>
      <c r="I44" s="44">
        <f>+C44*'CWK-1 Sch 1'!K44</f>
        <v>0</v>
      </c>
      <c r="J44" s="153">
        <f t="shared" si="1"/>
        <v>1052647.9078401257</v>
      </c>
    </row>
    <row r="45" spans="1:10" ht="12.75">
      <c r="A45" s="25">
        <v>392.02</v>
      </c>
      <c r="B45" s="17" t="s">
        <v>97</v>
      </c>
      <c r="C45" s="26">
        <f>2015575.26/26973930*26749341</f>
        <v>1998793.2770976888</v>
      </c>
      <c r="D45" s="27"/>
      <c r="E45" s="27"/>
      <c r="F45" s="44">
        <f>+C45*'CWK-1 Sch 1'!H45</f>
        <v>35185.579855104545</v>
      </c>
      <c r="G45" s="27"/>
      <c r="H45" s="44">
        <f>+C45*'CWK-1 Sch 1'!J45</f>
        <v>35185.579855104545</v>
      </c>
      <c r="I45" s="44">
        <f>+C45*'CWK-1 Sch 1'!K45</f>
        <v>0</v>
      </c>
      <c r="J45" s="153">
        <f t="shared" si="1"/>
        <v>35185.579855104545</v>
      </c>
    </row>
    <row r="46" spans="1:10" ht="12.75">
      <c r="A46" s="25">
        <v>393</v>
      </c>
      <c r="B46" s="17" t="s">
        <v>98</v>
      </c>
      <c r="C46" s="26">
        <v>633706</v>
      </c>
      <c r="D46" s="27"/>
      <c r="E46" s="27"/>
      <c r="F46" s="44">
        <f>+C46*'CWK-1 Sch 1'!H46</f>
        <v>0</v>
      </c>
      <c r="G46" s="27"/>
      <c r="H46" s="44">
        <f>+C46*'CWK-1 Sch 1'!J46</f>
        <v>0</v>
      </c>
      <c r="I46" s="44">
        <f>+C46*'CWK-1 Sch 1'!K46</f>
        <v>0</v>
      </c>
      <c r="J46" s="153">
        <f t="shared" si="1"/>
        <v>0</v>
      </c>
    </row>
    <row r="47" spans="1:10" ht="12.75">
      <c r="A47" s="25">
        <v>394.1</v>
      </c>
      <c r="B47" s="17" t="s">
        <v>99</v>
      </c>
      <c r="C47" s="26">
        <f>8160854.59/20281079*19394602</f>
        <v>7804147.242507323</v>
      </c>
      <c r="D47" s="27"/>
      <c r="E47" s="27"/>
      <c r="F47" s="44">
        <f>+C47*'CWK-1 Sch 1'!H47</f>
        <v>148073.9246114075</v>
      </c>
      <c r="G47" s="27"/>
      <c r="H47" s="44">
        <f>+C47*'CWK-1 Sch 1'!J47</f>
        <v>148073.9246114075</v>
      </c>
      <c r="I47" s="44">
        <f>+C47*'CWK-1 Sch 1'!K47</f>
        <v>0</v>
      </c>
      <c r="J47" s="153">
        <f t="shared" si="1"/>
        <v>148073.9246114075</v>
      </c>
    </row>
    <row r="48" spans="1:10" ht="12.75">
      <c r="A48" s="25">
        <v>394.2</v>
      </c>
      <c r="B48" s="17" t="s">
        <v>100</v>
      </c>
      <c r="C48" s="26">
        <f>2536979.45/20281079*19394602</f>
        <v>2426089.1994419484</v>
      </c>
      <c r="D48" s="27"/>
      <c r="E48" s="27"/>
      <c r="F48" s="44">
        <f>+C48*'CWK-1 Sch 1'!H48</f>
        <v>16475.928024243683</v>
      </c>
      <c r="G48" s="27"/>
      <c r="H48" s="44">
        <f>+C48*'CWK-1 Sch 1'!J48</f>
        <v>16475.928024243683</v>
      </c>
      <c r="I48" s="44">
        <f>+C48*'CWK-1 Sch 1'!K48</f>
        <v>0</v>
      </c>
      <c r="J48" s="153">
        <f t="shared" si="1"/>
        <v>16475.928024243683</v>
      </c>
    </row>
    <row r="49" spans="1:10" ht="12.75">
      <c r="A49" s="25">
        <v>394.4</v>
      </c>
      <c r="B49" s="17" t="s">
        <v>101</v>
      </c>
      <c r="C49" s="26">
        <f>9583245.13/20281079*19394602</f>
        <v>9164365.720620105</v>
      </c>
      <c r="D49" s="27"/>
      <c r="E49" s="27"/>
      <c r="F49" s="44">
        <f>+C49*'CWK-1 Sch 1'!H49</f>
        <v>1073.9141663024932</v>
      </c>
      <c r="G49" s="27"/>
      <c r="H49" s="44">
        <f>+C49*'CWK-1 Sch 1'!J49</f>
        <v>1073.9141663024932</v>
      </c>
      <c r="I49" s="44">
        <f>+C49*'CWK-1 Sch 1'!K49</f>
        <v>0</v>
      </c>
      <c r="J49" s="153">
        <f t="shared" si="1"/>
        <v>1073.9141663024932</v>
      </c>
    </row>
    <row r="50" spans="1:10" ht="12.75">
      <c r="A50" s="25">
        <v>395</v>
      </c>
      <c r="B50" s="17" t="s">
        <v>102</v>
      </c>
      <c r="C50" s="26">
        <v>524553</v>
      </c>
      <c r="D50" s="27"/>
      <c r="E50" s="27"/>
      <c r="F50" s="44">
        <f>+C50*'CWK-1 Sch 1'!H50</f>
        <v>-8.998456093000383</v>
      </c>
      <c r="G50" s="27"/>
      <c r="H50" s="44">
        <f>+C50*'CWK-1 Sch 1'!J50</f>
        <v>-8.998456093000383</v>
      </c>
      <c r="I50" s="44">
        <f>+C50*'CWK-1 Sch 1'!K50</f>
        <v>0</v>
      </c>
      <c r="J50" s="153">
        <f t="shared" si="1"/>
        <v>-8.998456093000383</v>
      </c>
    </row>
    <row r="51" spans="1:10" ht="12.75">
      <c r="A51" s="25">
        <v>396</v>
      </c>
      <c r="B51" s="17" t="s">
        <v>103</v>
      </c>
      <c r="C51" s="26">
        <v>6328389</v>
      </c>
      <c r="D51" s="27"/>
      <c r="E51" s="27"/>
      <c r="F51" s="44">
        <f>+C51*'CWK-1 Sch 1'!H51</f>
        <v>249041.3996960049</v>
      </c>
      <c r="G51" s="27"/>
      <c r="H51" s="44">
        <f>+C51*'CWK-1 Sch 1'!J51</f>
        <v>249041.3996960049</v>
      </c>
      <c r="I51" s="44">
        <f>+C51*'CWK-1 Sch 1'!K51</f>
        <v>0</v>
      </c>
      <c r="J51" s="153">
        <f t="shared" si="1"/>
        <v>249041.3996960049</v>
      </c>
    </row>
    <row r="52" spans="1:10" ht="12.75">
      <c r="A52" s="25">
        <v>397.1</v>
      </c>
      <c r="B52" s="17" t="s">
        <v>104</v>
      </c>
      <c r="C52" s="26">
        <f>2806397.73/19689242*15938203</f>
        <v>2271744.982334982</v>
      </c>
      <c r="D52" s="27"/>
      <c r="E52" s="27"/>
      <c r="F52" s="44">
        <f>+C52*'CWK-1 Sch 1'!H52</f>
        <v>3893.6367601149905</v>
      </c>
      <c r="G52" s="27"/>
      <c r="H52" s="44">
        <f>+C52*'CWK-1 Sch 1'!J52</f>
        <v>3893.6367601149905</v>
      </c>
      <c r="I52" s="44">
        <f>+C52*'CWK-1 Sch 1'!K52</f>
        <v>0</v>
      </c>
      <c r="J52" s="153">
        <f t="shared" si="1"/>
        <v>3893.6367601149905</v>
      </c>
    </row>
    <row r="53" spans="1:10" ht="12.75">
      <c r="A53" s="25">
        <v>397.3</v>
      </c>
      <c r="B53" s="17" t="s">
        <v>105</v>
      </c>
      <c r="C53" s="26">
        <f>15991403.72/19689242*15938203</f>
        <v>12944847.686077258</v>
      </c>
      <c r="D53" s="27"/>
      <c r="E53" s="27"/>
      <c r="F53" s="44">
        <f>+C53*'CWK-1 Sch 1'!H53</f>
        <v>-7740.323222498865</v>
      </c>
      <c r="G53" s="27"/>
      <c r="H53" s="44">
        <f>+C53*'CWK-1 Sch 1'!J53</f>
        <v>-7740.323222498865</v>
      </c>
      <c r="I53" s="44">
        <f>+C53*'CWK-1 Sch 1'!K53</f>
        <v>0</v>
      </c>
      <c r="J53" s="153">
        <f t="shared" si="1"/>
        <v>-7740.323222498865</v>
      </c>
    </row>
    <row r="54" spans="1:10" ht="12.75">
      <c r="A54" s="25">
        <v>397.4</v>
      </c>
      <c r="B54" s="17" t="s">
        <v>106</v>
      </c>
      <c r="C54" s="26">
        <f>839376.24/13755245*15938203</f>
        <v>972585.2870302724</v>
      </c>
      <c r="D54" s="27"/>
      <c r="E54" s="27"/>
      <c r="F54" s="44">
        <f>+C54*'CWK-1 Sch 1'!H54</f>
        <v>51373.28389359841</v>
      </c>
      <c r="G54" s="27"/>
      <c r="H54" s="44">
        <f>+C54*'CWK-1 Sch 1'!J54</f>
        <v>51373.28389359841</v>
      </c>
      <c r="I54" s="44">
        <f>+C54*'CWK-1 Sch 1'!K54</f>
        <v>0</v>
      </c>
      <c r="J54" s="153">
        <f t="shared" si="1"/>
        <v>51373.28389359841</v>
      </c>
    </row>
    <row r="55" spans="1:10" ht="12.75">
      <c r="A55" s="25">
        <v>397.5</v>
      </c>
      <c r="B55" s="17" t="s">
        <v>107</v>
      </c>
      <c r="C55" s="26">
        <f>52064/13755245*15938203</f>
        <v>60326.55914104038</v>
      </c>
      <c r="D55" s="27"/>
      <c r="E55" s="27"/>
      <c r="F55" s="44">
        <f>+C55*'CWK-1 Sch 1'!H55</f>
        <v>0</v>
      </c>
      <c r="G55" s="27"/>
      <c r="H55" s="44">
        <f>+C55*'CWK-1 Sch 1'!J55</f>
        <v>0</v>
      </c>
      <c r="I55" s="44">
        <f>+C55*'CWK-1 Sch 1'!K55</f>
        <v>0</v>
      </c>
      <c r="J55" s="153">
        <f t="shared" si="1"/>
        <v>0</v>
      </c>
    </row>
    <row r="56" spans="1:10" ht="12.75">
      <c r="A56" s="25">
        <v>398</v>
      </c>
      <c r="B56" s="17" t="s">
        <v>108</v>
      </c>
      <c r="C56" s="130">
        <v>500582</v>
      </c>
      <c r="D56" s="27"/>
      <c r="E56" s="27"/>
      <c r="F56" s="44">
        <f>+C56*'CWK-1 Sch 1'!H56</f>
        <v>8721.41509913163</v>
      </c>
      <c r="G56" s="27"/>
      <c r="H56" s="44">
        <f>+C56*'CWK-1 Sch 1'!J56</f>
        <v>8721.41509913163</v>
      </c>
      <c r="I56" s="44">
        <f>+C56*'CWK-1 Sch 1'!K56</f>
        <v>0</v>
      </c>
      <c r="J56" s="153">
        <f t="shared" si="1"/>
        <v>8721.41509913163</v>
      </c>
    </row>
    <row r="57" spans="1:10" ht="12.75">
      <c r="A57" s="21" t="s">
        <v>44</v>
      </c>
      <c r="B57" s="25"/>
      <c r="C57" s="17"/>
      <c r="D57" s="42"/>
      <c r="E57" s="42"/>
      <c r="F57" s="58"/>
      <c r="G57" s="27"/>
      <c r="H57" s="58"/>
      <c r="I57" s="58"/>
      <c r="J57" s="152"/>
    </row>
    <row r="58" spans="2:10" ht="12.75">
      <c r="B58" s="132" t="s">
        <v>89</v>
      </c>
      <c r="C58" s="133">
        <f>SUM(C38:C56)</f>
        <v>158907431.32409194</v>
      </c>
      <c r="D58" s="37"/>
      <c r="E58" s="37"/>
      <c r="F58" s="139">
        <f>SUM(F38:F56)</f>
        <v>6738407.337101482</v>
      </c>
      <c r="G58" s="140"/>
      <c r="H58" s="139">
        <f>SUM(H38:H56)</f>
        <v>8167882.025396666</v>
      </c>
      <c r="I58" s="139">
        <f>SUM(I38:I56)</f>
        <v>0</v>
      </c>
      <c r="J58" s="143">
        <f t="shared" si="1"/>
        <v>8167882.025396666</v>
      </c>
    </row>
    <row r="59" spans="2:9" ht="12.75">
      <c r="B59" s="124"/>
      <c r="C59" s="17"/>
      <c r="D59" s="42"/>
      <c r="E59" s="42"/>
      <c r="F59" s="58"/>
      <c r="G59" s="27"/>
      <c r="H59" s="58"/>
      <c r="I59" s="58"/>
    </row>
    <row r="60" spans="2:10" ht="13.5" thickBot="1">
      <c r="B60" s="21" t="s">
        <v>118</v>
      </c>
      <c r="C60" s="136">
        <f>C58+C35</f>
        <v>1368639905.5939429</v>
      </c>
      <c r="D60" s="142"/>
      <c r="E60" s="142"/>
      <c r="F60" s="136">
        <f>F58+F35</f>
        <v>46711580.762064986</v>
      </c>
      <c r="G60" s="142"/>
      <c r="H60" s="136">
        <f>H58+H35</f>
        <v>31612278.19890014</v>
      </c>
      <c r="I60" s="136">
        <f>I58+I35</f>
        <v>6351338.449490151</v>
      </c>
      <c r="J60" s="154">
        <f t="shared" si="1"/>
        <v>37963616.64839029</v>
      </c>
    </row>
    <row r="61" spans="1:9" ht="13.5" thickTop="1">
      <c r="A61" s="56" t="s">
        <v>46</v>
      </c>
      <c r="B61" s="3" t="s">
        <v>47</v>
      </c>
      <c r="C61" s="58"/>
      <c r="D61" s="28"/>
      <c r="E61" s="28"/>
      <c r="G61" s="28"/>
      <c r="H61" s="28"/>
      <c r="I61" s="28"/>
    </row>
  </sheetData>
  <mergeCells count="4">
    <mergeCell ref="A1:I1"/>
    <mergeCell ref="A2:I2"/>
    <mergeCell ref="A3:I3"/>
    <mergeCell ref="H5:J5"/>
  </mergeCells>
  <printOptions horizontalCentered="1"/>
  <pageMargins left="0.75" right="0.75" top="1" bottom="1" header="0.5" footer="0.5"/>
  <pageSetup horizontalDpi="300" verticalDpi="300" orientation="landscape" scale="90" r:id="rId1"/>
  <headerFooter alignWithMargins="0">
    <oddHeader>&amp;RExhibit _____(CWK-1)
Schedule 3
</oddHead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 transitionEvaluation="1">
    <pageSetUpPr fitToPage="1"/>
  </sheetPr>
  <dimension ref="A1:P109"/>
  <sheetViews>
    <sheetView zoomScale="70" zoomScaleNormal="70" workbookViewId="0" topLeftCell="A1">
      <selection activeCell="A1" sqref="A1"/>
    </sheetView>
  </sheetViews>
  <sheetFormatPr defaultColWidth="7.28125" defaultRowHeight="12.75"/>
  <cols>
    <col min="1" max="1" width="2.00390625" style="1" customWidth="1"/>
    <col min="2" max="2" width="10.28125" style="16" customWidth="1"/>
    <col min="3" max="3" width="42.421875" style="16" customWidth="1"/>
    <col min="4" max="4" width="16.8515625" style="16" bestFit="1" customWidth="1"/>
    <col min="5" max="6" width="1.57421875" style="16" hidden="1" customWidth="1"/>
    <col min="7" max="7" width="16.8515625" style="16" customWidth="1"/>
    <col min="8" max="8" width="16.8515625" style="115" customWidth="1"/>
    <col min="9" max="9" width="15.00390625" style="67" bestFit="1" customWidth="1"/>
    <col min="10" max="10" width="15.00390625" style="67" customWidth="1"/>
    <col min="11" max="11" width="7.00390625" style="114" customWidth="1"/>
    <col min="12" max="12" width="14.28125" style="114" customWidth="1"/>
    <col min="13" max="13" width="13.140625" style="67" bestFit="1" customWidth="1"/>
    <col min="14" max="14" width="8.57421875" style="67" bestFit="1" customWidth="1"/>
    <col min="15" max="15" width="2.140625" style="0" customWidth="1"/>
    <col min="17" max="16384" width="7.28125" style="1" customWidth="1"/>
  </cols>
  <sheetData>
    <row r="1" spans="2:14" ht="15.75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2:14" ht="15.75"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2:14" ht="15.75">
      <c r="B3" s="165" t="s">
        <v>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2:14" ht="15.75">
      <c r="B4" s="2"/>
      <c r="C4" s="2"/>
      <c r="D4" s="2"/>
      <c r="E4" s="2"/>
      <c r="F4" s="2"/>
      <c r="G4" s="2"/>
      <c r="H4" s="68"/>
      <c r="I4" s="2"/>
      <c r="J4" s="2"/>
      <c r="K4" s="2"/>
      <c r="L4" s="2"/>
      <c r="M4" s="2"/>
      <c r="N4" s="2"/>
    </row>
    <row r="5" spans="2:16" s="7" customFormat="1" ht="15" customHeight="1">
      <c r="B5" s="8"/>
      <c r="C5" s="8"/>
      <c r="D5" s="4" t="s">
        <v>3</v>
      </c>
      <c r="E5" s="4"/>
      <c r="F5" s="4"/>
      <c r="G5" s="69" t="s">
        <v>4</v>
      </c>
      <c r="H5" s="70" t="s">
        <v>5</v>
      </c>
      <c r="I5" s="4" t="s">
        <v>6</v>
      </c>
      <c r="J5" s="4" t="s">
        <v>7</v>
      </c>
      <c r="K5" s="71" t="s">
        <v>8</v>
      </c>
      <c r="L5" s="71" t="s">
        <v>48</v>
      </c>
      <c r="M5" s="10" t="s">
        <v>49</v>
      </c>
      <c r="N5" s="10" t="s">
        <v>64</v>
      </c>
      <c r="O5" s="72"/>
      <c r="P5" s="72"/>
    </row>
    <row r="6" spans="2:14" ht="15" customHeight="1">
      <c r="B6" s="8"/>
      <c r="C6" s="3"/>
      <c r="D6" s="73">
        <v>38352</v>
      </c>
      <c r="E6" s="73"/>
      <c r="F6" s="73"/>
      <c r="G6" s="72" t="s">
        <v>50</v>
      </c>
      <c r="H6" s="74" t="s">
        <v>51</v>
      </c>
      <c r="I6" s="5" t="s">
        <v>83</v>
      </c>
      <c r="J6" s="5" t="s">
        <v>85</v>
      </c>
      <c r="K6" s="75" t="s">
        <v>52</v>
      </c>
      <c r="L6" s="75" t="s">
        <v>53</v>
      </c>
      <c r="M6" s="169" t="s">
        <v>54</v>
      </c>
      <c r="N6" s="169"/>
    </row>
    <row r="7" spans="2:14" s="11" customFormat="1" ht="15" customHeight="1">
      <c r="B7" s="12" t="s">
        <v>11</v>
      </c>
      <c r="C7" s="12" t="s">
        <v>12</v>
      </c>
      <c r="D7" s="10" t="s">
        <v>13</v>
      </c>
      <c r="E7" s="10"/>
      <c r="F7" s="10"/>
      <c r="G7" s="77" t="s">
        <v>55</v>
      </c>
      <c r="H7" s="78" t="s">
        <v>56</v>
      </c>
      <c r="I7" s="10" t="s">
        <v>84</v>
      </c>
      <c r="J7" s="10" t="s">
        <v>87</v>
      </c>
      <c r="K7" s="79"/>
      <c r="L7" s="80"/>
      <c r="M7" s="167" t="s">
        <v>57</v>
      </c>
      <c r="N7" s="167"/>
    </row>
    <row r="8" spans="2:14" ht="15" customHeight="1">
      <c r="B8"/>
      <c r="C8" s="59"/>
      <c r="D8" s="4" t="s">
        <v>20</v>
      </c>
      <c r="E8" s="4"/>
      <c r="F8" s="4"/>
      <c r="G8" s="81" t="s">
        <v>58</v>
      </c>
      <c r="H8" s="82"/>
      <c r="I8" s="72" t="s">
        <v>121</v>
      </c>
      <c r="J8" s="72"/>
      <c r="K8" s="76"/>
      <c r="L8" s="4" t="s">
        <v>59</v>
      </c>
      <c r="M8" s="83" t="s">
        <v>60</v>
      </c>
      <c r="N8" s="4" t="s">
        <v>61</v>
      </c>
    </row>
    <row r="9" spans="2:14" ht="15" customHeight="1">
      <c r="B9"/>
      <c r="C9" s="59"/>
      <c r="D9" s="1"/>
      <c r="E9" s="1"/>
      <c r="F9" s="1"/>
      <c r="G9" s="1"/>
      <c r="H9" s="29"/>
      <c r="I9" s="7" t="s">
        <v>86</v>
      </c>
      <c r="J9" s="7" t="s">
        <v>88</v>
      </c>
      <c r="K9" s="1"/>
      <c r="L9" s="1"/>
      <c r="M9" s="1"/>
      <c r="N9" s="1"/>
    </row>
    <row r="10" spans="1:14" ht="15" customHeight="1">
      <c r="A10" s="21" t="s">
        <v>23</v>
      </c>
      <c r="B10"/>
      <c r="C10" s="59"/>
      <c r="D10" s="1"/>
      <c r="E10" s="1"/>
      <c r="F10" s="1"/>
      <c r="G10"/>
      <c r="H10" s="84"/>
      <c r="I10" s="72"/>
      <c r="J10" s="72"/>
      <c r="K10" s="5"/>
      <c r="L10"/>
      <c r="M10" s="5"/>
      <c r="N10" s="4"/>
    </row>
    <row r="11" spans="1:14" ht="15" customHeight="1">
      <c r="A11"/>
      <c r="B11" s="25">
        <v>374.21</v>
      </c>
      <c r="C11" s="59" t="s">
        <v>24</v>
      </c>
      <c r="D11" s="85">
        <v>796984.87</v>
      </c>
      <c r="E11" s="85"/>
      <c r="F11" s="85"/>
      <c r="G11" s="44">
        <f>(D11/K11)*(K11-L11)</f>
        <v>128580.22569333334</v>
      </c>
      <c r="H11" s="86">
        <f>G11/$G$35</f>
        <v>0.0005611560855548254</v>
      </c>
      <c r="I11" s="87">
        <f>H11*$I$35</f>
        <v>173564.6775364008</v>
      </c>
      <c r="J11" s="87">
        <f>+D11-I11</f>
        <v>623420.1924635991</v>
      </c>
      <c r="K11" s="88">
        <v>75</v>
      </c>
      <c r="L11" s="89">
        <v>62.9</v>
      </c>
      <c r="M11" s="90">
        <f>+J11/L11</f>
        <v>9911.290818181227</v>
      </c>
      <c r="N11" s="28">
        <f>M11/D11</f>
        <v>0.012435983656981125</v>
      </c>
    </row>
    <row r="12" spans="1:14" ht="15" customHeight="1">
      <c r="A12"/>
      <c r="B12" s="25"/>
      <c r="C12" s="59"/>
      <c r="D12" s="85"/>
      <c r="E12" s="85"/>
      <c r="F12" s="85"/>
      <c r="G12" s="44"/>
      <c r="H12" s="86"/>
      <c r="I12" s="5"/>
      <c r="J12" s="5"/>
      <c r="K12" s="88"/>
      <c r="L12" s="89"/>
      <c r="M12" s="5"/>
      <c r="N12" s="28"/>
    </row>
    <row r="13" spans="1:14" ht="15" customHeight="1">
      <c r="A13"/>
      <c r="B13" s="25"/>
      <c r="C13" s="59" t="s">
        <v>25</v>
      </c>
      <c r="D13" s="85"/>
      <c r="E13" s="85"/>
      <c r="F13" s="85"/>
      <c r="G13" s="44"/>
      <c r="H13" s="86"/>
      <c r="I13" s="58"/>
      <c r="J13" s="58"/>
      <c r="K13" s="88"/>
      <c r="L13" s="89"/>
      <c r="M13" s="58"/>
      <c r="N13" s="28"/>
    </row>
    <row r="14" spans="1:14" ht="15" customHeight="1">
      <c r="A14"/>
      <c r="B14" s="25">
        <v>375.0001</v>
      </c>
      <c r="C14" s="91" t="s">
        <v>123</v>
      </c>
      <c r="D14" s="44">
        <v>5724183.24</v>
      </c>
      <c r="E14" s="44"/>
      <c r="F14" s="44"/>
      <c r="G14" s="44">
        <f aca="true" t="shared" si="0" ref="G14:G20">(D14/K14)*(K14-L14)</f>
        <v>4421931.5529000005</v>
      </c>
      <c r="H14" s="86">
        <f>G14/$G$35</f>
        <v>0.019298409125015174</v>
      </c>
      <c r="I14" s="87">
        <f>+D14</f>
        <v>5724183.24</v>
      </c>
      <c r="J14" s="87">
        <f aca="true" t="shared" si="1" ref="J14:J20">+D14-I14</f>
        <v>0</v>
      </c>
      <c r="K14" s="92">
        <v>120</v>
      </c>
      <c r="L14" s="89">
        <v>27.3</v>
      </c>
      <c r="M14" s="90">
        <f aca="true" t="shared" si="2" ref="M14:M20">+J14/L14</f>
        <v>0</v>
      </c>
      <c r="N14" s="28">
        <f aca="true" t="shared" si="3" ref="N14:N20">M14/D14</f>
        <v>0</v>
      </c>
    </row>
    <row r="15" spans="1:14" ht="15" customHeight="1">
      <c r="A15"/>
      <c r="B15" s="25">
        <v>375.0002</v>
      </c>
      <c r="C15" s="91" t="s">
        <v>26</v>
      </c>
      <c r="D15" s="44">
        <v>11487530.61</v>
      </c>
      <c r="E15" s="44"/>
      <c r="F15" s="44"/>
      <c r="G15" s="44">
        <f t="shared" si="0"/>
        <v>7170133.689075</v>
      </c>
      <c r="H15" s="86">
        <f>G15/($G$35-724602-382989)</f>
        <v>0.0314442420425485</v>
      </c>
      <c r="I15" s="87">
        <f aca="true" t="shared" si="4" ref="I15:I20">H15*$I$35</f>
        <v>9725653.647853479</v>
      </c>
      <c r="J15" s="87">
        <f t="shared" si="1"/>
        <v>1761876.9621465206</v>
      </c>
      <c r="K15" s="92">
        <v>120</v>
      </c>
      <c r="L15" s="89">
        <v>45.1</v>
      </c>
      <c r="M15" s="90">
        <f t="shared" si="2"/>
        <v>39066.00802985633</v>
      </c>
      <c r="N15" s="28">
        <f t="shared" si="3"/>
        <v>0.0034007315720098294</v>
      </c>
    </row>
    <row r="16" spans="1:14" ht="15" customHeight="1">
      <c r="A16"/>
      <c r="B16" s="25">
        <v>375.0003</v>
      </c>
      <c r="C16" s="91" t="s">
        <v>27</v>
      </c>
      <c r="D16" s="44">
        <v>1457895.17</v>
      </c>
      <c r="E16" s="44"/>
      <c r="F16" s="44"/>
      <c r="G16" s="44">
        <f t="shared" si="0"/>
        <v>1262294.2346916667</v>
      </c>
      <c r="H16" s="86">
        <f>G16/$G$35</f>
        <v>0.00550896599954192</v>
      </c>
      <c r="I16" s="87">
        <f>+D16</f>
        <v>1457895.17</v>
      </c>
      <c r="J16" s="87">
        <f t="shared" si="1"/>
        <v>0</v>
      </c>
      <c r="K16" s="92">
        <v>120</v>
      </c>
      <c r="L16" s="89">
        <v>16.1</v>
      </c>
      <c r="M16" s="90">
        <f t="shared" si="2"/>
        <v>0</v>
      </c>
      <c r="N16" s="28">
        <f t="shared" si="3"/>
        <v>0</v>
      </c>
    </row>
    <row r="17" spans="1:14" ht="15" customHeight="1">
      <c r="A17"/>
      <c r="B17" s="25">
        <v>375.0004</v>
      </c>
      <c r="C17" s="91" t="s">
        <v>28</v>
      </c>
      <c r="D17" s="44">
        <v>746620.65</v>
      </c>
      <c r="E17" s="44"/>
      <c r="F17" s="44"/>
      <c r="G17" s="44">
        <f t="shared" si="0"/>
        <v>480948.13537499995</v>
      </c>
      <c r="H17" s="86">
        <f>G17/($G$35-724602-382989)</f>
        <v>0.0021091726088296775</v>
      </c>
      <c r="I17" s="87">
        <f t="shared" si="4"/>
        <v>652363.7061837871</v>
      </c>
      <c r="J17" s="87">
        <f t="shared" si="1"/>
        <v>94256.94381621294</v>
      </c>
      <c r="K17" s="92">
        <v>120</v>
      </c>
      <c r="L17" s="89">
        <v>42.7</v>
      </c>
      <c r="M17" s="90">
        <f t="shared" si="2"/>
        <v>2207.4225718082653</v>
      </c>
      <c r="N17" s="28">
        <f t="shared" si="3"/>
        <v>0.002956551726513679</v>
      </c>
    </row>
    <row r="18" spans="1:14" ht="15" customHeight="1">
      <c r="A18"/>
      <c r="B18" s="25">
        <v>375.0005</v>
      </c>
      <c r="C18" s="91" t="s">
        <v>29</v>
      </c>
      <c r="D18" s="44">
        <v>4267848.19</v>
      </c>
      <c r="E18" s="44"/>
      <c r="F18" s="44"/>
      <c r="G18" s="44">
        <f t="shared" si="0"/>
        <v>2813223.265241667</v>
      </c>
      <c r="H18" s="86">
        <f>G18/($G$35-724602-382989)</f>
        <v>0.012337241829503397</v>
      </c>
      <c r="I18" s="87">
        <f t="shared" si="4"/>
        <v>3815889.117034524</v>
      </c>
      <c r="J18" s="87">
        <f t="shared" si="1"/>
        <v>451959.0729654762</v>
      </c>
      <c r="K18" s="92">
        <v>120</v>
      </c>
      <c r="L18" s="89">
        <v>40.9</v>
      </c>
      <c r="M18" s="90">
        <f t="shared" si="2"/>
        <v>11050.344082285483</v>
      </c>
      <c r="N18" s="28">
        <f t="shared" si="3"/>
        <v>0.0025892073921883058</v>
      </c>
    </row>
    <row r="19" spans="1:14" ht="15" customHeight="1">
      <c r="A19"/>
      <c r="B19" s="25">
        <v>375.0006</v>
      </c>
      <c r="C19" s="91" t="s">
        <v>30</v>
      </c>
      <c r="D19" s="44">
        <v>1046574.3</v>
      </c>
      <c r="E19" s="44"/>
      <c r="F19" s="44"/>
      <c r="G19" s="44">
        <f t="shared" si="0"/>
        <v>674168.2782500001</v>
      </c>
      <c r="H19" s="86">
        <f>G19/($G$35-724602-382989)</f>
        <v>0.002956529325387791</v>
      </c>
      <c r="I19" s="87">
        <f t="shared" si="4"/>
        <v>914449.7800117139</v>
      </c>
      <c r="J19" s="87">
        <f t="shared" si="1"/>
        <v>132124.5199882862</v>
      </c>
      <c r="K19" s="92">
        <v>120</v>
      </c>
      <c r="L19" s="89">
        <v>42.7</v>
      </c>
      <c r="M19" s="90">
        <f t="shared" si="2"/>
        <v>3094.2510535898405</v>
      </c>
      <c r="N19" s="28">
        <f t="shared" si="3"/>
        <v>0.0029565517265136747</v>
      </c>
    </row>
    <row r="20" spans="1:14" ht="15" customHeight="1">
      <c r="A20"/>
      <c r="B20" s="25">
        <v>375.0009</v>
      </c>
      <c r="C20" s="91" t="s">
        <v>31</v>
      </c>
      <c r="D20" s="93">
        <v>27213541.49</v>
      </c>
      <c r="E20" s="93"/>
      <c r="F20" s="93"/>
      <c r="G20" s="93">
        <f t="shared" si="0"/>
        <v>6531249.9576</v>
      </c>
      <c r="H20" s="159">
        <f>G20/($G$35-724602-382989)</f>
        <v>0.02864245123073197</v>
      </c>
      <c r="I20" s="94">
        <f t="shared" si="4"/>
        <v>8859064.241990438</v>
      </c>
      <c r="J20" s="94">
        <f t="shared" si="1"/>
        <v>18354477.248009562</v>
      </c>
      <c r="K20" s="95">
        <v>40</v>
      </c>
      <c r="L20" s="96">
        <v>30.4</v>
      </c>
      <c r="M20" s="97">
        <f t="shared" si="2"/>
        <v>603765.698947683</v>
      </c>
      <c r="N20" s="38">
        <f t="shared" si="3"/>
        <v>0.022186222957035755</v>
      </c>
    </row>
    <row r="21" spans="1:14" ht="15" customHeight="1">
      <c r="A21"/>
      <c r="B21" s="25"/>
      <c r="C21" s="59" t="s">
        <v>32</v>
      </c>
      <c r="D21" s="41">
        <f>SUM(D14:D20)</f>
        <v>51944193.650000006</v>
      </c>
      <c r="E21" s="41"/>
      <c r="F21" s="41"/>
      <c r="G21" s="41">
        <f>SUM(G11:G20)</f>
        <v>23482529.338826668</v>
      </c>
      <c r="H21" s="98">
        <f>G21/$G$35</f>
        <v>0.10248359863771446</v>
      </c>
      <c r="I21" s="99">
        <f>SUM(I14:I20)</f>
        <v>31149498.903073944</v>
      </c>
      <c r="J21" s="99"/>
      <c r="K21" s="88"/>
      <c r="L21" s="89"/>
      <c r="M21" s="100">
        <f>SUM(M14:M20)</f>
        <v>659183.7246852228</v>
      </c>
      <c r="N21" s="43">
        <f>M21/$D$21</f>
        <v>0.01269022923190998</v>
      </c>
    </row>
    <row r="22" spans="1:14" ht="15" customHeight="1">
      <c r="A22"/>
      <c r="B22" s="25"/>
      <c r="C22" s="59"/>
      <c r="D22" s="44"/>
      <c r="E22" s="44"/>
      <c r="F22" s="44"/>
      <c r="G22" s="44"/>
      <c r="H22" s="86"/>
      <c r="I22" s="58"/>
      <c r="J22" s="58"/>
      <c r="K22" s="88"/>
      <c r="L22" s="89"/>
      <c r="M22" s="90"/>
      <c r="N22" s="28"/>
    </row>
    <row r="23" spans="1:16" ht="15" customHeight="1">
      <c r="A23"/>
      <c r="B23" s="25">
        <v>376</v>
      </c>
      <c r="C23" s="59" t="s">
        <v>33</v>
      </c>
      <c r="D23" s="44">
        <v>518368514.22</v>
      </c>
      <c r="E23" s="44"/>
      <c r="F23" s="44"/>
      <c r="G23" s="44">
        <f aca="true" t="shared" si="5" ref="G23:G33">(D23/K23)*(K23-L23)</f>
        <v>101254649.77763999</v>
      </c>
      <c r="H23" s="86">
        <f aca="true" t="shared" si="6" ref="H23:H33">G23/($G$35-724602-382989)</f>
        <v>0.44404691092340487</v>
      </c>
      <c r="I23" s="87">
        <f aca="true" t="shared" si="7" ref="I23:I33">H23*$I$35</f>
        <v>137342997.58908302</v>
      </c>
      <c r="J23" s="87">
        <f aca="true" t="shared" si="8" ref="J23:J33">+D23-I23</f>
        <v>381025516.630917</v>
      </c>
      <c r="K23" s="101">
        <v>60</v>
      </c>
      <c r="L23" s="102">
        <v>48.28</v>
      </c>
      <c r="M23" s="90">
        <f aca="true" t="shared" si="9" ref="M23:M29">+J23/L23</f>
        <v>7891994.959215348</v>
      </c>
      <c r="N23" s="28">
        <f aca="true" t="shared" si="10" ref="N23:N33">M23/D23</f>
        <v>0.015224680401529784</v>
      </c>
      <c r="P23" s="25"/>
    </row>
    <row r="24" spans="1:16" ht="15" customHeight="1">
      <c r="A24"/>
      <c r="B24" s="25">
        <v>377</v>
      </c>
      <c r="C24" s="59" t="s">
        <v>34</v>
      </c>
      <c r="D24" s="44">
        <v>4004326.5</v>
      </c>
      <c r="E24" s="44"/>
      <c r="F24" s="44"/>
      <c r="G24" s="44">
        <f t="shared" si="5"/>
        <v>1504656.018181818</v>
      </c>
      <c r="H24" s="86">
        <f t="shared" si="6"/>
        <v>0.006598589381753917</v>
      </c>
      <c r="I24" s="87">
        <f t="shared" si="7"/>
        <v>2040933.1159740973</v>
      </c>
      <c r="J24" s="87">
        <f t="shared" si="8"/>
        <v>1963393.3840259027</v>
      </c>
      <c r="K24" s="103">
        <v>33</v>
      </c>
      <c r="L24" s="102">
        <v>20.6</v>
      </c>
      <c r="M24" s="90">
        <f t="shared" si="9"/>
        <v>95310.35844785935</v>
      </c>
      <c r="N24" s="28">
        <f t="shared" si="10"/>
        <v>0.023801844941430065</v>
      </c>
      <c r="P24" s="25"/>
    </row>
    <row r="25" spans="1:16" ht="15" customHeight="1">
      <c r="A25"/>
      <c r="B25" s="25">
        <v>378</v>
      </c>
      <c r="C25" s="59" t="s">
        <v>35</v>
      </c>
      <c r="D25" s="44">
        <v>24137813.02</v>
      </c>
      <c r="E25" s="44"/>
      <c r="F25" s="44"/>
      <c r="G25" s="44">
        <f t="shared" si="5"/>
        <v>4614581.900882353</v>
      </c>
      <c r="H25" s="86">
        <f t="shared" si="6"/>
        <v>0.02023700484658989</v>
      </c>
      <c r="I25" s="87">
        <f t="shared" si="7"/>
        <v>6259273.152189289</v>
      </c>
      <c r="J25" s="87">
        <f t="shared" si="8"/>
        <v>17878539.86781071</v>
      </c>
      <c r="K25" s="103">
        <v>34</v>
      </c>
      <c r="L25" s="102">
        <v>27.5</v>
      </c>
      <c r="M25" s="90">
        <f t="shared" si="9"/>
        <v>650128.722465844</v>
      </c>
      <c r="N25" s="28">
        <f t="shared" si="10"/>
        <v>0.026934035901560894</v>
      </c>
      <c r="P25" s="25"/>
    </row>
    <row r="26" spans="1:16" ht="15" customHeight="1">
      <c r="A26"/>
      <c r="B26" s="25">
        <v>380</v>
      </c>
      <c r="C26" s="59" t="s">
        <v>36</v>
      </c>
      <c r="D26" s="44">
        <v>258828009.8</v>
      </c>
      <c r="E26" s="44"/>
      <c r="F26" s="44"/>
      <c r="G26" s="44">
        <f t="shared" si="5"/>
        <v>58136752.97046154</v>
      </c>
      <c r="H26" s="86">
        <f t="shared" si="6"/>
        <v>0.2549556551165055</v>
      </c>
      <c r="I26" s="87">
        <f t="shared" si="7"/>
        <v>78857375.34615883</v>
      </c>
      <c r="J26" s="87">
        <f t="shared" si="8"/>
        <v>179970634.45384118</v>
      </c>
      <c r="K26" s="103">
        <v>52</v>
      </c>
      <c r="L26" s="102">
        <v>40.32</v>
      </c>
      <c r="M26" s="90">
        <f t="shared" si="9"/>
        <v>4463557.402128997</v>
      </c>
      <c r="N26" s="28">
        <f t="shared" si="10"/>
        <v>0.017245264164330785</v>
      </c>
      <c r="P26" s="25"/>
    </row>
    <row r="27" spans="1:16" ht="15" customHeight="1">
      <c r="A27"/>
      <c r="B27" s="25">
        <v>381.01</v>
      </c>
      <c r="C27" s="59" t="s">
        <v>37</v>
      </c>
      <c r="D27" s="44">
        <v>50322843.37</v>
      </c>
      <c r="E27" s="44"/>
      <c r="F27" s="44"/>
      <c r="G27" s="44">
        <f t="shared" si="5"/>
        <v>10232311.485233333</v>
      </c>
      <c r="H27" s="86">
        <f t="shared" si="6"/>
        <v>0.044873260799399906</v>
      </c>
      <c r="I27" s="87">
        <f t="shared" si="7"/>
        <v>13879227.6180238</v>
      </c>
      <c r="J27" s="87">
        <f t="shared" si="8"/>
        <v>36443615.7519762</v>
      </c>
      <c r="K27" s="101">
        <v>36</v>
      </c>
      <c r="L27" s="102">
        <v>28.68</v>
      </c>
      <c r="M27" s="90">
        <f t="shared" si="9"/>
        <v>1270697.89930182</v>
      </c>
      <c r="N27" s="28">
        <f t="shared" si="10"/>
        <v>0.02525091616860719</v>
      </c>
      <c r="P27" s="25"/>
    </row>
    <row r="28" spans="1:14" ht="15" customHeight="1">
      <c r="A28"/>
      <c r="B28" s="25">
        <v>381.11</v>
      </c>
      <c r="C28" s="59" t="s">
        <v>38</v>
      </c>
      <c r="D28" s="44">
        <v>135117</v>
      </c>
      <c r="E28" s="44"/>
      <c r="F28" s="44"/>
      <c r="G28" s="44">
        <f t="shared" si="5"/>
        <v>74739.00342857144</v>
      </c>
      <c r="H28" s="86">
        <f t="shared" si="6"/>
        <v>0.0003277639463553773</v>
      </c>
      <c r="I28" s="87">
        <f t="shared" si="7"/>
        <v>101376.86308967456</v>
      </c>
      <c r="J28" s="87">
        <f t="shared" si="8"/>
        <v>33740.13691032544</v>
      </c>
      <c r="K28" s="88">
        <v>35</v>
      </c>
      <c r="L28" s="102">
        <v>15.64</v>
      </c>
      <c r="M28" s="90">
        <f t="shared" si="9"/>
        <v>2157.29775641467</v>
      </c>
      <c r="N28" s="28">
        <f t="shared" si="10"/>
        <v>0.01596614605426904</v>
      </c>
    </row>
    <row r="29" spans="1:14" ht="15" customHeight="1">
      <c r="A29"/>
      <c r="B29" s="25">
        <v>381.21</v>
      </c>
      <c r="C29" s="59" t="s">
        <v>39</v>
      </c>
      <c r="D29" s="44">
        <v>43317061.69</v>
      </c>
      <c r="E29" s="44"/>
      <c r="F29" s="44"/>
      <c r="G29" s="44">
        <f t="shared" si="5"/>
        <v>7364277.593007167</v>
      </c>
      <c r="H29" s="86">
        <f t="shared" si="6"/>
        <v>0.03229564986436219</v>
      </c>
      <c r="I29" s="87">
        <f t="shared" si="7"/>
        <v>9988992.722041644</v>
      </c>
      <c r="J29" s="87">
        <f t="shared" si="8"/>
        <v>33328068.967958353</v>
      </c>
      <c r="K29" s="104">
        <v>15</v>
      </c>
      <c r="L29" s="102">
        <v>12.449869414374225</v>
      </c>
      <c r="M29" s="90">
        <f t="shared" si="9"/>
        <v>2676981.409096454</v>
      </c>
      <c r="N29" s="28">
        <f t="shared" si="10"/>
        <v>0.06179969981007394</v>
      </c>
    </row>
    <row r="30" spans="1:14" ht="15" customHeight="1">
      <c r="A30"/>
      <c r="B30" s="25">
        <v>382</v>
      </c>
      <c r="C30" s="59" t="s">
        <v>40</v>
      </c>
      <c r="D30" s="44">
        <v>74509361.12</v>
      </c>
      <c r="E30" s="44"/>
      <c r="F30" s="44"/>
      <c r="G30" s="44">
        <f t="shared" si="5"/>
        <v>15265332.52214634</v>
      </c>
      <c r="H30" s="86">
        <f t="shared" si="6"/>
        <v>0.06694530834449214</v>
      </c>
      <c r="I30" s="87">
        <f t="shared" si="7"/>
        <v>20706076.534656916</v>
      </c>
      <c r="J30" s="87">
        <f t="shared" si="8"/>
        <v>53803284.58534309</v>
      </c>
      <c r="K30" s="103">
        <v>41</v>
      </c>
      <c r="L30" s="102">
        <v>32.6</v>
      </c>
      <c r="M30" s="90">
        <f>I30/L30</f>
        <v>635155.7219219912</v>
      </c>
      <c r="N30" s="28">
        <f t="shared" si="10"/>
        <v>0.008524509033154238</v>
      </c>
    </row>
    <row r="31" spans="1:14" ht="15" customHeight="1">
      <c r="A31"/>
      <c r="B31" s="25">
        <v>383</v>
      </c>
      <c r="C31" s="59" t="s">
        <v>41</v>
      </c>
      <c r="D31" s="44">
        <v>12068731</v>
      </c>
      <c r="E31" s="44"/>
      <c r="F31" s="44"/>
      <c r="G31" s="44">
        <f t="shared" si="5"/>
        <v>5474031.560714286</v>
      </c>
      <c r="H31" s="86">
        <f t="shared" si="6"/>
        <v>0.02400607587079107</v>
      </c>
      <c r="I31" s="87">
        <f t="shared" si="7"/>
        <v>7425040.776860903</v>
      </c>
      <c r="J31" s="87">
        <f t="shared" si="8"/>
        <v>4643690.223139097</v>
      </c>
      <c r="K31" s="103">
        <v>28</v>
      </c>
      <c r="L31" s="102">
        <v>15.3</v>
      </c>
      <c r="M31" s="90">
        <f>I31/L31</f>
        <v>485296.7828013662</v>
      </c>
      <c r="N31" s="28">
        <f t="shared" si="10"/>
        <v>0.04021108621953428</v>
      </c>
    </row>
    <row r="32" spans="1:14" ht="15" customHeight="1">
      <c r="A32"/>
      <c r="B32" s="25">
        <v>384</v>
      </c>
      <c r="C32" s="59" t="s">
        <v>42</v>
      </c>
      <c r="D32" s="44">
        <v>2377367.76</v>
      </c>
      <c r="E32" s="44"/>
      <c r="F32" s="44"/>
      <c r="G32" s="44">
        <f t="shared" si="5"/>
        <v>607549.5386666666</v>
      </c>
      <c r="H32" s="86">
        <f t="shared" si="6"/>
        <v>0.002664376366619447</v>
      </c>
      <c r="I32" s="87">
        <f t="shared" si="7"/>
        <v>824087.3382860793</v>
      </c>
      <c r="J32" s="87">
        <f t="shared" si="8"/>
        <v>1553280.4217139203</v>
      </c>
      <c r="K32" s="103">
        <v>45</v>
      </c>
      <c r="L32" s="102">
        <v>33.5</v>
      </c>
      <c r="M32" s="90">
        <f>I32/L32</f>
        <v>24599.62203839043</v>
      </c>
      <c r="N32" s="28">
        <f t="shared" si="10"/>
        <v>0.010347419718685186</v>
      </c>
    </row>
    <row r="33" spans="1:14" ht="15" customHeight="1">
      <c r="A33"/>
      <c r="B33" s="25">
        <v>387</v>
      </c>
      <c r="C33" s="59" t="s">
        <v>43</v>
      </c>
      <c r="D33" s="93">
        <v>2572034.07</v>
      </c>
      <c r="E33" s="93"/>
      <c r="F33" s="93"/>
      <c r="G33" s="93">
        <f t="shared" si="5"/>
        <v>994519.8404000001</v>
      </c>
      <c r="H33" s="159">
        <f t="shared" si="6"/>
        <v>0.004361414156796372</v>
      </c>
      <c r="I33" s="94">
        <f t="shared" si="7"/>
        <v>1348978.405854065</v>
      </c>
      <c r="J33" s="94">
        <f t="shared" si="8"/>
        <v>1223055.6641459349</v>
      </c>
      <c r="K33" s="95">
        <v>15</v>
      </c>
      <c r="L33" s="105">
        <v>9.2</v>
      </c>
      <c r="M33" s="97">
        <f>I33/L33</f>
        <v>146628.08759283315</v>
      </c>
      <c r="N33" s="38">
        <f t="shared" si="10"/>
        <v>0.057008610151432854</v>
      </c>
    </row>
    <row r="34" spans="1:14" ht="15" customHeight="1">
      <c r="A34" s="21" t="s">
        <v>44</v>
      </c>
      <c r="B34" s="25"/>
      <c r="C34" s="106"/>
      <c r="D34" s="44"/>
      <c r="E34" s="44"/>
      <c r="F34" s="44"/>
      <c r="G34" s="44"/>
      <c r="H34" s="86"/>
      <c r="I34" s="58"/>
      <c r="J34" s="58"/>
      <c r="K34" s="88"/>
      <c r="L34" s="89"/>
      <c r="M34" s="58"/>
      <c r="N34" s="28"/>
    </row>
    <row r="35" spans="1:14" ht="15" customHeight="1" thickBot="1">
      <c r="A35" s="47" t="s">
        <v>45</v>
      </c>
      <c r="B35" s="21"/>
      <c r="C35" s="21"/>
      <c r="D35" s="154">
        <f>SUM(D23:D33)+D21+D11</f>
        <v>1043382358.0699999</v>
      </c>
      <c r="E35" s="154"/>
      <c r="F35" s="154"/>
      <c r="G35" s="154">
        <f>SUM(G23:G33)+G21+G11</f>
        <v>229134511.77528208</v>
      </c>
      <c r="H35" s="160">
        <f>G35/$G$35</f>
        <v>1</v>
      </c>
      <c r="I35" s="154">
        <f>382323405-'CWK-1 Sch 6'!G18</f>
        <v>309298396.6569554</v>
      </c>
      <c r="J35" s="154"/>
      <c r="K35" s="161"/>
      <c r="L35" s="162"/>
      <c r="M35" s="163">
        <f>SUM(M22:M33)+M21+M11</f>
        <v>19011603.27827072</v>
      </c>
      <c r="N35" s="138">
        <f>M35/$D$35</f>
        <v>0.01822112778812697</v>
      </c>
    </row>
    <row r="36" spans="1:14" ht="15" customHeight="1" thickTop="1">
      <c r="A36" s="21" t="s">
        <v>44</v>
      </c>
      <c r="B36" s="25"/>
      <c r="C36" s="106"/>
      <c r="D36" s="44"/>
      <c r="E36" s="44"/>
      <c r="F36" s="44"/>
      <c r="G36" s="44"/>
      <c r="H36" s="86"/>
      <c r="I36" s="58"/>
      <c r="J36" s="58"/>
      <c r="K36" s="103"/>
      <c r="L36" s="89"/>
      <c r="M36" s="58"/>
      <c r="N36" s="28"/>
    </row>
    <row r="37" spans="2:14" ht="15" customHeight="1">
      <c r="B37" s="53"/>
      <c r="C37" s="3"/>
      <c r="D37" s="54"/>
      <c r="E37" s="54"/>
      <c r="F37" s="54"/>
      <c r="G37" s="54"/>
      <c r="H37" s="107"/>
      <c r="I37" s="54"/>
      <c r="J37" s="54"/>
      <c r="K37" s="108"/>
      <c r="L37" s="108"/>
      <c r="M37" s="54"/>
      <c r="N37" s="28"/>
    </row>
    <row r="38" spans="2:14" ht="15" customHeight="1">
      <c r="B38" s="53"/>
      <c r="C38" s="3"/>
      <c r="D38" s="54"/>
      <c r="E38" s="54"/>
      <c r="F38" s="54"/>
      <c r="G38" s="54"/>
      <c r="H38" s="107"/>
      <c r="I38" s="54"/>
      <c r="J38" s="54"/>
      <c r="K38" s="102"/>
      <c r="L38" s="102"/>
      <c r="M38" s="54"/>
      <c r="N38" s="28"/>
    </row>
    <row r="39" spans="2:14" ht="15" customHeight="1">
      <c r="B39" s="56"/>
      <c r="C39" s="3"/>
      <c r="D39" s="54"/>
      <c r="E39" s="54"/>
      <c r="F39" s="54"/>
      <c r="G39" s="54"/>
      <c r="H39" s="107"/>
      <c r="I39" s="54"/>
      <c r="J39" s="54"/>
      <c r="K39" s="109"/>
      <c r="L39" s="109"/>
      <c r="M39" s="54"/>
      <c r="N39" s="28"/>
    </row>
    <row r="40" spans="2:14" ht="15" customHeight="1">
      <c r="B40" s="110"/>
      <c r="C40" s="48"/>
      <c r="D40" s="54"/>
      <c r="E40" s="54"/>
      <c r="F40" s="54"/>
      <c r="G40" s="54"/>
      <c r="H40" s="107"/>
      <c r="I40" s="54"/>
      <c r="J40" s="54"/>
      <c r="K40" s="102"/>
      <c r="L40" s="102"/>
      <c r="M40" s="54"/>
      <c r="N40" s="28"/>
    </row>
    <row r="41" spans="2:14" ht="15" customHeight="1">
      <c r="B41" s="53"/>
      <c r="C41" s="3"/>
      <c r="D41" s="54"/>
      <c r="E41" s="54"/>
      <c r="F41" s="54"/>
      <c r="G41" s="54"/>
      <c r="H41" s="107"/>
      <c r="I41" s="54"/>
      <c r="J41" s="54"/>
      <c r="K41" s="102"/>
      <c r="L41" s="102"/>
      <c r="M41" s="54"/>
      <c r="N41" s="28"/>
    </row>
    <row r="42" spans="1:14" ht="15" customHeight="1">
      <c r="A42" s="11"/>
      <c r="B42" s="57"/>
      <c r="C42" s="13"/>
      <c r="D42" s="58"/>
      <c r="E42" s="58"/>
      <c r="F42" s="58"/>
      <c r="G42" s="58"/>
      <c r="H42" s="28"/>
      <c r="I42" s="58"/>
      <c r="J42" s="58"/>
      <c r="K42" s="102"/>
      <c r="L42" s="102"/>
      <c r="M42" s="58"/>
      <c r="N42" s="28"/>
    </row>
    <row r="43" spans="1:14" ht="15" customHeight="1">
      <c r="A43" s="11"/>
      <c r="B43" s="59"/>
      <c r="C43" s="13"/>
      <c r="D43" s="60"/>
      <c r="E43" s="60"/>
      <c r="F43" s="60"/>
      <c r="G43" s="60"/>
      <c r="H43" s="43"/>
      <c r="I43" s="60"/>
      <c r="J43" s="60"/>
      <c r="K43" s="102"/>
      <c r="L43" s="102"/>
      <c r="M43" s="60"/>
      <c r="N43" s="28"/>
    </row>
    <row r="44" spans="1:14" ht="15" customHeight="1">
      <c r="A44" s="11"/>
      <c r="B44" s="59"/>
      <c r="C44" s="13"/>
      <c r="D44" s="58"/>
      <c r="E44" s="58"/>
      <c r="F44" s="58"/>
      <c r="G44" s="58"/>
      <c r="H44" s="28"/>
      <c r="I44" s="58"/>
      <c r="J44" s="58"/>
      <c r="K44" s="102"/>
      <c r="L44" s="102"/>
      <c r="M44" s="58"/>
      <c r="N44" s="28"/>
    </row>
    <row r="45" spans="1:14" ht="15" customHeight="1">
      <c r="A45" s="11"/>
      <c r="B45" s="47"/>
      <c r="C45" s="59"/>
      <c r="D45" s="60"/>
      <c r="E45" s="60"/>
      <c r="F45" s="60"/>
      <c r="G45" s="60"/>
      <c r="H45" s="43"/>
      <c r="I45" s="60"/>
      <c r="J45" s="60"/>
      <c r="K45" s="102"/>
      <c r="L45" s="102"/>
      <c r="M45" s="60"/>
      <c r="N45" s="28"/>
    </row>
    <row r="46" spans="1:14" ht="15" customHeight="1">
      <c r="A46" s="11"/>
      <c r="B46" s="59"/>
      <c r="C46" s="13"/>
      <c r="D46" s="58"/>
      <c r="E46" s="58"/>
      <c r="F46" s="58"/>
      <c r="G46" s="58"/>
      <c r="H46" s="28"/>
      <c r="I46" s="58"/>
      <c r="J46" s="58"/>
      <c r="K46" s="102"/>
      <c r="L46" s="102"/>
      <c r="M46" s="58"/>
      <c r="N46" s="28"/>
    </row>
    <row r="47" spans="1:14" ht="15" customHeight="1">
      <c r="A47" s="11"/>
      <c r="B47" s="59"/>
      <c r="C47" s="59"/>
      <c r="D47" s="61"/>
      <c r="E47" s="61"/>
      <c r="F47" s="61"/>
      <c r="G47" s="61"/>
      <c r="H47" s="63"/>
      <c r="I47" s="61"/>
      <c r="J47" s="61"/>
      <c r="K47" s="102"/>
      <c r="L47" s="102"/>
      <c r="M47" s="61"/>
      <c r="N47" s="28"/>
    </row>
    <row r="48" spans="1:14" ht="15" customHeight="1">
      <c r="A48" s="11"/>
      <c r="B48" s="62"/>
      <c r="C48" s="13"/>
      <c r="D48" s="13"/>
      <c r="E48" s="13"/>
      <c r="F48" s="13"/>
      <c r="G48" s="13"/>
      <c r="H48" s="28"/>
      <c r="I48" s="13"/>
      <c r="J48" s="13"/>
      <c r="K48" s="102"/>
      <c r="L48" s="102"/>
      <c r="M48" s="13"/>
      <c r="N48" s="28"/>
    </row>
    <row r="49" spans="1:14" ht="15" customHeight="1">
      <c r="A49" s="11"/>
      <c r="B49" s="62"/>
      <c r="C49" s="13"/>
      <c r="D49" s="13"/>
      <c r="E49" s="13"/>
      <c r="F49" s="13"/>
      <c r="G49" s="13"/>
      <c r="H49" s="28"/>
      <c r="I49" s="13"/>
      <c r="J49" s="13"/>
      <c r="K49" s="102"/>
      <c r="L49" s="102"/>
      <c r="M49" s="13"/>
      <c r="N49" s="28"/>
    </row>
    <row r="50" spans="1:14" ht="15" customHeight="1">
      <c r="A50" s="11"/>
      <c r="B50" s="57"/>
      <c r="C50" s="13"/>
      <c r="D50" s="58"/>
      <c r="E50" s="58"/>
      <c r="F50" s="58"/>
      <c r="G50" s="58"/>
      <c r="H50" s="28"/>
      <c r="I50" s="58"/>
      <c r="J50" s="58"/>
      <c r="K50" s="108"/>
      <c r="L50" s="108"/>
      <c r="M50" s="58"/>
      <c r="N50" s="28"/>
    </row>
    <row r="51" spans="1:14" ht="15" customHeight="1">
      <c r="A51" s="11"/>
      <c r="B51" s="57"/>
      <c r="C51" s="13"/>
      <c r="D51" s="58"/>
      <c r="E51" s="58"/>
      <c r="F51" s="58"/>
      <c r="G51" s="58"/>
      <c r="H51" s="28"/>
      <c r="I51" s="58"/>
      <c r="J51" s="58"/>
      <c r="K51" s="102"/>
      <c r="L51" s="102"/>
      <c r="M51" s="58"/>
      <c r="N51" s="28"/>
    </row>
    <row r="52" spans="1:14" ht="15" customHeight="1">
      <c r="A52" s="11"/>
      <c r="B52" s="57"/>
      <c r="C52" s="13"/>
      <c r="D52" s="58"/>
      <c r="E52" s="58"/>
      <c r="F52" s="58"/>
      <c r="G52" s="58"/>
      <c r="H52" s="28"/>
      <c r="I52" s="58"/>
      <c r="J52" s="58"/>
      <c r="K52" s="109"/>
      <c r="L52" s="109"/>
      <c r="M52" s="58"/>
      <c r="N52" s="28"/>
    </row>
    <row r="53" spans="1:14" ht="15" customHeight="1">
      <c r="A53" s="11"/>
      <c r="B53" s="57"/>
      <c r="C53" s="13"/>
      <c r="D53" s="58"/>
      <c r="E53" s="58"/>
      <c r="F53" s="58"/>
      <c r="G53" s="58"/>
      <c r="H53" s="28"/>
      <c r="I53" s="58"/>
      <c r="J53" s="58"/>
      <c r="K53" s="102"/>
      <c r="L53" s="102"/>
      <c r="M53" s="58"/>
      <c r="N53" s="28"/>
    </row>
    <row r="54" spans="1:14" ht="15" customHeight="1">
      <c r="A54" s="11"/>
      <c r="B54" s="57"/>
      <c r="C54" s="13"/>
      <c r="D54" s="58"/>
      <c r="E54" s="58"/>
      <c r="F54" s="58"/>
      <c r="G54" s="58"/>
      <c r="H54" s="28"/>
      <c r="I54" s="58"/>
      <c r="J54" s="58"/>
      <c r="K54" s="102"/>
      <c r="L54" s="102"/>
      <c r="M54" s="58"/>
      <c r="N54" s="28"/>
    </row>
    <row r="55" spans="1:14" ht="15" customHeight="1">
      <c r="A55" s="11"/>
      <c r="B55" s="57"/>
      <c r="C55" s="13"/>
      <c r="D55" s="58"/>
      <c r="E55" s="58"/>
      <c r="F55" s="58"/>
      <c r="G55" s="58"/>
      <c r="H55" s="28"/>
      <c r="I55" s="58"/>
      <c r="J55" s="58"/>
      <c r="K55" s="102"/>
      <c r="L55" s="102"/>
      <c r="M55" s="58"/>
      <c r="N55" s="28"/>
    </row>
    <row r="56" spans="1:14" ht="15" customHeight="1">
      <c r="A56" s="11"/>
      <c r="B56" s="57"/>
      <c r="C56" s="13"/>
      <c r="D56" s="58"/>
      <c r="E56" s="58"/>
      <c r="F56" s="58"/>
      <c r="G56" s="58"/>
      <c r="H56" s="28"/>
      <c r="I56" s="58"/>
      <c r="J56" s="58"/>
      <c r="K56" s="102"/>
      <c r="L56" s="102"/>
      <c r="M56" s="58"/>
      <c r="N56" s="28"/>
    </row>
    <row r="57" spans="1:14" ht="15" customHeight="1">
      <c r="A57" s="11"/>
      <c r="B57" s="57"/>
      <c r="C57" s="13"/>
      <c r="D57" s="58"/>
      <c r="E57" s="58"/>
      <c r="F57" s="58"/>
      <c r="G57" s="58"/>
      <c r="H57" s="28"/>
      <c r="I57" s="58"/>
      <c r="J57" s="58"/>
      <c r="K57" s="102"/>
      <c r="L57" s="102"/>
      <c r="M57" s="58"/>
      <c r="N57" s="28"/>
    </row>
    <row r="58" spans="1:14" ht="15" customHeight="1">
      <c r="A58" s="11"/>
      <c r="B58" s="47"/>
      <c r="C58" s="13"/>
      <c r="D58" s="60"/>
      <c r="E58" s="60"/>
      <c r="F58" s="60"/>
      <c r="G58" s="60"/>
      <c r="H58" s="43"/>
      <c r="I58" s="60"/>
      <c r="J58" s="60"/>
      <c r="K58" s="102"/>
      <c r="L58" s="102"/>
      <c r="M58" s="60"/>
      <c r="N58" s="28"/>
    </row>
    <row r="59" spans="1:14" ht="15" customHeight="1">
      <c r="A59" s="11"/>
      <c r="B59" s="57"/>
      <c r="C59" s="47"/>
      <c r="D59" s="58"/>
      <c r="E59" s="58"/>
      <c r="F59" s="58"/>
      <c r="G59" s="58"/>
      <c r="H59" s="28"/>
      <c r="I59" s="58"/>
      <c r="J59" s="58"/>
      <c r="K59" s="102"/>
      <c r="L59" s="102"/>
      <c r="M59" s="58"/>
      <c r="N59" s="28"/>
    </row>
    <row r="60" spans="1:14" ht="15" customHeight="1">
      <c r="A60" s="11"/>
      <c r="B60" s="57"/>
      <c r="C60" s="59"/>
      <c r="D60" s="59"/>
      <c r="E60" s="59"/>
      <c r="F60" s="59"/>
      <c r="G60" s="59"/>
      <c r="H60" s="63"/>
      <c r="I60" s="59"/>
      <c r="J60" s="59"/>
      <c r="K60" s="102"/>
      <c r="L60" s="102"/>
      <c r="M60" s="59"/>
      <c r="N60" s="28"/>
    </row>
    <row r="61" spans="1:14" ht="15" customHeight="1">
      <c r="A61" s="11"/>
      <c r="B61" s="62"/>
      <c r="C61" s="13"/>
      <c r="D61" s="13"/>
      <c r="E61" s="13"/>
      <c r="F61" s="13"/>
      <c r="G61" s="13"/>
      <c r="H61" s="28"/>
      <c r="I61" s="13"/>
      <c r="J61" s="13"/>
      <c r="K61" s="102"/>
      <c r="L61" s="102"/>
      <c r="M61" s="13"/>
      <c r="N61" s="28"/>
    </row>
    <row r="62" spans="1:14" ht="15" customHeight="1">
      <c r="A62" s="11"/>
      <c r="B62" s="62"/>
      <c r="C62" s="13"/>
      <c r="D62" s="13"/>
      <c r="E62" s="13"/>
      <c r="F62" s="13"/>
      <c r="G62" s="13"/>
      <c r="H62" s="28"/>
      <c r="I62" s="13"/>
      <c r="J62" s="13"/>
      <c r="K62" s="102"/>
      <c r="L62" s="102"/>
      <c r="M62" s="13"/>
      <c r="N62" s="28"/>
    </row>
    <row r="63" spans="1:14" ht="15" customHeight="1">
      <c r="A63" s="11"/>
      <c r="B63" s="57"/>
      <c r="C63" s="13"/>
      <c r="D63" s="58"/>
      <c r="E63" s="58"/>
      <c r="F63" s="58"/>
      <c r="G63" s="58"/>
      <c r="H63" s="28"/>
      <c r="I63" s="58"/>
      <c r="J63" s="58"/>
      <c r="K63" s="102"/>
      <c r="L63" s="102"/>
      <c r="M63" s="58"/>
      <c r="N63" s="28"/>
    </row>
    <row r="64" spans="1:14" ht="15" customHeight="1">
      <c r="A64" s="11"/>
      <c r="B64" s="57"/>
      <c r="C64" s="13"/>
      <c r="D64" s="58"/>
      <c r="E64" s="58"/>
      <c r="F64" s="58"/>
      <c r="G64" s="58"/>
      <c r="H64" s="28"/>
      <c r="I64" s="58"/>
      <c r="J64" s="58"/>
      <c r="K64" s="102"/>
      <c r="L64" s="102"/>
      <c r="M64" s="58"/>
      <c r="N64" s="28"/>
    </row>
    <row r="65" spans="1:14" ht="15" customHeight="1">
      <c r="A65" s="11"/>
      <c r="B65" s="57"/>
      <c r="C65" s="13"/>
      <c r="D65" s="58"/>
      <c r="E65" s="58"/>
      <c r="F65" s="58"/>
      <c r="G65" s="58"/>
      <c r="H65" s="28"/>
      <c r="I65" s="58"/>
      <c r="J65" s="58"/>
      <c r="K65" s="102"/>
      <c r="L65" s="102"/>
      <c r="M65" s="58"/>
      <c r="N65" s="28"/>
    </row>
    <row r="66" spans="1:14" ht="15" customHeight="1">
      <c r="A66" s="11"/>
      <c r="B66" s="57"/>
      <c r="C66" s="13"/>
      <c r="D66" s="58"/>
      <c r="E66" s="58"/>
      <c r="F66" s="58"/>
      <c r="G66" s="58"/>
      <c r="H66" s="28"/>
      <c r="I66" s="58"/>
      <c r="J66" s="58"/>
      <c r="K66" s="108"/>
      <c r="L66" s="108"/>
      <c r="M66" s="58"/>
      <c r="N66" s="28"/>
    </row>
    <row r="67" spans="1:14" ht="15" customHeight="1">
      <c r="A67" s="11"/>
      <c r="B67" s="57"/>
      <c r="C67" s="13"/>
      <c r="D67" s="58"/>
      <c r="E67" s="58"/>
      <c r="F67" s="58"/>
      <c r="G67" s="58"/>
      <c r="H67" s="28"/>
      <c r="I67" s="58"/>
      <c r="J67" s="58"/>
      <c r="K67" s="109"/>
      <c r="L67" s="109"/>
      <c r="M67" s="58"/>
      <c r="N67" s="28"/>
    </row>
    <row r="68" spans="1:14" ht="15" customHeight="1">
      <c r="A68" s="11"/>
      <c r="B68" s="57"/>
      <c r="C68" s="13"/>
      <c r="D68" s="58"/>
      <c r="E68" s="58"/>
      <c r="F68" s="58"/>
      <c r="G68" s="58"/>
      <c r="H68" s="28"/>
      <c r="I68" s="58"/>
      <c r="J68" s="58"/>
      <c r="K68" s="109"/>
      <c r="L68" s="109"/>
      <c r="M68" s="58"/>
      <c r="N68" s="28"/>
    </row>
    <row r="69" spans="1:14" ht="15" customHeight="1">
      <c r="A69" s="11"/>
      <c r="B69" s="57"/>
      <c r="C69" s="13"/>
      <c r="D69" s="58"/>
      <c r="E69" s="58"/>
      <c r="F69" s="58"/>
      <c r="G69" s="58"/>
      <c r="H69" s="28"/>
      <c r="I69" s="58"/>
      <c r="J69" s="58"/>
      <c r="K69" s="102"/>
      <c r="L69" s="102"/>
      <c r="M69" s="58"/>
      <c r="N69" s="28"/>
    </row>
    <row r="70" spans="1:14" ht="15" customHeight="1">
      <c r="A70" s="11"/>
      <c r="B70" s="57"/>
      <c r="C70" s="13"/>
      <c r="D70" s="58"/>
      <c r="E70" s="58"/>
      <c r="F70" s="58"/>
      <c r="G70" s="58"/>
      <c r="H70" s="28"/>
      <c r="I70" s="58"/>
      <c r="J70" s="58"/>
      <c r="K70" s="102"/>
      <c r="L70" s="102"/>
      <c r="M70" s="58"/>
      <c r="N70" s="28"/>
    </row>
    <row r="71" spans="1:14" ht="15" customHeight="1">
      <c r="A71" s="11"/>
      <c r="B71" s="57"/>
      <c r="C71" s="13"/>
      <c r="D71" s="58"/>
      <c r="E71" s="58"/>
      <c r="F71" s="58"/>
      <c r="G71" s="58"/>
      <c r="H71" s="28"/>
      <c r="I71" s="58"/>
      <c r="J71" s="58"/>
      <c r="K71" s="102"/>
      <c r="L71" s="102"/>
      <c r="M71" s="58"/>
      <c r="N71" s="28"/>
    </row>
    <row r="72" spans="1:14" ht="15" customHeight="1">
      <c r="A72" s="11"/>
      <c r="B72" s="57"/>
      <c r="C72" s="13"/>
      <c r="D72" s="58"/>
      <c r="E72" s="58"/>
      <c r="F72" s="58"/>
      <c r="G72" s="58"/>
      <c r="H72" s="28"/>
      <c r="I72" s="58"/>
      <c r="J72" s="58"/>
      <c r="K72" s="102"/>
      <c r="L72" s="102"/>
      <c r="M72" s="58"/>
      <c r="N72" s="28"/>
    </row>
    <row r="73" spans="1:14" ht="15" customHeight="1">
      <c r="A73" s="11"/>
      <c r="B73" s="57"/>
      <c r="C73" s="13"/>
      <c r="D73" s="58"/>
      <c r="E73" s="58"/>
      <c r="F73" s="58"/>
      <c r="G73" s="58"/>
      <c r="H73" s="28"/>
      <c r="I73" s="58"/>
      <c r="J73" s="58"/>
      <c r="K73" s="102"/>
      <c r="L73" s="102"/>
      <c r="M73" s="58"/>
      <c r="N73" s="28"/>
    </row>
    <row r="74" spans="1:14" ht="15" customHeight="1">
      <c r="A74" s="11"/>
      <c r="B74" s="47"/>
      <c r="C74" s="13"/>
      <c r="D74" s="60"/>
      <c r="E74" s="60"/>
      <c r="F74" s="60"/>
      <c r="G74" s="60"/>
      <c r="H74" s="43"/>
      <c r="I74" s="60"/>
      <c r="J74" s="60"/>
      <c r="K74" s="102"/>
      <c r="L74" s="102"/>
      <c r="M74" s="60"/>
      <c r="N74" s="28"/>
    </row>
    <row r="75" spans="1:14" ht="15" customHeight="1">
      <c r="A75" s="11"/>
      <c r="B75" s="59"/>
      <c r="C75" s="59"/>
      <c r="D75" s="59"/>
      <c r="E75" s="59"/>
      <c r="F75" s="59"/>
      <c r="G75" s="59"/>
      <c r="H75" s="63"/>
      <c r="I75" s="59"/>
      <c r="J75" s="59"/>
      <c r="K75" s="102"/>
      <c r="L75" s="102"/>
      <c r="M75" s="59"/>
      <c r="N75" s="28"/>
    </row>
    <row r="76" spans="1:14" ht="15" customHeight="1">
      <c r="A76" s="11"/>
      <c r="B76" s="59"/>
      <c r="C76" s="59"/>
      <c r="D76" s="59"/>
      <c r="E76" s="59"/>
      <c r="F76" s="59"/>
      <c r="G76" s="59"/>
      <c r="H76" s="63"/>
      <c r="I76" s="59"/>
      <c r="J76" s="59"/>
      <c r="K76" s="102"/>
      <c r="L76" s="102"/>
      <c r="M76" s="59"/>
      <c r="N76" s="28"/>
    </row>
    <row r="77" spans="1:14" ht="15" customHeight="1">
      <c r="A77" s="11"/>
      <c r="B77" s="62"/>
      <c r="C77" s="13"/>
      <c r="D77" s="13"/>
      <c r="E77" s="13"/>
      <c r="F77" s="13"/>
      <c r="G77" s="13"/>
      <c r="H77" s="28"/>
      <c r="I77" s="13"/>
      <c r="J77" s="13"/>
      <c r="K77" s="102"/>
      <c r="L77" s="102"/>
      <c r="M77" s="13"/>
      <c r="N77" s="28"/>
    </row>
    <row r="78" spans="1:14" ht="15" customHeight="1">
      <c r="A78" s="11"/>
      <c r="B78" s="62"/>
      <c r="C78" s="13"/>
      <c r="D78" s="13"/>
      <c r="E78" s="13"/>
      <c r="F78" s="13"/>
      <c r="G78" s="13"/>
      <c r="H78" s="28"/>
      <c r="I78" s="13"/>
      <c r="J78" s="13"/>
      <c r="K78" s="102"/>
      <c r="L78" s="102"/>
      <c r="M78" s="13"/>
      <c r="N78" s="13"/>
    </row>
    <row r="79" spans="1:14" ht="15" customHeight="1">
      <c r="A79" s="11"/>
      <c r="B79" s="57"/>
      <c r="C79" s="13"/>
      <c r="D79" s="58"/>
      <c r="E79" s="58"/>
      <c r="F79" s="58"/>
      <c r="G79" s="58"/>
      <c r="H79" s="28"/>
      <c r="I79" s="58"/>
      <c r="J79" s="58"/>
      <c r="K79" s="108"/>
      <c r="L79" s="108"/>
      <c r="M79" s="58"/>
      <c r="N79" s="28"/>
    </row>
    <row r="80" spans="1:14" ht="15" customHeight="1">
      <c r="A80" s="11"/>
      <c r="B80" s="57"/>
      <c r="C80" s="13"/>
      <c r="D80" s="58"/>
      <c r="E80" s="58"/>
      <c r="F80" s="58"/>
      <c r="G80" s="58"/>
      <c r="H80" s="28"/>
      <c r="I80" s="58"/>
      <c r="J80" s="58"/>
      <c r="K80" s="109"/>
      <c r="L80" s="109"/>
      <c r="M80" s="58"/>
      <c r="N80" s="28"/>
    </row>
    <row r="81" spans="1:14" ht="15" customHeight="1">
      <c r="A81" s="11"/>
      <c r="B81" s="57"/>
      <c r="C81" s="13"/>
      <c r="D81" s="58"/>
      <c r="E81" s="58"/>
      <c r="F81" s="58"/>
      <c r="G81" s="58"/>
      <c r="H81" s="28"/>
      <c r="I81" s="58"/>
      <c r="J81" s="58"/>
      <c r="K81" s="102"/>
      <c r="L81" s="102"/>
      <c r="M81" s="58"/>
      <c r="N81" s="28"/>
    </row>
    <row r="82" spans="1:14" ht="15" customHeight="1">
      <c r="A82" s="11"/>
      <c r="B82" s="57"/>
      <c r="C82" s="13"/>
      <c r="D82" s="58"/>
      <c r="E82" s="58"/>
      <c r="F82" s="58"/>
      <c r="G82" s="58"/>
      <c r="H82" s="28"/>
      <c r="I82" s="58"/>
      <c r="J82" s="58"/>
      <c r="K82" s="109"/>
      <c r="L82" s="109"/>
      <c r="M82" s="58"/>
      <c r="N82" s="28"/>
    </row>
    <row r="83" spans="1:14" ht="15" customHeight="1">
      <c r="A83" s="11"/>
      <c r="B83" s="57"/>
      <c r="C83" s="13"/>
      <c r="D83" s="58"/>
      <c r="E83" s="58"/>
      <c r="F83" s="58"/>
      <c r="G83" s="58"/>
      <c r="H83" s="28"/>
      <c r="I83" s="58"/>
      <c r="J83" s="58"/>
      <c r="K83" s="108"/>
      <c r="L83" s="108"/>
      <c r="M83" s="58"/>
      <c r="N83" s="28"/>
    </row>
    <row r="84" spans="1:14" ht="15" customHeight="1">
      <c r="A84" s="11"/>
      <c r="B84" s="57"/>
      <c r="C84" s="13"/>
      <c r="D84" s="58"/>
      <c r="E84" s="58"/>
      <c r="F84" s="58"/>
      <c r="G84" s="58"/>
      <c r="H84" s="28"/>
      <c r="I84" s="58"/>
      <c r="J84" s="58"/>
      <c r="K84" s="109"/>
      <c r="L84" s="109"/>
      <c r="M84" s="58"/>
      <c r="N84" s="28"/>
    </row>
    <row r="85" spans="1:14" ht="15" customHeight="1">
      <c r="A85" s="11"/>
      <c r="B85" s="57"/>
      <c r="C85" s="13"/>
      <c r="D85" s="58"/>
      <c r="E85" s="58"/>
      <c r="F85" s="58"/>
      <c r="G85" s="58"/>
      <c r="H85" s="28"/>
      <c r="I85" s="58"/>
      <c r="J85" s="58"/>
      <c r="K85" s="109"/>
      <c r="L85" s="109"/>
      <c r="M85" s="58"/>
      <c r="N85" s="28"/>
    </row>
    <row r="86" spans="1:14" ht="15" customHeight="1">
      <c r="A86" s="11"/>
      <c r="B86" s="57"/>
      <c r="C86" s="13"/>
      <c r="D86" s="58"/>
      <c r="E86" s="58"/>
      <c r="F86" s="58"/>
      <c r="G86" s="58"/>
      <c r="H86" s="28"/>
      <c r="I86" s="58"/>
      <c r="J86" s="58"/>
      <c r="K86" s="109"/>
      <c r="L86" s="109"/>
      <c r="M86" s="58"/>
      <c r="N86" s="28"/>
    </row>
    <row r="87" spans="1:14" ht="15" customHeight="1">
      <c r="A87" s="11"/>
      <c r="B87" s="47"/>
      <c r="C87" s="13"/>
      <c r="D87" s="60"/>
      <c r="E87" s="60"/>
      <c r="F87" s="60"/>
      <c r="G87" s="60"/>
      <c r="H87" s="43"/>
      <c r="I87" s="60"/>
      <c r="J87" s="60"/>
      <c r="K87" s="108"/>
      <c r="L87" s="108"/>
      <c r="M87" s="60"/>
      <c r="N87" s="43"/>
    </row>
    <row r="88" spans="1:14" ht="15" customHeight="1">
      <c r="A88" s="11"/>
      <c r="B88" s="59"/>
      <c r="C88" s="59"/>
      <c r="D88" s="59"/>
      <c r="E88" s="59"/>
      <c r="F88" s="59"/>
      <c r="G88" s="59"/>
      <c r="H88" s="63"/>
      <c r="I88" s="59"/>
      <c r="J88" s="59"/>
      <c r="K88" s="111"/>
      <c r="L88" s="111"/>
      <c r="M88" s="59"/>
      <c r="N88" s="59"/>
    </row>
    <row r="89" spans="1:14" ht="15" customHeight="1">
      <c r="A89" s="11"/>
      <c r="B89" s="57"/>
      <c r="C89" s="13"/>
      <c r="D89" s="58"/>
      <c r="E89" s="58"/>
      <c r="F89" s="58"/>
      <c r="G89" s="58"/>
      <c r="H89" s="28"/>
      <c r="I89" s="58"/>
      <c r="J89" s="58"/>
      <c r="K89" s="111"/>
      <c r="L89" s="111"/>
      <c r="M89" s="58"/>
      <c r="N89" s="28"/>
    </row>
    <row r="90" spans="1:14" ht="15" customHeight="1">
      <c r="A90" s="11"/>
      <c r="B90" s="59"/>
      <c r="C90" s="59"/>
      <c r="D90" s="59"/>
      <c r="E90" s="59"/>
      <c r="F90" s="59"/>
      <c r="G90" s="59"/>
      <c r="H90" s="63"/>
      <c r="I90" s="59"/>
      <c r="J90" s="59"/>
      <c r="K90" s="111"/>
      <c r="L90" s="111"/>
      <c r="M90" s="59"/>
      <c r="N90" s="59"/>
    </row>
    <row r="91" spans="1:14" ht="15" customHeight="1">
      <c r="A91" s="11"/>
      <c r="B91" s="47"/>
      <c r="C91" s="13"/>
      <c r="D91" s="60"/>
      <c r="E91" s="60"/>
      <c r="F91" s="60"/>
      <c r="G91" s="60"/>
      <c r="H91" s="43"/>
      <c r="I91" s="60"/>
      <c r="J91" s="60"/>
      <c r="K91" s="111"/>
      <c r="L91" s="111"/>
      <c r="M91" s="60"/>
      <c r="N91" s="43"/>
    </row>
    <row r="92" spans="1:14" ht="15" customHeight="1">
      <c r="A92" s="11"/>
      <c r="B92" s="59"/>
      <c r="C92" s="59"/>
      <c r="D92" s="59"/>
      <c r="E92" s="59"/>
      <c r="F92" s="59"/>
      <c r="G92" s="59"/>
      <c r="H92" s="63"/>
      <c r="I92" s="59"/>
      <c r="J92" s="59"/>
      <c r="K92" s="111"/>
      <c r="L92" s="111"/>
      <c r="M92" s="59"/>
      <c r="N92" s="63"/>
    </row>
    <row r="93" spans="1:14" ht="15" customHeight="1">
      <c r="A93" s="11"/>
      <c r="B93" s="59"/>
      <c r="C93" s="59"/>
      <c r="D93" s="59"/>
      <c r="E93" s="59"/>
      <c r="F93" s="59"/>
      <c r="G93" s="59"/>
      <c r="H93" s="63"/>
      <c r="I93" s="59"/>
      <c r="J93" s="59"/>
      <c r="K93" s="111"/>
      <c r="L93" s="111"/>
      <c r="M93" s="59"/>
      <c r="N93" s="63"/>
    </row>
    <row r="94" spans="1:14" ht="15" customHeight="1">
      <c r="A94" s="11"/>
      <c r="B94" s="59"/>
      <c r="C94" s="59"/>
      <c r="D94" s="59"/>
      <c r="E94" s="59"/>
      <c r="F94" s="59"/>
      <c r="G94" s="59"/>
      <c r="H94" s="63"/>
      <c r="I94" s="59"/>
      <c r="J94" s="59"/>
      <c r="K94" s="111"/>
      <c r="L94" s="111"/>
      <c r="M94" s="59"/>
      <c r="N94" s="63"/>
    </row>
    <row r="95" spans="1:14" ht="15" customHeight="1">
      <c r="A95" s="11"/>
      <c r="B95" s="47"/>
      <c r="C95" s="59"/>
      <c r="D95" s="60"/>
      <c r="E95" s="60"/>
      <c r="F95" s="60"/>
      <c r="G95" s="60"/>
      <c r="H95" s="43"/>
      <c r="I95" s="60"/>
      <c r="J95" s="60"/>
      <c r="K95" s="111"/>
      <c r="L95" s="111"/>
      <c r="M95" s="60"/>
      <c r="N95" s="43"/>
    </row>
    <row r="96" spans="1:14" ht="15" customHeight="1">
      <c r="A96" s="11"/>
      <c r="B96" s="59"/>
      <c r="C96" s="47"/>
      <c r="D96" s="59"/>
      <c r="E96" s="59"/>
      <c r="F96" s="59"/>
      <c r="G96" s="59"/>
      <c r="H96" s="63"/>
      <c r="I96" s="61"/>
      <c r="J96" s="61"/>
      <c r="K96" s="111"/>
      <c r="L96" s="111"/>
      <c r="M96" s="64"/>
      <c r="N96" s="64"/>
    </row>
    <row r="97" spans="1:14" ht="15" customHeight="1">
      <c r="A97" s="11"/>
      <c r="B97" s="65"/>
      <c r="C97" s="65"/>
      <c r="D97" s="65"/>
      <c r="E97" s="65"/>
      <c r="F97" s="65"/>
      <c r="G97" s="65"/>
      <c r="H97" s="112"/>
      <c r="I97" s="64"/>
      <c r="J97" s="64"/>
      <c r="K97" s="111"/>
      <c r="L97" s="111"/>
      <c r="M97" s="64"/>
      <c r="N97" s="64"/>
    </row>
    <row r="98" spans="1:14" ht="15" customHeight="1">
      <c r="A98" s="11"/>
      <c r="B98" s="65"/>
      <c r="C98" s="65"/>
      <c r="D98" s="65"/>
      <c r="E98" s="65"/>
      <c r="F98" s="65"/>
      <c r="G98" s="65"/>
      <c r="H98" s="112"/>
      <c r="I98" s="64"/>
      <c r="J98" s="64"/>
      <c r="K98" s="111"/>
      <c r="L98" s="111"/>
      <c r="M98" s="64"/>
      <c r="N98" s="64"/>
    </row>
    <row r="99" spans="1:14" ht="15" customHeight="1">
      <c r="A99" s="11"/>
      <c r="B99" s="65"/>
      <c r="C99" s="65"/>
      <c r="D99" s="65"/>
      <c r="E99" s="65"/>
      <c r="F99" s="65"/>
      <c r="G99" s="65"/>
      <c r="H99" s="112"/>
      <c r="I99" s="64"/>
      <c r="J99" s="64"/>
      <c r="K99" s="113"/>
      <c r="L99" s="113"/>
      <c r="M99" s="64"/>
      <c r="N99" s="64"/>
    </row>
    <row r="100" spans="1:14" ht="15" customHeight="1">
      <c r="A100" s="11"/>
      <c r="B100" s="65"/>
      <c r="C100" s="65"/>
      <c r="D100" s="65"/>
      <c r="E100" s="65"/>
      <c r="F100" s="65"/>
      <c r="G100" s="65"/>
      <c r="H100" s="112"/>
      <c r="I100" s="64"/>
      <c r="J100" s="64"/>
      <c r="K100" s="113"/>
      <c r="L100" s="113"/>
      <c r="M100" s="64"/>
      <c r="N100" s="64"/>
    </row>
    <row r="101" spans="1:14" ht="15" customHeight="1">
      <c r="A101" s="11"/>
      <c r="B101" s="65"/>
      <c r="C101" s="65"/>
      <c r="D101" s="65"/>
      <c r="E101" s="65"/>
      <c r="F101" s="65"/>
      <c r="G101" s="65"/>
      <c r="H101" s="112"/>
      <c r="I101" s="64"/>
      <c r="J101" s="64"/>
      <c r="K101" s="113"/>
      <c r="L101" s="113"/>
      <c r="M101" s="64"/>
      <c r="N101" s="64"/>
    </row>
    <row r="102" spans="1:14" ht="15" customHeight="1">
      <c r="A102" s="11"/>
      <c r="B102" s="65"/>
      <c r="C102" s="65"/>
      <c r="D102" s="65"/>
      <c r="E102" s="65"/>
      <c r="F102" s="65"/>
      <c r="G102" s="65"/>
      <c r="H102" s="112"/>
      <c r="I102" s="64"/>
      <c r="J102" s="64"/>
      <c r="M102" s="64"/>
      <c r="N102" s="64"/>
    </row>
    <row r="103" spans="1:14" ht="15" customHeight="1">
      <c r="A103" s="11"/>
      <c r="B103" s="65"/>
      <c r="C103" s="65"/>
      <c r="D103" s="65"/>
      <c r="E103" s="65"/>
      <c r="F103" s="65"/>
      <c r="G103" s="65"/>
      <c r="H103" s="112"/>
      <c r="I103" s="64"/>
      <c r="J103" s="64"/>
      <c r="M103" s="64"/>
      <c r="N103" s="64"/>
    </row>
    <row r="104" spans="1:14" ht="15" customHeight="1">
      <c r="A104" s="11"/>
      <c r="B104" s="65"/>
      <c r="C104" s="65"/>
      <c r="D104" s="65"/>
      <c r="E104" s="65"/>
      <c r="F104" s="65"/>
      <c r="G104" s="65"/>
      <c r="H104" s="112"/>
      <c r="I104" s="64"/>
      <c r="J104" s="64"/>
      <c r="M104" s="64"/>
      <c r="N104" s="64"/>
    </row>
    <row r="105" spans="1:14" ht="15" customHeight="1">
      <c r="A105" s="11"/>
      <c r="B105" s="65"/>
      <c r="C105" s="65"/>
      <c r="D105" s="65"/>
      <c r="E105" s="65"/>
      <c r="F105" s="65"/>
      <c r="G105" s="65"/>
      <c r="H105" s="112"/>
      <c r="I105" s="64"/>
      <c r="J105" s="64"/>
      <c r="M105" s="64"/>
      <c r="N105" s="64"/>
    </row>
    <row r="106" spans="1:14" ht="15" customHeight="1">
      <c r="A106" s="11"/>
      <c r="B106" s="65"/>
      <c r="C106" s="65"/>
      <c r="D106" s="65"/>
      <c r="E106" s="65"/>
      <c r="F106" s="65"/>
      <c r="G106" s="65"/>
      <c r="H106" s="112"/>
      <c r="I106" s="64"/>
      <c r="J106" s="64"/>
      <c r="M106" s="64"/>
      <c r="N106" s="64"/>
    </row>
    <row r="107" spans="1:14" ht="15" customHeight="1">
      <c r="A107" s="11"/>
      <c r="B107" s="65"/>
      <c r="C107" s="65"/>
      <c r="D107" s="65"/>
      <c r="E107" s="65"/>
      <c r="F107" s="65"/>
      <c r="G107" s="65"/>
      <c r="H107" s="112"/>
      <c r="I107" s="64"/>
      <c r="J107" s="64"/>
      <c r="M107" s="64"/>
      <c r="N107" s="64"/>
    </row>
    <row r="108" spans="1:14" ht="15" customHeight="1">
      <c r="A108" s="11"/>
      <c r="B108" s="65"/>
      <c r="C108" s="65"/>
      <c r="D108" s="65"/>
      <c r="E108" s="65"/>
      <c r="F108" s="65"/>
      <c r="G108" s="65"/>
      <c r="H108" s="112"/>
      <c r="I108" s="64"/>
      <c r="J108" s="64"/>
      <c r="M108" s="64"/>
      <c r="N108" s="64"/>
    </row>
    <row r="109" spans="1:14" ht="15" customHeight="1">
      <c r="A109" s="11"/>
      <c r="B109" s="65"/>
      <c r="C109" s="65"/>
      <c r="D109" s="65"/>
      <c r="E109" s="65"/>
      <c r="F109" s="65"/>
      <c r="G109" s="65"/>
      <c r="H109" s="112"/>
      <c r="I109" s="64"/>
      <c r="J109" s="64"/>
      <c r="M109" s="64"/>
      <c r="N109" s="64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5">
    <mergeCell ref="M7:N7"/>
    <mergeCell ref="B1:N1"/>
    <mergeCell ref="B2:N2"/>
    <mergeCell ref="B3:N3"/>
    <mergeCell ref="M6:N6"/>
  </mergeCells>
  <printOptions horizontalCentered="1"/>
  <pageMargins left="0.24" right="0.25" top="0.7" bottom="0.49" header="0.34" footer="0.26"/>
  <pageSetup fitToHeight="12" fitToWidth="1" horizontalDpi="600" verticalDpi="600" orientation="landscape" scale="76" r:id="rId1"/>
  <headerFooter alignWithMargins="0">
    <oddHeader>&amp;RExhibit-_____(CWK-1)
Schedule   4
</oddHeader>
    <oddFooter>&amp;L&amp;D&amp;CSnavely King Majoros O'Connor &amp; Lee,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1.28125" style="0" customWidth="1"/>
    <col min="3" max="3" width="45.00390625" style="0" customWidth="1"/>
    <col min="4" max="4" width="16.7109375" style="0" bestFit="1" customWidth="1"/>
    <col min="5" max="5" width="13.140625" style="72" bestFit="1" customWidth="1"/>
    <col min="6" max="6" width="15.00390625" style="0" bestFit="1" customWidth="1"/>
    <col min="7" max="7" width="14.00390625" style="0" bestFit="1" customWidth="1"/>
    <col min="8" max="8" width="14.28125" style="0" bestFit="1" customWidth="1"/>
    <col min="9" max="9" width="6.7109375" style="5" customWidth="1"/>
    <col min="10" max="10" width="7.140625" style="0" customWidth="1"/>
    <col min="11" max="11" width="13.57421875" style="0" bestFit="1" customWidth="1"/>
    <col min="12" max="12" width="8.57421875" style="0" bestFit="1" customWidth="1"/>
  </cols>
  <sheetData>
    <row r="1" spans="2:12" ht="15.75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2:12" ht="15.75">
      <c r="B2" s="170" t="s">
        <v>62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2:12" ht="15.75">
      <c r="B3" s="170" t="s">
        <v>112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ht="12.75">
      <c r="I4" s="20"/>
    </row>
    <row r="5" spans="4:12" ht="12.75">
      <c r="D5" s="72" t="s">
        <v>3</v>
      </c>
      <c r="E5" s="72" t="s">
        <v>4</v>
      </c>
      <c r="F5" s="72" t="s">
        <v>5</v>
      </c>
      <c r="G5" s="72" t="s">
        <v>63</v>
      </c>
      <c r="H5" s="72" t="s">
        <v>48</v>
      </c>
      <c r="I5" s="5" t="s">
        <v>49</v>
      </c>
      <c r="J5" s="72" t="s">
        <v>64</v>
      </c>
      <c r="K5" s="72" t="s">
        <v>65</v>
      </c>
      <c r="L5" s="72" t="s">
        <v>66</v>
      </c>
    </row>
    <row r="6" spans="2:12" ht="12.75">
      <c r="B6" s="72" t="s">
        <v>67</v>
      </c>
      <c r="C6" s="72" t="s">
        <v>68</v>
      </c>
      <c r="D6" s="116">
        <v>38352</v>
      </c>
      <c r="E6" s="116" t="s">
        <v>69</v>
      </c>
      <c r="F6" s="116" t="s">
        <v>70</v>
      </c>
      <c r="G6" s="72" t="s">
        <v>50</v>
      </c>
      <c r="H6" s="72" t="s">
        <v>70</v>
      </c>
      <c r="J6" s="72"/>
      <c r="K6" s="72" t="s">
        <v>71</v>
      </c>
      <c r="L6" s="72" t="s">
        <v>72</v>
      </c>
    </row>
    <row r="7" spans="2:12" ht="12.75">
      <c r="B7" s="72"/>
      <c r="C7" s="72"/>
      <c r="D7" s="72" t="s">
        <v>13</v>
      </c>
      <c r="E7" s="72" t="s">
        <v>70</v>
      </c>
      <c r="F7" s="72" t="s">
        <v>17</v>
      </c>
      <c r="G7" s="72" t="s">
        <v>73</v>
      </c>
      <c r="H7" s="72" t="s">
        <v>74</v>
      </c>
      <c r="I7" s="117" t="s">
        <v>52</v>
      </c>
      <c r="J7" s="72" t="s">
        <v>53</v>
      </c>
      <c r="K7" s="72" t="s">
        <v>72</v>
      </c>
      <c r="L7" s="72" t="s">
        <v>17</v>
      </c>
    </row>
    <row r="8" spans="2:12" ht="12.75">
      <c r="B8" s="72"/>
      <c r="C8" s="72"/>
      <c r="D8" s="72" t="s">
        <v>18</v>
      </c>
      <c r="E8" s="72" t="s">
        <v>75</v>
      </c>
      <c r="F8" s="72" t="s">
        <v>76</v>
      </c>
      <c r="G8" s="72" t="s">
        <v>77</v>
      </c>
      <c r="H8" s="72" t="s">
        <v>78</v>
      </c>
      <c r="J8" s="72"/>
      <c r="K8" s="72" t="s">
        <v>79</v>
      </c>
      <c r="L8" s="72" t="s">
        <v>16</v>
      </c>
    </row>
    <row r="9" spans="4:10" ht="12.75">
      <c r="D9" s="4" t="s">
        <v>20</v>
      </c>
      <c r="E9" s="72" t="s">
        <v>80</v>
      </c>
      <c r="F9" s="81" t="s">
        <v>81</v>
      </c>
      <c r="G9" s="81" t="s">
        <v>82</v>
      </c>
      <c r="I9" s="171" t="s">
        <v>59</v>
      </c>
      <c r="J9" s="171"/>
    </row>
    <row r="10" ht="12.75">
      <c r="A10" s="21" t="s">
        <v>23</v>
      </c>
    </row>
    <row r="11" spans="2:12" ht="12.75">
      <c r="B11" s="25"/>
      <c r="C11" s="32"/>
      <c r="D11" s="44"/>
      <c r="E11" s="118"/>
      <c r="F11" s="120"/>
      <c r="G11" s="120"/>
      <c r="H11" s="87"/>
      <c r="I11" s="88"/>
      <c r="J11" s="89"/>
      <c r="K11" s="87"/>
      <c r="L11" s="35"/>
    </row>
    <row r="12" spans="2:12" ht="12.75">
      <c r="B12" s="25">
        <v>376</v>
      </c>
      <c r="C12" s="17" t="s">
        <v>33</v>
      </c>
      <c r="D12" s="44">
        <v>518368514.22</v>
      </c>
      <c r="E12" s="58">
        <v>-32</v>
      </c>
      <c r="F12" s="87">
        <f>-E12/100*D12</f>
        <v>165877924.55040002</v>
      </c>
      <c r="G12" s="87">
        <f>(F12/I12)*(I12-J12)</f>
        <v>32401487.928844802</v>
      </c>
      <c r="H12" s="87">
        <f>+F12-G12</f>
        <v>133476436.62155521</v>
      </c>
      <c r="I12" s="101">
        <v>60</v>
      </c>
      <c r="J12" s="102">
        <v>48.28</v>
      </c>
      <c r="K12" s="87">
        <f>H12/J12</f>
        <v>2764632.07584</v>
      </c>
      <c r="L12" s="35">
        <f>+K12/D12</f>
        <v>0.005333333333333333</v>
      </c>
    </row>
    <row r="13" spans="2:12" ht="12.75">
      <c r="B13" s="25">
        <v>377</v>
      </c>
      <c r="C13" s="17" t="s">
        <v>34</v>
      </c>
      <c r="D13" s="44">
        <v>4004326.5</v>
      </c>
      <c r="E13" s="58">
        <v>-3</v>
      </c>
      <c r="F13" s="87">
        <f>-E13/100*D13</f>
        <v>120129.795</v>
      </c>
      <c r="G13" s="87">
        <f>(F13/I13)*(I13-J13)</f>
        <v>45139.68054545454</v>
      </c>
      <c r="H13" s="87">
        <f>+F13-G13</f>
        <v>74990.11445454546</v>
      </c>
      <c r="I13" s="103">
        <v>33</v>
      </c>
      <c r="J13" s="102">
        <v>20.6</v>
      </c>
      <c r="K13" s="87">
        <f>H13/J13</f>
        <v>3640.2968181818183</v>
      </c>
      <c r="L13" s="35">
        <f>+K13/D13</f>
        <v>0.0009090909090909091</v>
      </c>
    </row>
    <row r="14" spans="2:12" ht="12.75">
      <c r="B14" s="25">
        <v>378</v>
      </c>
      <c r="C14" s="17" t="s">
        <v>35</v>
      </c>
      <c r="D14" s="44">
        <v>24137813.02</v>
      </c>
      <c r="E14" s="58">
        <v>-29</v>
      </c>
      <c r="F14" s="87">
        <f>-E14/100*D14</f>
        <v>6999965.775799999</v>
      </c>
      <c r="G14" s="87">
        <f>(F14/I14)*(I14-J14)</f>
        <v>1338228.7512558822</v>
      </c>
      <c r="H14" s="87">
        <f>+F14-G14</f>
        <v>5661737.024544117</v>
      </c>
      <c r="I14" s="103">
        <v>34</v>
      </c>
      <c r="J14" s="102">
        <v>27.5</v>
      </c>
      <c r="K14" s="87">
        <f>H14/J14</f>
        <v>205881.3463470588</v>
      </c>
      <c r="L14" s="35">
        <f>+K14/D14</f>
        <v>0.00852941176470588</v>
      </c>
    </row>
    <row r="15" spans="2:12" ht="12.75">
      <c r="B15" s="25">
        <v>380</v>
      </c>
      <c r="C15" s="17" t="s">
        <v>36</v>
      </c>
      <c r="D15" s="44">
        <v>258828009.8</v>
      </c>
      <c r="E15" s="58">
        <v>-73</v>
      </c>
      <c r="F15" s="87">
        <f>-E15/100*D15</f>
        <v>188944447.154</v>
      </c>
      <c r="G15" s="87">
        <f>(F15/I15)*(I15-J15)</f>
        <v>38324232.03106967</v>
      </c>
      <c r="H15" s="87">
        <f>+F15-G15</f>
        <v>150620215.12293035</v>
      </c>
      <c r="I15" s="103">
        <v>60</v>
      </c>
      <c r="J15" s="102">
        <v>47.83</v>
      </c>
      <c r="K15" s="87">
        <f>H15/J15</f>
        <v>3149074.119233334</v>
      </c>
      <c r="L15" s="35">
        <f>+K15/D15</f>
        <v>0.01216666666666667</v>
      </c>
    </row>
    <row r="16" spans="2:12" ht="12.75">
      <c r="B16" s="25">
        <v>382</v>
      </c>
      <c r="C16" s="17" t="s">
        <v>40</v>
      </c>
      <c r="D16" s="44">
        <v>74509361.12</v>
      </c>
      <c r="E16" s="58">
        <v>-6</v>
      </c>
      <c r="F16" s="87">
        <f>-E16/100*D16</f>
        <v>4470561.6672</v>
      </c>
      <c r="G16" s="87">
        <f>(F16/I16)*(I16-J16)</f>
        <v>915919.9513287804</v>
      </c>
      <c r="H16" s="87">
        <f>+F16-G16</f>
        <v>3554641.7158712195</v>
      </c>
      <c r="I16" s="103">
        <v>41</v>
      </c>
      <c r="J16" s="102">
        <v>32.6</v>
      </c>
      <c r="K16" s="87">
        <f>H16/J16</f>
        <v>109038.08944390244</v>
      </c>
      <c r="L16" s="35">
        <f>+K16/D16</f>
        <v>0.0014634146341463415</v>
      </c>
    </row>
    <row r="17" spans="2:12" ht="12.75">
      <c r="B17" s="25"/>
      <c r="C17" s="25"/>
      <c r="D17" s="44"/>
      <c r="E17" s="58"/>
      <c r="F17" s="87"/>
      <c r="G17" s="87"/>
      <c r="H17" s="87"/>
      <c r="I17" s="88"/>
      <c r="J17" s="89"/>
      <c r="K17" s="87"/>
      <c r="L17" s="35"/>
    </row>
    <row r="18" spans="1:12" ht="12.75">
      <c r="A18" s="47" t="s">
        <v>45</v>
      </c>
      <c r="C18" s="21"/>
      <c r="D18" s="41">
        <f>+SUM(D12:D16)</f>
        <v>879848024.66</v>
      </c>
      <c r="E18" s="58"/>
      <c r="F18" s="41">
        <f>+SUM(F12:F16)</f>
        <v>366413028.94240004</v>
      </c>
      <c r="G18" s="41">
        <f>+SUM(G12:G16)</f>
        <v>73025008.3430446</v>
      </c>
      <c r="H18" s="41">
        <f>+SUM(H12:H16)</f>
        <v>293388020.59935546</v>
      </c>
      <c r="I18" s="88"/>
      <c r="J18" s="89"/>
      <c r="K18" s="41">
        <f>+SUM(K12:K16)</f>
        <v>6232265.927682477</v>
      </c>
      <c r="L18" s="41"/>
    </row>
    <row r="19" spans="3:12" ht="12.75">
      <c r="C19" s="25"/>
      <c r="D19" s="44"/>
      <c r="E19" s="58"/>
      <c r="F19" s="87"/>
      <c r="G19" s="87"/>
      <c r="H19" s="87"/>
      <c r="I19" s="103"/>
      <c r="J19" s="89"/>
      <c r="K19" s="87"/>
      <c r="L19" s="35"/>
    </row>
    <row r="20" spans="2:12" ht="12.75">
      <c r="B20" s="53"/>
      <c r="C20" s="3"/>
      <c r="D20" s="44"/>
      <c r="F20" s="87"/>
      <c r="G20" s="44"/>
      <c r="H20" s="87"/>
      <c r="I20" s="103"/>
      <c r="J20" s="121"/>
      <c r="K20" s="87"/>
      <c r="L20" s="35"/>
    </row>
    <row r="21" spans="2:12" ht="12.75">
      <c r="B21" s="56" t="s">
        <v>46</v>
      </c>
      <c r="C21" s="3" t="s">
        <v>47</v>
      </c>
      <c r="D21" s="44"/>
      <c r="F21" s="87"/>
      <c r="G21" s="44"/>
      <c r="H21" s="87"/>
      <c r="I21" s="103"/>
      <c r="J21" s="121"/>
      <c r="K21" s="87"/>
      <c r="L21" s="35"/>
    </row>
    <row r="22" spans="2:12" ht="12.75">
      <c r="B22" s="110"/>
      <c r="D22" s="44"/>
      <c r="F22" s="87"/>
      <c r="G22" s="44"/>
      <c r="H22" s="87"/>
      <c r="I22" s="103"/>
      <c r="J22" s="121"/>
      <c r="K22" s="87"/>
      <c r="L22" s="35"/>
    </row>
    <row r="23" spans="2:12" ht="12.75">
      <c r="B23" s="122"/>
      <c r="D23" s="44"/>
      <c r="F23" s="87"/>
      <c r="G23" s="44"/>
      <c r="H23" s="87"/>
      <c r="I23" s="88"/>
      <c r="J23" s="121"/>
      <c r="K23" s="87"/>
      <c r="L23" s="35"/>
    </row>
    <row r="24" spans="2:12" ht="12.75">
      <c r="B24" s="123"/>
      <c r="C24" s="124"/>
      <c r="D24" s="41"/>
      <c r="F24" s="41"/>
      <c r="G24" s="41"/>
      <c r="H24" s="41"/>
      <c r="I24" s="88"/>
      <c r="J24" s="125"/>
      <c r="K24" s="41"/>
      <c r="L24" s="119"/>
    </row>
    <row r="25" spans="2:12" ht="12.75">
      <c r="B25" s="126"/>
      <c r="C25" s="17"/>
      <c r="D25" s="41"/>
      <c r="F25" s="41"/>
      <c r="G25" s="41"/>
      <c r="H25" s="41"/>
      <c r="I25" s="103"/>
      <c r="K25" s="41"/>
      <c r="L25" s="119"/>
    </row>
    <row r="26" spans="2:12" ht="12.75">
      <c r="B26" s="126"/>
      <c r="C26" s="17"/>
      <c r="D26" s="44"/>
      <c r="F26" s="120"/>
      <c r="G26" s="44"/>
      <c r="H26" s="87"/>
      <c r="K26" s="127"/>
      <c r="L26" s="35"/>
    </row>
    <row r="27" spans="2:12" ht="12.75">
      <c r="B27" s="126"/>
      <c r="C27" s="126"/>
      <c r="D27" s="41"/>
      <c r="F27" s="41"/>
      <c r="G27" s="41"/>
      <c r="H27" s="41"/>
      <c r="K27" s="41"/>
      <c r="L27" s="119"/>
    </row>
    <row r="28" ht="12.75">
      <c r="E28" s="128"/>
    </row>
    <row r="29" ht="12.75">
      <c r="E29" s="129"/>
    </row>
  </sheetData>
  <mergeCells count="4">
    <mergeCell ref="B1:L1"/>
    <mergeCell ref="B2:L2"/>
    <mergeCell ref="B3:L3"/>
    <mergeCell ref="I9:J9"/>
  </mergeCells>
  <printOptions horizontalCentered="1"/>
  <pageMargins left="0.44" right="0.51" top="0.54" bottom="0.54" header="0.34" footer="0.33"/>
  <pageSetup fitToHeight="2" fitToWidth="1" horizontalDpi="300" verticalDpi="300" orientation="landscape" scale="77" r:id="rId1"/>
  <headerFooter alignWithMargins="0">
    <oddHeader>&amp;RExhibit_____(CWK-1)
Schedule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Grove Management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Geissler</dc:creator>
  <cp:keywords/>
  <dc:description/>
  <cp:lastModifiedBy>PSC</cp:lastModifiedBy>
  <cp:lastPrinted>2006-04-27T17:03:04Z</cp:lastPrinted>
  <dcterms:created xsi:type="dcterms:W3CDTF">2006-04-24T17:05:48Z</dcterms:created>
  <dcterms:modified xsi:type="dcterms:W3CDTF">2006-04-28T20:56:43Z</dcterms:modified>
  <cp:category/>
  <cp:version/>
  <cp:contentType/>
  <cp:contentStatus/>
</cp:coreProperties>
</file>