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853" activeTab="0"/>
  </bookViews>
  <sheets>
    <sheet name="Budget Summary" sheetId="1" r:id="rId1"/>
    <sheet name="Program Summaries" sheetId="2" r:id="rId2"/>
  </sheets>
  <definedNames>
    <definedName name="_xlnm.Print_Area" localSheetId="0">'Budget Summary'!$A$1:$S$52</definedName>
  </definedNames>
  <calcPr fullCalcOnLoad="1"/>
</workbook>
</file>

<file path=xl/sharedStrings.xml><?xml version="1.0" encoding="utf-8"?>
<sst xmlns="http://schemas.openxmlformats.org/spreadsheetml/2006/main" count="195" uniqueCount="97">
  <si>
    <t>Category</t>
  </si>
  <si>
    <t>Contractor Administration</t>
  </si>
  <si>
    <t>QGC Audit Services</t>
  </si>
  <si>
    <t>Market Transformation</t>
  </si>
  <si>
    <t>Total</t>
  </si>
  <si>
    <t>TOTAL</t>
  </si>
  <si>
    <t>Projected Participants</t>
  </si>
  <si>
    <t>/1</t>
  </si>
  <si>
    <t>Incentives (Rebates)</t>
  </si>
  <si>
    <t>/2</t>
  </si>
  <si>
    <t>yrs</t>
  </si>
  <si>
    <t>Low Income Weatherization</t>
  </si>
  <si>
    <t>/6</t>
  </si>
  <si>
    <t>Special State Program Funding</t>
  </si>
  <si>
    <t>Residential Appliances</t>
  </si>
  <si>
    <t>Commercial Equipment</t>
  </si>
  <si>
    <t>/1a</t>
  </si>
  <si>
    <t>/3</t>
  </si>
  <si>
    <t>/1b</t>
  </si>
  <si>
    <t>/1c</t>
  </si>
  <si>
    <t>Efficiency Measures Incentives</t>
  </si>
  <si>
    <t>/4</t>
  </si>
  <si>
    <t>/7</t>
  </si>
  <si>
    <t>QGC Management &amp; Admin.</t>
  </si>
  <si>
    <t>Contractor Ongoing Marketing</t>
  </si>
  <si>
    <t>/8</t>
  </si>
  <si>
    <t>/5</t>
  </si>
  <si>
    <t>/9</t>
  </si>
  <si>
    <t>QGC Program Development</t>
  </si>
  <si>
    <t>QGC Development Marketing</t>
  </si>
  <si>
    <t>Contractor Development Marketing</t>
  </si>
  <si>
    <t>Contractor Program Development</t>
  </si>
  <si>
    <t>Process &amp; Impact Evaluation</t>
  </si>
  <si>
    <t>Advertising / Creative Development</t>
  </si>
  <si>
    <t>Public Relations</t>
  </si>
  <si>
    <t>Online Search Advertising</t>
  </si>
  <si>
    <t>Media Purchases</t>
  </si>
  <si>
    <t>/7a</t>
  </si>
  <si>
    <t>/7b</t>
  </si>
  <si>
    <t>/7c</t>
  </si>
  <si>
    <t>% of Total</t>
  </si>
  <si>
    <t>Development</t>
  </si>
  <si>
    <t>Incentives</t>
  </si>
  <si>
    <t>Evaluation</t>
  </si>
  <si>
    <t>Marketing</t>
  </si>
  <si>
    <t>Residential Incentive Program Budget</t>
  </si>
  <si>
    <t>Participants</t>
  </si>
  <si>
    <t>Simple Payback</t>
  </si>
  <si>
    <t>Annual Dth Savings</t>
  </si>
  <si>
    <t>Avoided Gas Cost  per Year</t>
  </si>
  <si>
    <t>Residential Incentive Program Customer Savings</t>
  </si>
  <si>
    <r>
      <t>ENERGY STAR</t>
    </r>
    <r>
      <rPr>
        <b/>
        <sz val="14"/>
        <rFont val="Arial"/>
        <family val="0"/>
      </rPr>
      <t>®</t>
    </r>
    <r>
      <rPr>
        <b/>
        <sz val="14"/>
        <rFont val="Arial"/>
        <family val="2"/>
      </rPr>
      <t xml:space="preserve"> Homes Program Budget</t>
    </r>
  </si>
  <si>
    <r>
      <t>ENERGY STAR</t>
    </r>
    <r>
      <rPr>
        <b/>
        <sz val="14"/>
        <rFont val="Arial"/>
        <family val="0"/>
      </rPr>
      <t>®</t>
    </r>
    <r>
      <rPr>
        <b/>
        <sz val="14"/>
        <rFont val="Arial"/>
        <family val="2"/>
      </rPr>
      <t xml:space="preserve"> Homes Program Customer Savings</t>
    </r>
  </si>
  <si>
    <t>/2a</t>
  </si>
  <si>
    <r>
      <t xml:space="preserve">Commercial Incentive </t>
    </r>
    <r>
      <rPr>
        <b/>
        <sz val="14"/>
        <rFont val="Arial"/>
        <family val="2"/>
      </rPr>
      <t>Program Budget</t>
    </r>
  </si>
  <si>
    <t>Commercial Incentive Program Customer Savings</t>
  </si>
  <si>
    <t>Audit &amp; Weatherization Program Budget</t>
  </si>
  <si>
    <t>Audit &amp; Weatherization Program Customer Savings</t>
  </si>
  <si>
    <t>DSM Portfolio Level Budget</t>
  </si>
  <si>
    <t>DSM Portfolio Customer Savings</t>
  </si>
  <si>
    <t>Delivery</t>
  </si>
  <si>
    <t>Percent of Total Budget</t>
  </si>
  <si>
    <t xml:space="preserve">Design </t>
  </si>
  <si>
    <t>A</t>
  </si>
  <si>
    <t>B</t>
  </si>
  <si>
    <t>C</t>
  </si>
  <si>
    <t>D</t>
  </si>
  <si>
    <t>F</t>
  </si>
  <si>
    <t>E</t>
  </si>
  <si>
    <t>G</t>
  </si>
  <si>
    <t>H</t>
  </si>
  <si>
    <t>I</t>
  </si>
  <si>
    <t>Nexant program design and participation projections including foAudits technology and mail-in rebates (1,695 on-site audits, 1,695 mail-in audits and 501 weatherization rebate participants)</t>
  </si>
  <si>
    <t>Funding for State of Utah Low Income Weatherization Assistance Program</t>
  </si>
  <si>
    <t>Funding for State Energy Program Building Code Training</t>
  </si>
  <si>
    <t>New Home Construction</t>
  </si>
  <si>
    <t>Program Management plus 300 hours @ $58/hr., including 65% overhead, for analysis, reconciliations, cost effectiveness, etc.</t>
  </si>
  <si>
    <t>200 hours @ $67/hr, including 65% overhead, for program marketing material development</t>
  </si>
  <si>
    <t>Based on current market rates with 3rd-party service providers</t>
  </si>
  <si>
    <t>Questar Gas Company</t>
  </si>
  <si>
    <t>Docket No. 05-057-T01</t>
  </si>
  <si>
    <t>Included measures for participating audit customers, inlcude: Water Heater Blanket ($14 * 734), Low Flow Shower Head ($6.20 * 1,102), Faucet Aerator ($3.00 * 2,204) and Pipe Insulation ($4.00 * 1,763)</t>
  </si>
  <si>
    <t>Residential Audit</t>
  </si>
  <si>
    <t>QGC DSM Exhibit 1.9</t>
  </si>
  <si>
    <t>PECI Program Design and Participation Projections per contract</t>
  </si>
  <si>
    <t>One FTE Builder Marketing Reps</t>
  </si>
  <si>
    <t>Nexant Program Design and Participation Projections per contract</t>
  </si>
  <si>
    <t>Richter7 Marketing Development and Advertising and Analysis and Campaign Research / Evaluation Proposal</t>
  </si>
  <si>
    <t>100 hours/month @ $75/hr, including 65% overhead, for DSM marketing development and $20,000 for marketing material production and supplies</t>
  </si>
  <si>
    <t>QGC DSM Programs - First Year Budget</t>
  </si>
  <si>
    <t>QGC Field Representatives</t>
  </si>
  <si>
    <t>Projected Annual Net Dth Savings</t>
  </si>
  <si>
    <t>Projected 1st Yr Net Avoided Cost</t>
  </si>
  <si>
    <t>Projected total rebate participation: Weatherization = 501, Audit = 339; trade-ally management costs ($32,500); and admin. for mail-in audits ($45*1,695 =$76,275)</t>
  </si>
  <si>
    <t xml:space="preserve">QGC Audit Techs performing 1,695 audits (3 hours per audit), including vehicle and equipment costs = $75 / hr., plus full-time coordinator @ $67/hr, including 65% overhead.  Costs have been reduced by </t>
  </si>
  <si>
    <t>20% to reflect non-DSM related costs.</t>
  </si>
  <si>
    <t>20 hours/month @ $67/hr, including 65% overhead, for program marketing and 20 hours/month @ $67/hr, including 65% overhead for sales / promotions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</si>
</sst>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_);\(#,##0.00000\)"/>
    <numFmt numFmtId="166" formatCode="[$-409]dddd\,\ mmmm\ dd\,\ yyyy"/>
    <numFmt numFmtId="167" formatCode="m/d/yy;@"/>
    <numFmt numFmtId="168" formatCode="0.0%"/>
    <numFmt numFmtId="169" formatCode="#,##0.0"/>
    <numFmt numFmtId="170" formatCode="&quot;$&quot;#,##0.0"/>
    <numFmt numFmtId="171" formatCode="&quot;$&quot;#,##0.00"/>
    <numFmt numFmtId="172" formatCode="mm/dd/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6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0" fillId="6" borderId="9" xfId="0" applyFont="1" applyFill="1" applyBorder="1" applyAlignment="1">
      <alignment/>
    </xf>
    <xf numFmtId="164" fontId="9" fillId="6" borderId="10" xfId="0" applyNumberFormat="1" applyFont="1" applyFill="1" applyBorder="1" applyAlignment="1">
      <alignment/>
    </xf>
    <xf numFmtId="0" fontId="9" fillId="6" borderId="10" xfId="0" applyFont="1" applyFill="1" applyBorder="1" applyAlignment="1" quotePrefix="1">
      <alignment/>
    </xf>
    <xf numFmtId="164" fontId="0" fillId="6" borderId="10" xfId="0" applyNumberFormat="1" applyFont="1" applyFill="1" applyBorder="1" applyAlignment="1">
      <alignment/>
    </xf>
    <xf numFmtId="0" fontId="0" fillId="6" borderId="10" xfId="0" applyFont="1" applyFill="1" applyBorder="1" applyAlignment="1" quotePrefix="1">
      <alignment/>
    </xf>
    <xf numFmtId="0" fontId="7" fillId="6" borderId="10" xfId="0" applyFont="1" applyFill="1" applyBorder="1" applyAlignment="1">
      <alignment/>
    </xf>
    <xf numFmtId="164" fontId="2" fillId="6" borderId="10" xfId="0" applyNumberFormat="1" applyFont="1" applyFill="1" applyBorder="1" applyAlignment="1">
      <alignment/>
    </xf>
    <xf numFmtId="168" fontId="0" fillId="6" borderId="11" xfId="0" applyNumberForma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 quotePrefix="1">
      <alignment/>
    </xf>
    <xf numFmtId="0" fontId="7" fillId="6" borderId="6" xfId="0" applyFont="1" applyFill="1" applyBorder="1" applyAlignment="1">
      <alignment/>
    </xf>
    <xf numFmtId="164" fontId="2" fillId="6" borderId="6" xfId="0" applyNumberFormat="1" applyFont="1" applyFill="1" applyBorder="1" applyAlignment="1">
      <alignment/>
    </xf>
    <xf numFmtId="168" fontId="0" fillId="6" borderId="7" xfId="0" applyNumberFormat="1" applyFill="1" applyBorder="1" applyAlignment="1">
      <alignment/>
    </xf>
    <xf numFmtId="0" fontId="9" fillId="6" borderId="6" xfId="0" applyFont="1" applyFill="1" applyBorder="1" applyAlignment="1" quotePrefix="1">
      <alignment/>
    </xf>
    <xf numFmtId="0" fontId="9" fillId="6" borderId="6" xfId="0" applyFont="1" applyFill="1" applyBorder="1" applyAlignment="1" quotePrefix="1">
      <alignment horizontal="left"/>
    </xf>
    <xf numFmtId="0" fontId="9" fillId="6" borderId="6" xfId="0" applyFont="1" applyFill="1" applyBorder="1" applyAlignment="1">
      <alignment/>
    </xf>
    <xf numFmtId="0" fontId="7" fillId="6" borderId="6" xfId="0" applyFont="1" applyFill="1" applyBorder="1" applyAlignment="1" quotePrefix="1">
      <alignment/>
    </xf>
    <xf numFmtId="0" fontId="2" fillId="6" borderId="2" xfId="0" applyFont="1" applyFill="1" applyBorder="1" applyAlignment="1">
      <alignment/>
    </xf>
    <xf numFmtId="164" fontId="10" fillId="6" borderId="3" xfId="0" applyNumberFormat="1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164" fontId="2" fillId="6" borderId="3" xfId="0" applyNumberFormat="1" applyFont="1" applyFill="1" applyBorder="1" applyAlignment="1">
      <alignment/>
    </xf>
    <xf numFmtId="168" fontId="0" fillId="6" borderId="4" xfId="0" applyNumberFormat="1" applyFill="1" applyBorder="1" applyAlignment="1">
      <alignment/>
    </xf>
    <xf numFmtId="0" fontId="0" fillId="6" borderId="12" xfId="0" applyFill="1" applyBorder="1" applyAlignment="1">
      <alignment/>
    </xf>
    <xf numFmtId="3" fontId="9" fillId="6" borderId="13" xfId="0" applyNumberFormat="1" applyFont="1" applyFill="1" applyBorder="1" applyAlignment="1">
      <alignment/>
    </xf>
    <xf numFmtId="0" fontId="9" fillId="6" borderId="13" xfId="0" applyFont="1" applyFill="1" applyBorder="1" applyAlignment="1" quotePrefix="1">
      <alignment/>
    </xf>
    <xf numFmtId="0" fontId="9" fillId="6" borderId="14" xfId="0" applyFont="1" applyFill="1" applyBorder="1" applyAlignment="1" quotePrefix="1">
      <alignment/>
    </xf>
    <xf numFmtId="0" fontId="9" fillId="6" borderId="14" xfId="0" applyFont="1" applyFill="1" applyBorder="1" applyAlignment="1" quotePrefix="1">
      <alignment horizontal="left"/>
    </xf>
    <xf numFmtId="3" fontId="7" fillId="6" borderId="13" xfId="0" applyNumberFormat="1" applyFont="1" applyFill="1" applyBorder="1" applyAlignment="1">
      <alignment/>
    </xf>
    <xf numFmtId="0" fontId="7" fillId="6" borderId="13" xfId="0" applyFont="1" applyFill="1" applyBorder="1" applyAlignment="1">
      <alignment/>
    </xf>
    <xf numFmtId="3" fontId="0" fillId="6" borderId="13" xfId="0" applyNumberFormat="1" applyFill="1" applyBorder="1" applyAlignment="1">
      <alignment/>
    </xf>
    <xf numFmtId="0" fontId="0" fillId="6" borderId="13" xfId="0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5" xfId="0" applyFill="1" applyBorder="1" applyAlignment="1">
      <alignment/>
    </xf>
    <xf numFmtId="3" fontId="9" fillId="6" borderId="6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/>
    </xf>
    <xf numFmtId="3" fontId="0" fillId="6" borderId="6" xfId="0" applyNumberFormat="1" applyFill="1" applyBorder="1" applyAlignment="1">
      <alignment/>
    </xf>
    <xf numFmtId="0" fontId="0" fillId="6" borderId="6" xfId="0" applyFill="1" applyBorder="1" applyAlignment="1">
      <alignment/>
    </xf>
    <xf numFmtId="164" fontId="0" fillId="6" borderId="7" xfId="0" applyNumberFormat="1" applyFill="1" applyBorder="1" applyAlignment="1">
      <alignment/>
    </xf>
    <xf numFmtId="0" fontId="0" fillId="6" borderId="5" xfId="0" applyFill="1" applyBorder="1" applyAlignment="1">
      <alignment wrapText="1"/>
    </xf>
    <xf numFmtId="164" fontId="9" fillId="6" borderId="6" xfId="0" applyNumberFormat="1" applyFont="1" applyFill="1" applyBorder="1" applyAlignment="1">
      <alignment/>
    </xf>
    <xf numFmtId="171" fontId="7" fillId="6" borderId="6" xfId="0" applyNumberFormat="1" applyFont="1" applyFill="1" applyBorder="1" applyAlignment="1">
      <alignment/>
    </xf>
    <xf numFmtId="164" fontId="0" fillId="6" borderId="6" xfId="0" applyNumberFormat="1" applyFill="1" applyBorder="1" applyAlignment="1">
      <alignment/>
    </xf>
    <xf numFmtId="4" fontId="0" fillId="6" borderId="7" xfId="0" applyNumberFormat="1" applyFill="1" applyBorder="1" applyAlignment="1">
      <alignment/>
    </xf>
    <xf numFmtId="0" fontId="0" fillId="6" borderId="2" xfId="0" applyFill="1" applyBorder="1" applyAlignment="1">
      <alignment wrapText="1"/>
    </xf>
    <xf numFmtId="4" fontId="0" fillId="6" borderId="3" xfId="0" applyNumberFormat="1" applyFill="1" applyBorder="1" applyAlignment="1">
      <alignment/>
    </xf>
    <xf numFmtId="0" fontId="0" fillId="6" borderId="3" xfId="0" applyFill="1" applyBorder="1" applyAlignment="1">
      <alignment/>
    </xf>
    <xf numFmtId="169" fontId="0" fillId="6" borderId="3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 wrapText="1"/>
    </xf>
    <xf numFmtId="4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169" fontId="0" fillId="6" borderId="0" xfId="0" applyNumberFormat="1" applyFill="1" applyBorder="1" applyAlignment="1">
      <alignment/>
    </xf>
    <xf numFmtId="0" fontId="0" fillId="6" borderId="0" xfId="0" applyFill="1" applyAlignment="1">
      <alignment wrapText="1"/>
    </xf>
    <xf numFmtId="164" fontId="0" fillId="6" borderId="0" xfId="0" applyNumberFormat="1" applyFill="1" applyAlignment="1">
      <alignment/>
    </xf>
    <xf numFmtId="0" fontId="3" fillId="6" borderId="0" xfId="0" applyFont="1" applyFill="1" applyAlignment="1" quotePrefix="1">
      <alignment/>
    </xf>
    <xf numFmtId="0" fontId="3" fillId="6" borderId="0" xfId="0" applyFont="1" applyFill="1" applyAlignment="1" quotePrefix="1">
      <alignment horizontal="lef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/>
    </xf>
    <xf numFmtId="165" fontId="0" fillId="6" borderId="0" xfId="0" applyNumberForma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8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167" fontId="2" fillId="6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12" fillId="6" borderId="0" xfId="0" applyFont="1" applyFill="1" applyAlignment="1" quotePrefix="1">
      <alignment horizontal="right" textRotation="180"/>
    </xf>
    <xf numFmtId="0" fontId="12" fillId="6" borderId="0" xfId="0" applyFont="1" applyFill="1" applyAlignment="1">
      <alignment horizontal="center" textRotation="180"/>
    </xf>
    <xf numFmtId="0" fontId="6" fillId="6" borderId="0" xfId="0" applyFont="1" applyFill="1" applyAlignment="1" quotePrefix="1">
      <alignment horizontal="center"/>
    </xf>
    <xf numFmtId="0" fontId="6" fillId="6" borderId="0" xfId="0" applyFont="1" applyFill="1" applyAlignment="1">
      <alignment horizontal="center"/>
    </xf>
    <xf numFmtId="172" fontId="1" fillId="6" borderId="0" xfId="0" applyNumberFormat="1" applyFont="1" applyFill="1" applyAlignment="1">
      <alignment horizontal="center"/>
    </xf>
    <xf numFmtId="0" fontId="2" fillId="3" borderId="19" xfId="0" applyFont="1" applyFill="1" applyBorder="1" applyAlignment="1" quotePrefix="1">
      <alignment horizontal="center" wrapText="1"/>
    </xf>
    <xf numFmtId="0" fontId="2" fillId="3" borderId="20" xfId="0" applyFont="1" applyFill="1" applyBorder="1" applyAlignment="1" quotePrefix="1">
      <alignment horizontal="center" wrapText="1"/>
    </xf>
    <xf numFmtId="0" fontId="2" fillId="3" borderId="21" xfId="0" applyFont="1" applyFill="1" applyBorder="1" applyAlignment="1" quotePrefix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75" zoomScaleNormal="75" workbookViewId="0" topLeftCell="A12">
      <selection activeCell="D17" sqref="D17"/>
    </sheetView>
  </sheetViews>
  <sheetFormatPr defaultColWidth="9.140625" defaultRowHeight="12.75"/>
  <cols>
    <col min="1" max="1" width="4.421875" style="19" bestFit="1" customWidth="1"/>
    <col min="2" max="2" width="3.421875" style="0" bestFit="1" customWidth="1"/>
    <col min="3" max="3" width="31.421875" style="0" customWidth="1"/>
    <col min="4" max="4" width="13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7109375" style="0" customWidth="1"/>
    <col min="9" max="9" width="3.7109375" style="0" customWidth="1"/>
    <col min="10" max="10" width="14.7109375" style="0" customWidth="1"/>
    <col min="11" max="11" width="3.7109375" style="0" customWidth="1"/>
    <col min="12" max="12" width="14.7109375" style="0" customWidth="1"/>
    <col min="13" max="13" width="3.7109375" style="0" customWidth="1"/>
    <col min="14" max="14" width="12.140625" style="0" customWidth="1"/>
    <col min="15" max="15" width="3.7109375" style="0" customWidth="1"/>
    <col min="16" max="16" width="12.7109375" style="0" customWidth="1"/>
    <col min="17" max="17" width="8.140625" style="0" customWidth="1"/>
    <col min="18" max="19" width="3.28125" style="88" customWidth="1"/>
  </cols>
  <sheetData>
    <row r="1" spans="1:19" s="20" customFormat="1" ht="18">
      <c r="A1" s="23"/>
      <c r="B1" s="24"/>
      <c r="C1" s="100" t="s">
        <v>89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24"/>
      <c r="R1" s="85"/>
      <c r="S1" s="85"/>
    </row>
    <row r="2" spans="1:19" s="20" customFormat="1" ht="18">
      <c r="A2" s="23"/>
      <c r="B2" s="2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24"/>
      <c r="R2" s="85"/>
      <c r="S2" s="85"/>
    </row>
    <row r="3" spans="1:19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86"/>
      <c r="S3" s="86"/>
    </row>
    <row r="4" spans="1:19" s="95" customFormat="1" ht="16.5" customHeight="1" thickBot="1">
      <c r="A4" s="92"/>
      <c r="B4" s="93"/>
      <c r="C4" s="94" t="s">
        <v>63</v>
      </c>
      <c r="D4" s="92" t="s">
        <v>64</v>
      </c>
      <c r="E4" s="92"/>
      <c r="F4" s="92" t="s">
        <v>65</v>
      </c>
      <c r="G4" s="92"/>
      <c r="H4" s="92" t="s">
        <v>66</v>
      </c>
      <c r="I4" s="92"/>
      <c r="J4" s="92" t="s">
        <v>68</v>
      </c>
      <c r="K4" s="92"/>
      <c r="L4" s="92" t="s">
        <v>67</v>
      </c>
      <c r="M4" s="92"/>
      <c r="N4" s="92" t="s">
        <v>69</v>
      </c>
      <c r="O4" s="92"/>
      <c r="P4" s="92" t="s">
        <v>70</v>
      </c>
      <c r="Q4" s="92" t="s">
        <v>71</v>
      </c>
      <c r="R4" s="92"/>
      <c r="S4" s="92"/>
    </row>
    <row r="5" spans="1:19" ht="39" customHeight="1" thickBot="1">
      <c r="A5" s="21"/>
      <c r="B5" s="22"/>
      <c r="C5" s="89" t="s">
        <v>0</v>
      </c>
      <c r="D5" s="105" t="s">
        <v>82</v>
      </c>
      <c r="E5" s="97"/>
      <c r="F5" s="103" t="s">
        <v>75</v>
      </c>
      <c r="G5" s="104"/>
      <c r="H5" s="96" t="s">
        <v>14</v>
      </c>
      <c r="I5" s="97"/>
      <c r="J5" s="96" t="s">
        <v>15</v>
      </c>
      <c r="K5" s="97"/>
      <c r="L5" s="96" t="s">
        <v>3</v>
      </c>
      <c r="M5" s="97"/>
      <c r="N5" s="96" t="s">
        <v>11</v>
      </c>
      <c r="O5" s="97"/>
      <c r="P5" s="90" t="s">
        <v>4</v>
      </c>
      <c r="Q5" s="91" t="s">
        <v>40</v>
      </c>
      <c r="R5" s="86"/>
      <c r="S5" s="86"/>
    </row>
    <row r="6" spans="1:19" ht="12.75">
      <c r="A6" s="21">
        <v>1</v>
      </c>
      <c r="B6" s="22"/>
      <c r="C6" s="25" t="s">
        <v>62</v>
      </c>
      <c r="D6" s="26">
        <v>115000</v>
      </c>
      <c r="E6" s="27" t="s">
        <v>7</v>
      </c>
      <c r="F6" s="26">
        <f>60200+1990</f>
        <v>62190</v>
      </c>
      <c r="G6" s="27" t="s">
        <v>9</v>
      </c>
      <c r="H6" s="26">
        <v>52270</v>
      </c>
      <c r="I6" s="27" t="s">
        <v>17</v>
      </c>
      <c r="J6" s="28">
        <v>14000</v>
      </c>
      <c r="K6" s="29" t="s">
        <v>21</v>
      </c>
      <c r="L6" s="26"/>
      <c r="M6" s="30"/>
      <c r="N6" s="26"/>
      <c r="O6" s="30"/>
      <c r="P6" s="31">
        <f>SUM(N6,L6,J6,H6,F6,D6)</f>
        <v>243460</v>
      </c>
      <c r="Q6" s="32">
        <f aca="true" t="shared" si="0" ref="Q6:Q24">P6/$P$24</f>
        <v>0.03483722377307203</v>
      </c>
      <c r="R6" s="86"/>
      <c r="S6" s="86"/>
    </row>
    <row r="7" spans="1:19" ht="12.75">
      <c r="A7" s="21">
        <v>2</v>
      </c>
      <c r="B7" s="22"/>
      <c r="C7" s="33" t="s">
        <v>23</v>
      </c>
      <c r="D7" s="26">
        <f>((90000*1.65)+(300*58))/5</f>
        <v>33180</v>
      </c>
      <c r="E7" s="34" t="s">
        <v>22</v>
      </c>
      <c r="F7" s="26">
        <f>((90000*1.65)+(300*58))/5</f>
        <v>33180</v>
      </c>
      <c r="G7" s="34" t="s">
        <v>22</v>
      </c>
      <c r="H7" s="26">
        <f>((90000*1.65)+(300*58))/5</f>
        <v>33180</v>
      </c>
      <c r="I7" s="34" t="s">
        <v>22</v>
      </c>
      <c r="J7" s="26">
        <f>((90000*1.65)+(300*58))/5</f>
        <v>33180</v>
      </c>
      <c r="K7" s="34" t="s">
        <v>22</v>
      </c>
      <c r="L7" s="26">
        <f>((90000*1.65)+(300*58))/5</f>
        <v>33180</v>
      </c>
      <c r="M7" s="34" t="s">
        <v>22</v>
      </c>
      <c r="N7" s="26"/>
      <c r="O7" s="35"/>
      <c r="P7" s="36">
        <f aca="true" t="shared" si="1" ref="P7:P23">SUM(N7,L7,J7,H7,F7,D7)</f>
        <v>165900</v>
      </c>
      <c r="Q7" s="37">
        <f t="shared" si="0"/>
        <v>0.023738993772909923</v>
      </c>
      <c r="R7" s="86"/>
      <c r="S7" s="86"/>
    </row>
    <row r="8" spans="1:19" ht="12.75">
      <c r="A8" s="21">
        <v>3</v>
      </c>
      <c r="B8" s="22"/>
      <c r="C8" s="33" t="s">
        <v>28</v>
      </c>
      <c r="D8" s="26"/>
      <c r="E8" s="38"/>
      <c r="F8" s="26"/>
      <c r="G8" s="35"/>
      <c r="H8" s="26"/>
      <c r="I8" s="35"/>
      <c r="J8" s="26"/>
      <c r="K8" s="35"/>
      <c r="L8" s="26">
        <f>100*75+20000</f>
        <v>27500</v>
      </c>
      <c r="M8" s="39" t="s">
        <v>39</v>
      </c>
      <c r="N8" s="26"/>
      <c r="O8" s="35"/>
      <c r="P8" s="36">
        <f t="shared" si="1"/>
        <v>27500</v>
      </c>
      <c r="Q8" s="37">
        <f t="shared" si="0"/>
        <v>0.003935035134147215</v>
      </c>
      <c r="R8" s="86"/>
      <c r="S8" s="86"/>
    </row>
    <row r="9" spans="1:19" ht="12.75">
      <c r="A9" s="21">
        <v>4</v>
      </c>
      <c r="B9" s="22"/>
      <c r="C9" s="33" t="s">
        <v>29</v>
      </c>
      <c r="D9" s="26">
        <f>200*67</f>
        <v>13400</v>
      </c>
      <c r="E9" s="38" t="s">
        <v>37</v>
      </c>
      <c r="F9" s="26"/>
      <c r="G9" s="35"/>
      <c r="H9" s="26"/>
      <c r="I9" s="35"/>
      <c r="J9" s="26">
        <f>200*67</f>
        <v>13400</v>
      </c>
      <c r="K9" s="39" t="s">
        <v>37</v>
      </c>
      <c r="L9" s="26"/>
      <c r="M9" s="40"/>
      <c r="N9" s="26"/>
      <c r="O9" s="35"/>
      <c r="P9" s="36">
        <f t="shared" si="1"/>
        <v>26800</v>
      </c>
      <c r="Q9" s="37">
        <f t="shared" si="0"/>
        <v>0.0038348706034598314</v>
      </c>
      <c r="R9" s="86"/>
      <c r="S9" s="86"/>
    </row>
    <row r="10" spans="1:19" ht="12.75">
      <c r="A10" s="21">
        <v>5</v>
      </c>
      <c r="B10" s="22"/>
      <c r="C10" s="33" t="s">
        <v>30</v>
      </c>
      <c r="D10" s="26"/>
      <c r="E10" s="35"/>
      <c r="F10" s="26">
        <v>49000</v>
      </c>
      <c r="G10" s="38" t="s">
        <v>9</v>
      </c>
      <c r="H10" s="26">
        <v>23500</v>
      </c>
      <c r="I10" s="38" t="s">
        <v>17</v>
      </c>
      <c r="J10" s="26"/>
      <c r="K10" s="35"/>
      <c r="L10" s="26"/>
      <c r="M10" s="40"/>
      <c r="N10" s="26"/>
      <c r="O10" s="35"/>
      <c r="P10" s="36">
        <f t="shared" si="1"/>
        <v>72500</v>
      </c>
      <c r="Q10" s="37">
        <f t="shared" si="0"/>
        <v>0.01037418353547902</v>
      </c>
      <c r="R10" s="86"/>
      <c r="S10" s="86"/>
    </row>
    <row r="11" spans="1:19" ht="12.75">
      <c r="A11" s="21">
        <v>6</v>
      </c>
      <c r="B11" s="22"/>
      <c r="C11" s="33" t="s">
        <v>31</v>
      </c>
      <c r="D11" s="26">
        <v>15000</v>
      </c>
      <c r="E11" s="38" t="s">
        <v>7</v>
      </c>
      <c r="F11" s="26">
        <f>104550+6640</f>
        <v>111190</v>
      </c>
      <c r="G11" s="38" t="s">
        <v>9</v>
      </c>
      <c r="H11" s="26">
        <f>52500+3185</f>
        <v>55685</v>
      </c>
      <c r="I11" s="38" t="s">
        <v>17</v>
      </c>
      <c r="J11" s="26">
        <v>55000</v>
      </c>
      <c r="K11" s="38" t="s">
        <v>21</v>
      </c>
      <c r="L11" s="26"/>
      <c r="M11" s="40"/>
      <c r="N11" s="26"/>
      <c r="O11" s="35"/>
      <c r="P11" s="36">
        <f t="shared" si="1"/>
        <v>236875</v>
      </c>
      <c r="Q11" s="37">
        <f t="shared" si="0"/>
        <v>0.03389496172367715</v>
      </c>
      <c r="R11" s="86"/>
      <c r="S11" s="86"/>
    </row>
    <row r="12" spans="1:19" ht="12.75">
      <c r="A12" s="21">
        <v>7</v>
      </c>
      <c r="B12" s="22"/>
      <c r="C12" s="33" t="s">
        <v>1</v>
      </c>
      <c r="D12" s="26">
        <f>(501+339)*19+32500+45*1695</f>
        <v>124735</v>
      </c>
      <c r="E12" s="38" t="s">
        <v>16</v>
      </c>
      <c r="F12" s="26">
        <f>205347.5+7950+15000</f>
        <v>228297.5</v>
      </c>
      <c r="G12" s="38" t="s">
        <v>9</v>
      </c>
      <c r="H12" s="26">
        <f>211641.85+7140+25000</f>
        <v>243781.85</v>
      </c>
      <c r="I12" s="38" t="s">
        <v>17</v>
      </c>
      <c r="J12" s="26">
        <f>J26*24</f>
        <v>11688</v>
      </c>
      <c r="K12" s="38" t="s">
        <v>21</v>
      </c>
      <c r="L12" s="26"/>
      <c r="M12" s="40"/>
      <c r="N12" s="26"/>
      <c r="O12" s="41"/>
      <c r="P12" s="36">
        <f t="shared" si="1"/>
        <v>608502.35</v>
      </c>
      <c r="Q12" s="37">
        <f t="shared" si="0"/>
        <v>0.08707193187131437</v>
      </c>
      <c r="R12" s="86"/>
      <c r="S12" s="86"/>
    </row>
    <row r="13" spans="1:19" ht="12.75">
      <c r="A13" s="21">
        <v>8</v>
      </c>
      <c r="B13" s="22"/>
      <c r="C13" s="33" t="s">
        <v>24</v>
      </c>
      <c r="D13" s="26"/>
      <c r="E13" s="35"/>
      <c r="F13" s="26">
        <v>84500</v>
      </c>
      <c r="G13" s="38" t="s">
        <v>9</v>
      </c>
      <c r="H13" s="26">
        <v>40700</v>
      </c>
      <c r="I13" s="38" t="s">
        <v>17</v>
      </c>
      <c r="J13" s="26"/>
      <c r="K13" s="35"/>
      <c r="L13" s="26"/>
      <c r="M13" s="40"/>
      <c r="N13" s="26"/>
      <c r="O13" s="35"/>
      <c r="P13" s="36">
        <f t="shared" si="1"/>
        <v>125200</v>
      </c>
      <c r="Q13" s="37">
        <f t="shared" si="0"/>
        <v>0.017915141774372048</v>
      </c>
      <c r="R13" s="86"/>
      <c r="S13" s="86"/>
    </row>
    <row r="14" spans="1:19" ht="12.75">
      <c r="A14" s="21">
        <v>9</v>
      </c>
      <c r="B14" s="22"/>
      <c r="C14" s="33" t="s">
        <v>90</v>
      </c>
      <c r="D14" s="26"/>
      <c r="E14" s="38"/>
      <c r="F14" s="26">
        <f>75000*1.65</f>
        <v>123750</v>
      </c>
      <c r="G14" s="38" t="s">
        <v>53</v>
      </c>
      <c r="H14" s="26"/>
      <c r="I14" s="35"/>
      <c r="J14" s="26">
        <f>(40*12)*67</f>
        <v>32160</v>
      </c>
      <c r="K14" s="39" t="s">
        <v>38</v>
      </c>
      <c r="L14" s="26"/>
      <c r="M14" s="40"/>
      <c r="N14" s="26"/>
      <c r="O14" s="35"/>
      <c r="P14" s="36">
        <f t="shared" si="1"/>
        <v>155910</v>
      </c>
      <c r="Q14" s="37">
        <f t="shared" si="0"/>
        <v>0.022309502827814263</v>
      </c>
      <c r="R14" s="86"/>
      <c r="S14" s="86"/>
    </row>
    <row r="15" spans="1:19" ht="12.75">
      <c r="A15" s="21">
        <v>10</v>
      </c>
      <c r="B15" s="22"/>
      <c r="C15" s="33" t="s">
        <v>33</v>
      </c>
      <c r="D15" s="26"/>
      <c r="E15" s="35"/>
      <c r="F15" s="26"/>
      <c r="G15" s="35"/>
      <c r="H15" s="26"/>
      <c r="I15" s="35"/>
      <c r="J15" s="26"/>
      <c r="K15" s="35"/>
      <c r="L15" s="26">
        <f>10000+3000+57500+15000+10000+25000+28000+35000+10000</f>
        <v>193500</v>
      </c>
      <c r="M15" s="38" t="s">
        <v>26</v>
      </c>
      <c r="N15" s="26"/>
      <c r="O15" s="35"/>
      <c r="P15" s="36">
        <f t="shared" si="1"/>
        <v>193500</v>
      </c>
      <c r="Q15" s="37">
        <f t="shared" si="0"/>
        <v>0.027688338125726766</v>
      </c>
      <c r="R15" s="86"/>
      <c r="S15" s="86"/>
    </row>
    <row r="16" spans="1:19" ht="12.75">
      <c r="A16" s="21">
        <v>11</v>
      </c>
      <c r="B16" s="22"/>
      <c r="C16" s="33" t="s">
        <v>34</v>
      </c>
      <c r="D16" s="26"/>
      <c r="E16" s="35"/>
      <c r="F16" s="26"/>
      <c r="G16" s="35"/>
      <c r="H16" s="26"/>
      <c r="I16" s="35"/>
      <c r="J16" s="26"/>
      <c r="K16" s="35"/>
      <c r="L16" s="26">
        <f>25000+8800</f>
        <v>33800</v>
      </c>
      <c r="M16" s="38" t="s">
        <v>26</v>
      </c>
      <c r="N16" s="26"/>
      <c r="O16" s="35"/>
      <c r="P16" s="36">
        <f>SUM(N16,L16,J16,H16,F16,D16)</f>
        <v>33800</v>
      </c>
      <c r="Q16" s="37">
        <f t="shared" si="0"/>
        <v>0.004836515910333667</v>
      </c>
      <c r="R16" s="86"/>
      <c r="S16" s="86"/>
    </row>
    <row r="17" spans="1:19" ht="12.75">
      <c r="A17" s="21">
        <v>12</v>
      </c>
      <c r="B17" s="22"/>
      <c r="C17" s="33" t="s">
        <v>35</v>
      </c>
      <c r="D17" s="26"/>
      <c r="E17" s="35"/>
      <c r="F17" s="26"/>
      <c r="G17" s="35"/>
      <c r="H17" s="26"/>
      <c r="I17" s="35"/>
      <c r="J17" s="26"/>
      <c r="K17" s="35"/>
      <c r="L17" s="26">
        <v>28000</v>
      </c>
      <c r="M17" s="38" t="s">
        <v>26</v>
      </c>
      <c r="N17" s="26"/>
      <c r="O17" s="35"/>
      <c r="P17" s="36">
        <f>SUM(N17,L17,J17,H17,F17,D17)</f>
        <v>28000</v>
      </c>
      <c r="Q17" s="37">
        <f t="shared" si="0"/>
        <v>0.004006581227495346</v>
      </c>
      <c r="R17" s="86"/>
      <c r="S17" s="86"/>
    </row>
    <row r="18" spans="1:19" ht="12.75">
      <c r="A18" s="21">
        <v>13</v>
      </c>
      <c r="B18" s="22"/>
      <c r="C18" s="33" t="s">
        <v>36</v>
      </c>
      <c r="D18" s="26"/>
      <c r="E18" s="35"/>
      <c r="F18" s="26"/>
      <c r="G18" s="35"/>
      <c r="H18" s="26"/>
      <c r="I18" s="35"/>
      <c r="J18" s="26"/>
      <c r="K18" s="35"/>
      <c r="L18" s="26">
        <v>523000</v>
      </c>
      <c r="M18" s="38" t="s">
        <v>26</v>
      </c>
      <c r="N18" s="26"/>
      <c r="O18" s="35"/>
      <c r="P18" s="36">
        <f>SUM(N18,L18,J18,H18,F18,D18)</f>
        <v>523000</v>
      </c>
      <c r="Q18" s="37">
        <f t="shared" si="0"/>
        <v>0.07483721364214521</v>
      </c>
      <c r="R18" s="86"/>
      <c r="S18" s="86"/>
    </row>
    <row r="19" spans="1:19" ht="12.75">
      <c r="A19" s="21">
        <v>14</v>
      </c>
      <c r="B19" s="22"/>
      <c r="C19" s="33" t="s">
        <v>2</v>
      </c>
      <c r="D19" s="26">
        <f>((75*1695*3)+67*2080)*0.8</f>
        <v>416588</v>
      </c>
      <c r="E19" s="38" t="s">
        <v>18</v>
      </c>
      <c r="F19" s="26"/>
      <c r="G19" s="35"/>
      <c r="H19" s="26"/>
      <c r="I19" s="35"/>
      <c r="J19" s="26"/>
      <c r="K19" s="35"/>
      <c r="L19" s="26"/>
      <c r="M19" s="40"/>
      <c r="N19" s="26"/>
      <c r="O19" s="35"/>
      <c r="P19" s="36">
        <f t="shared" si="1"/>
        <v>416588</v>
      </c>
      <c r="Q19" s="37">
        <f t="shared" si="0"/>
        <v>0.05961048787142254</v>
      </c>
      <c r="R19" s="86"/>
      <c r="S19" s="86"/>
    </row>
    <row r="20" spans="1:19" ht="12.75">
      <c r="A20" s="21">
        <v>15</v>
      </c>
      <c r="B20" s="22"/>
      <c r="C20" s="33" t="s">
        <v>13</v>
      </c>
      <c r="D20" s="26"/>
      <c r="E20" s="35"/>
      <c r="F20" s="26"/>
      <c r="G20" s="35"/>
      <c r="H20" s="26"/>
      <c r="I20" s="41"/>
      <c r="J20" s="26"/>
      <c r="K20" s="35"/>
      <c r="L20" s="26">
        <v>50000</v>
      </c>
      <c r="M20" s="38" t="s">
        <v>25</v>
      </c>
      <c r="N20" s="26">
        <v>250000</v>
      </c>
      <c r="O20" s="38" t="s">
        <v>12</v>
      </c>
      <c r="P20" s="36">
        <f t="shared" si="1"/>
        <v>300000</v>
      </c>
      <c r="Q20" s="37">
        <f t="shared" si="0"/>
        <v>0.042927656008878705</v>
      </c>
      <c r="R20" s="86"/>
      <c r="S20" s="86"/>
    </row>
    <row r="21" spans="1:19" ht="12.75">
      <c r="A21" s="21">
        <v>16</v>
      </c>
      <c r="B21" s="22"/>
      <c r="C21" s="33" t="s">
        <v>8</v>
      </c>
      <c r="D21" s="26">
        <f>30*205.97+60*719.96+159*212.26+159*208.22+47*225+47*250+339*30</f>
        <v>148728.02000000002</v>
      </c>
      <c r="E21" s="38" t="s">
        <v>16</v>
      </c>
      <c r="F21" s="26">
        <v>2080800</v>
      </c>
      <c r="G21" s="38" t="s">
        <v>9</v>
      </c>
      <c r="H21" s="26">
        <v>1372480</v>
      </c>
      <c r="I21" s="38" t="s">
        <v>17</v>
      </c>
      <c r="J21" s="26">
        <v>76486</v>
      </c>
      <c r="K21" s="34" t="s">
        <v>21</v>
      </c>
      <c r="L21" s="26"/>
      <c r="M21" s="40"/>
      <c r="N21" s="26"/>
      <c r="O21" s="40"/>
      <c r="P21" s="36">
        <f t="shared" si="1"/>
        <v>3678494.02</v>
      </c>
      <c r="Q21" s="37">
        <f t="shared" si="0"/>
        <v>0.5263637530709246</v>
      </c>
      <c r="R21" s="86"/>
      <c r="S21" s="86"/>
    </row>
    <row r="22" spans="1:19" ht="12.75">
      <c r="A22" s="21">
        <v>17</v>
      </c>
      <c r="B22" s="22"/>
      <c r="C22" s="33" t="s">
        <v>20</v>
      </c>
      <c r="D22" s="26">
        <f>14*734+6.2*1102+3*2204+4*1763</f>
        <v>30772.4</v>
      </c>
      <c r="E22" s="38" t="s">
        <v>19</v>
      </c>
      <c r="F22" s="26"/>
      <c r="G22" s="41"/>
      <c r="H22" s="26"/>
      <c r="I22" s="41"/>
      <c r="J22" s="26"/>
      <c r="K22" s="35"/>
      <c r="L22" s="26"/>
      <c r="M22" s="40"/>
      <c r="N22" s="26"/>
      <c r="O22" s="40"/>
      <c r="P22" s="36">
        <f t="shared" si="1"/>
        <v>30772.4</v>
      </c>
      <c r="Q22" s="37">
        <f t="shared" si="0"/>
        <v>0.0044032900058920636</v>
      </c>
      <c r="R22" s="87"/>
      <c r="S22" s="86"/>
    </row>
    <row r="23" spans="1:19" ht="12.75">
      <c r="A23" s="21">
        <v>18</v>
      </c>
      <c r="B23" s="22"/>
      <c r="C23" s="33" t="s">
        <v>32</v>
      </c>
      <c r="D23" s="26">
        <v>25000</v>
      </c>
      <c r="E23" s="38" t="s">
        <v>27</v>
      </c>
      <c r="F23" s="26">
        <v>25000</v>
      </c>
      <c r="G23" s="38" t="s">
        <v>27</v>
      </c>
      <c r="H23" s="26">
        <v>25000</v>
      </c>
      <c r="I23" s="38" t="s">
        <v>27</v>
      </c>
      <c r="J23" s="26">
        <v>25000</v>
      </c>
      <c r="K23" s="38" t="s">
        <v>27</v>
      </c>
      <c r="L23" s="26">
        <v>21700</v>
      </c>
      <c r="M23" s="38" t="s">
        <v>26</v>
      </c>
      <c r="N23" s="26"/>
      <c r="O23" s="38"/>
      <c r="P23" s="36">
        <f t="shared" si="1"/>
        <v>121700</v>
      </c>
      <c r="Q23" s="37">
        <f t="shared" si="0"/>
        <v>0.017414319120935128</v>
      </c>
      <c r="R23" s="86"/>
      <c r="S23" s="86"/>
    </row>
    <row r="24" spans="1:19" ht="13.5" thickBot="1">
      <c r="A24" s="21">
        <v>19</v>
      </c>
      <c r="B24" s="22"/>
      <c r="C24" s="42" t="s">
        <v>5</v>
      </c>
      <c r="D24" s="43">
        <f>SUM(D6:D23)</f>
        <v>922403.42</v>
      </c>
      <c r="E24" s="44"/>
      <c r="F24" s="43">
        <f>SUM(F6:F23)</f>
        <v>2797907.5</v>
      </c>
      <c r="G24" s="44"/>
      <c r="H24" s="43">
        <f>SUM(H6:H23)</f>
        <v>1846596.85</v>
      </c>
      <c r="I24" s="44"/>
      <c r="J24" s="43">
        <f>SUM(J6:J23)</f>
        <v>260914</v>
      </c>
      <c r="K24" s="44"/>
      <c r="L24" s="43">
        <f>SUM(L6:L23)</f>
        <v>910680</v>
      </c>
      <c r="M24" s="45"/>
      <c r="N24" s="43">
        <f>SUM(N6:N23)</f>
        <v>250000</v>
      </c>
      <c r="O24" s="44"/>
      <c r="P24" s="46">
        <f>SUM(P6:P23)</f>
        <v>6988501.7700000005</v>
      </c>
      <c r="Q24" s="47">
        <f t="shared" si="0"/>
        <v>1</v>
      </c>
      <c r="R24" s="86"/>
      <c r="S24" s="86"/>
    </row>
    <row r="25" spans="1:19" ht="13.5" thickBot="1">
      <c r="A25" s="21">
        <v>20</v>
      </c>
      <c r="B25" s="22"/>
      <c r="C25" s="18" t="s">
        <v>61</v>
      </c>
      <c r="D25" s="3">
        <f>D24/$P$24</f>
        <v>0.1319887223839109</v>
      </c>
      <c r="E25" s="1"/>
      <c r="F25" s="3">
        <f>F24/$P$24</f>
        <v>0.40035870234887266</v>
      </c>
      <c r="G25" s="1"/>
      <c r="H25" s="3">
        <f>H24/$P$24</f>
        <v>0.26423358121293</v>
      </c>
      <c r="I25" s="1"/>
      <c r="J25" s="3">
        <f>J24/$P$24</f>
        <v>0.0373347547996686</v>
      </c>
      <c r="K25" s="1"/>
      <c r="L25" s="3">
        <f>L24/$P$24</f>
        <v>0.1303111925805522</v>
      </c>
      <c r="M25" s="1"/>
      <c r="N25" s="3">
        <f>N24/$P$24</f>
        <v>0.03577304667406559</v>
      </c>
      <c r="O25" s="1"/>
      <c r="P25" s="1"/>
      <c r="Q25" s="2"/>
      <c r="R25" s="86"/>
      <c r="S25" s="86"/>
    </row>
    <row r="26" spans="1:19" ht="12.75">
      <c r="A26" s="21">
        <v>21</v>
      </c>
      <c r="B26" s="22"/>
      <c r="C26" s="48" t="s">
        <v>6</v>
      </c>
      <c r="D26" s="49">
        <f>1695+1695+501</f>
        <v>3891</v>
      </c>
      <c r="E26" s="50" t="s">
        <v>7</v>
      </c>
      <c r="F26" s="49">
        <v>8605</v>
      </c>
      <c r="G26" s="51" t="s">
        <v>9</v>
      </c>
      <c r="H26" s="49">
        <v>15499</v>
      </c>
      <c r="I26" s="51" t="s">
        <v>17</v>
      </c>
      <c r="J26" s="49">
        <v>487</v>
      </c>
      <c r="K26" s="52" t="s">
        <v>21</v>
      </c>
      <c r="L26" s="53"/>
      <c r="M26" s="54"/>
      <c r="N26" s="55"/>
      <c r="O26" s="56"/>
      <c r="P26" s="55">
        <f>SUM(N26,J26,H26,F26,D26)</f>
        <v>28482</v>
      </c>
      <c r="Q26" s="57"/>
      <c r="R26" s="86"/>
      <c r="S26" s="86"/>
    </row>
    <row r="27" spans="1:19" ht="12.75">
      <c r="A27" s="21">
        <v>22</v>
      </c>
      <c r="B27" s="22"/>
      <c r="C27" s="58" t="s">
        <v>91</v>
      </c>
      <c r="D27" s="59">
        <v>12366</v>
      </c>
      <c r="E27" s="38" t="s">
        <v>7</v>
      </c>
      <c r="F27" s="59">
        <v>65403</v>
      </c>
      <c r="G27" s="38" t="s">
        <v>9</v>
      </c>
      <c r="H27" s="59">
        <v>45030</v>
      </c>
      <c r="I27" s="38" t="s">
        <v>17</v>
      </c>
      <c r="J27" s="59">
        <v>10587</v>
      </c>
      <c r="K27" s="39" t="s">
        <v>21</v>
      </c>
      <c r="L27" s="60"/>
      <c r="M27" s="35"/>
      <c r="N27" s="61"/>
      <c r="O27" s="62"/>
      <c r="P27" s="61">
        <f>SUM(D27,F27,H27,J27)</f>
        <v>133386</v>
      </c>
      <c r="Q27" s="63"/>
      <c r="R27" s="86"/>
      <c r="S27" s="86"/>
    </row>
    <row r="28" spans="1:19" ht="12.75">
      <c r="A28" s="21">
        <v>23</v>
      </c>
      <c r="B28" s="22"/>
      <c r="C28" s="64" t="s">
        <v>92</v>
      </c>
      <c r="D28" s="65">
        <v>98119</v>
      </c>
      <c r="E28" s="35"/>
      <c r="F28" s="65">
        <v>511944</v>
      </c>
      <c r="G28" s="40"/>
      <c r="H28" s="65">
        <v>358419</v>
      </c>
      <c r="I28" s="35"/>
      <c r="J28" s="65">
        <v>85042</v>
      </c>
      <c r="K28" s="35"/>
      <c r="L28" s="66"/>
      <c r="M28" s="35"/>
      <c r="N28" s="67"/>
      <c r="O28" s="62"/>
      <c r="P28" s="65">
        <f>((7*6.75+5*8.45)/12)*P27</f>
        <v>994837.25</v>
      </c>
      <c r="Q28" s="68"/>
      <c r="R28" s="86"/>
      <c r="S28" s="86"/>
    </row>
    <row r="29" spans="1:19" ht="13.5" thickBot="1">
      <c r="A29" s="21">
        <v>24</v>
      </c>
      <c r="B29" s="22"/>
      <c r="C29" s="69" t="s">
        <v>47</v>
      </c>
      <c r="D29" s="70">
        <f>D24/D28</f>
        <v>9.400864460502044</v>
      </c>
      <c r="E29" s="71" t="s">
        <v>10</v>
      </c>
      <c r="F29" s="70">
        <f>F24/F28</f>
        <v>5.465260848842842</v>
      </c>
      <c r="G29" s="71" t="s">
        <v>10</v>
      </c>
      <c r="H29" s="70">
        <v>5.15</v>
      </c>
      <c r="I29" s="71" t="s">
        <v>10</v>
      </c>
      <c r="J29" s="70">
        <v>3.07</v>
      </c>
      <c r="K29" s="71" t="s">
        <v>10</v>
      </c>
      <c r="L29" s="70"/>
      <c r="M29" s="71"/>
      <c r="N29" s="70"/>
      <c r="O29" s="71"/>
      <c r="P29" s="72">
        <f>P24/P28</f>
        <v>7.024768895615841</v>
      </c>
      <c r="Q29" s="73" t="s">
        <v>10</v>
      </c>
      <c r="R29" s="86"/>
      <c r="S29" s="86"/>
    </row>
    <row r="30" spans="1:19" ht="12.75">
      <c r="A30" s="21"/>
      <c r="B30" s="22"/>
      <c r="C30" s="74"/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75"/>
      <c r="O30" s="76"/>
      <c r="P30" s="77"/>
      <c r="Q30" s="76"/>
      <c r="R30" s="86"/>
      <c r="S30" s="86"/>
    </row>
    <row r="31" spans="1:19" ht="12.75">
      <c r="A31" s="21"/>
      <c r="B31" s="22"/>
      <c r="C31" s="78"/>
      <c r="D31" s="22"/>
      <c r="E31" s="22"/>
      <c r="F31" s="22"/>
      <c r="G31" s="22"/>
      <c r="H31" s="79"/>
      <c r="I31" s="22"/>
      <c r="J31" s="22"/>
      <c r="K31" s="22"/>
      <c r="L31" s="22"/>
      <c r="M31" s="22"/>
      <c r="N31" s="22"/>
      <c r="O31" s="22"/>
      <c r="P31" s="22"/>
      <c r="Q31" s="22"/>
      <c r="R31" s="86"/>
      <c r="S31" s="86"/>
    </row>
    <row r="32" spans="1:19" ht="12.75">
      <c r="A32" s="21"/>
      <c r="B32" s="80" t="s">
        <v>7</v>
      </c>
      <c r="C32" s="81" t="s">
        <v>72</v>
      </c>
      <c r="D32" s="22"/>
      <c r="E32" s="22"/>
      <c r="F32" s="22"/>
      <c r="G32" s="22"/>
      <c r="H32" s="79"/>
      <c r="I32" s="22"/>
      <c r="J32" s="22"/>
      <c r="K32" s="22"/>
      <c r="L32" s="22"/>
      <c r="M32" s="22"/>
      <c r="N32" s="22"/>
      <c r="O32" s="22"/>
      <c r="P32" s="22"/>
      <c r="Q32" s="22"/>
      <c r="R32" s="86"/>
      <c r="S32" s="86"/>
    </row>
    <row r="33" spans="1:19" ht="12.75">
      <c r="A33" s="21"/>
      <c r="B33" s="80" t="s">
        <v>16</v>
      </c>
      <c r="C33" s="81" t="s">
        <v>93</v>
      </c>
      <c r="D33" s="22"/>
      <c r="E33" s="22"/>
      <c r="F33" s="22"/>
      <c r="G33" s="22"/>
      <c r="H33" s="79"/>
      <c r="I33" s="22"/>
      <c r="J33" s="22"/>
      <c r="K33" s="22"/>
      <c r="L33" s="22"/>
      <c r="M33" s="22"/>
      <c r="N33" s="22"/>
      <c r="O33" s="22"/>
      <c r="P33" s="22"/>
      <c r="Q33" s="22"/>
      <c r="R33" s="86"/>
      <c r="S33" s="86"/>
    </row>
    <row r="34" spans="1:19" ht="12.75">
      <c r="A34" s="21"/>
      <c r="B34" s="80" t="s">
        <v>18</v>
      </c>
      <c r="C34" s="81" t="s">
        <v>94</v>
      </c>
      <c r="D34" s="22"/>
      <c r="E34" s="22"/>
      <c r="F34" s="22"/>
      <c r="G34" s="22"/>
      <c r="H34" s="79"/>
      <c r="I34" s="22"/>
      <c r="J34" s="22"/>
      <c r="K34" s="22"/>
      <c r="L34" s="22"/>
      <c r="M34" s="22"/>
      <c r="N34" s="22"/>
      <c r="O34" s="22"/>
      <c r="P34" s="22"/>
      <c r="Q34" s="22"/>
      <c r="R34" s="86"/>
      <c r="S34" s="86"/>
    </row>
    <row r="35" spans="1:19" ht="12.75">
      <c r="A35" s="21"/>
      <c r="B35" s="80"/>
      <c r="C35" s="82" t="s">
        <v>95</v>
      </c>
      <c r="D35" s="22"/>
      <c r="E35" s="22"/>
      <c r="F35" s="22"/>
      <c r="G35" s="22"/>
      <c r="H35" s="79"/>
      <c r="I35" s="22"/>
      <c r="J35" s="22"/>
      <c r="K35" s="22"/>
      <c r="L35" s="22"/>
      <c r="M35" s="22"/>
      <c r="N35" s="22"/>
      <c r="O35" s="22"/>
      <c r="P35" s="22"/>
      <c r="Q35" s="22"/>
      <c r="R35" s="86"/>
      <c r="S35" s="86"/>
    </row>
    <row r="36" spans="1:19" ht="12.75">
      <c r="A36" s="21"/>
      <c r="B36" s="80" t="s">
        <v>19</v>
      </c>
      <c r="C36" s="81" t="s">
        <v>81</v>
      </c>
      <c r="D36" s="22"/>
      <c r="E36" s="22"/>
      <c r="F36" s="22"/>
      <c r="G36" s="22"/>
      <c r="H36" s="79"/>
      <c r="I36" s="22"/>
      <c r="J36" s="22"/>
      <c r="K36" s="22"/>
      <c r="L36" s="22"/>
      <c r="M36" s="22"/>
      <c r="N36" s="22"/>
      <c r="O36" s="22"/>
      <c r="P36" s="22"/>
      <c r="Q36" s="22"/>
      <c r="R36" s="86"/>
      <c r="S36" s="86"/>
    </row>
    <row r="37" spans="1:19" ht="12.75">
      <c r="A37" s="21"/>
      <c r="B37" s="80" t="s">
        <v>9</v>
      </c>
      <c r="C37" s="83" t="s">
        <v>84</v>
      </c>
      <c r="D37" s="22"/>
      <c r="E37" s="22"/>
      <c r="F37" s="22"/>
      <c r="G37" s="22"/>
      <c r="H37" s="79"/>
      <c r="I37" s="22"/>
      <c r="J37" s="22"/>
      <c r="K37" s="22"/>
      <c r="L37" s="22"/>
      <c r="M37" s="22"/>
      <c r="N37" s="22"/>
      <c r="O37" s="22"/>
      <c r="P37" s="22"/>
      <c r="Q37" s="22"/>
      <c r="R37" s="86"/>
      <c r="S37" s="86"/>
    </row>
    <row r="38" spans="1:19" ht="12.75">
      <c r="A38" s="21"/>
      <c r="B38" s="80" t="s">
        <v>53</v>
      </c>
      <c r="C38" s="83" t="s">
        <v>85</v>
      </c>
      <c r="D38" s="22"/>
      <c r="E38" s="22"/>
      <c r="F38" s="22"/>
      <c r="G38" s="22"/>
      <c r="H38" s="79"/>
      <c r="I38" s="22"/>
      <c r="J38" s="22"/>
      <c r="K38" s="22"/>
      <c r="L38" s="22"/>
      <c r="M38" s="22"/>
      <c r="N38" s="22"/>
      <c r="O38" s="22"/>
      <c r="P38" s="22"/>
      <c r="Q38" s="22"/>
      <c r="R38" s="86"/>
      <c r="S38" s="86"/>
    </row>
    <row r="39" spans="1:19" ht="12.75">
      <c r="A39" s="21"/>
      <c r="B39" s="80" t="s">
        <v>17</v>
      </c>
      <c r="C39" s="83" t="s">
        <v>84</v>
      </c>
      <c r="D39" s="8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86"/>
      <c r="S39" s="86"/>
    </row>
    <row r="40" spans="1:19" ht="12.75" customHeight="1">
      <c r="A40" s="21"/>
      <c r="B40" s="80" t="s">
        <v>21</v>
      </c>
      <c r="C40" s="83" t="s">
        <v>86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98" t="s">
        <v>83</v>
      </c>
      <c r="R40" s="99" t="s">
        <v>80</v>
      </c>
      <c r="S40" s="99" t="s">
        <v>79</v>
      </c>
    </row>
    <row r="41" spans="1:19" ht="12.75">
      <c r="A41" s="21"/>
      <c r="B41" s="80" t="s">
        <v>26</v>
      </c>
      <c r="C41" s="83" t="s">
        <v>87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98"/>
      <c r="R41" s="99"/>
      <c r="S41" s="99"/>
    </row>
    <row r="42" spans="1:19" ht="12.75" customHeight="1">
      <c r="A42" s="21"/>
      <c r="B42" s="80" t="s">
        <v>12</v>
      </c>
      <c r="C42" s="81" t="s">
        <v>73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98"/>
      <c r="R42" s="99"/>
      <c r="S42" s="99"/>
    </row>
    <row r="43" spans="1:19" ht="12.75">
      <c r="A43" s="21"/>
      <c r="B43" s="80" t="s">
        <v>22</v>
      </c>
      <c r="C43" s="81" t="s">
        <v>76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98"/>
      <c r="R43" s="99"/>
      <c r="S43" s="99"/>
    </row>
    <row r="44" spans="1:19" ht="12.75">
      <c r="A44" s="21"/>
      <c r="B44" s="81" t="s">
        <v>37</v>
      </c>
      <c r="C44" s="82" t="s">
        <v>77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98"/>
      <c r="R44" s="99"/>
      <c r="S44" s="99"/>
    </row>
    <row r="45" spans="1:19" ht="12.75">
      <c r="A45" s="21"/>
      <c r="B45" s="81" t="s">
        <v>38</v>
      </c>
      <c r="C45" s="82" t="s">
        <v>96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98"/>
      <c r="R45" s="99"/>
      <c r="S45" s="99"/>
    </row>
    <row r="46" spans="1:19" ht="12.75">
      <c r="A46" s="21"/>
      <c r="B46" s="81" t="s">
        <v>39</v>
      </c>
      <c r="C46" s="82" t="s">
        <v>88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98"/>
      <c r="R46" s="99"/>
      <c r="S46" s="99"/>
    </row>
    <row r="47" spans="1:19" ht="12.75">
      <c r="A47" s="21"/>
      <c r="B47" s="80" t="s">
        <v>25</v>
      </c>
      <c r="C47" s="81" t="s">
        <v>74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98"/>
      <c r="R47" s="99"/>
      <c r="S47" s="99"/>
    </row>
    <row r="48" spans="1:19" ht="12.75">
      <c r="A48" s="21"/>
      <c r="B48" s="80" t="s">
        <v>27</v>
      </c>
      <c r="C48" s="81" t="s">
        <v>78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98"/>
      <c r="R48" s="99"/>
      <c r="S48" s="99"/>
    </row>
    <row r="49" spans="1:19" ht="12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98"/>
      <c r="R49" s="99"/>
      <c r="S49" s="99"/>
    </row>
    <row r="50" spans="1:19" ht="12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98"/>
      <c r="R50" s="99"/>
      <c r="S50" s="99"/>
    </row>
    <row r="51" spans="1:19" ht="12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98"/>
      <c r="R51" s="99"/>
      <c r="S51" s="99"/>
    </row>
    <row r="52" spans="1:19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98"/>
      <c r="R52" s="99"/>
      <c r="S52" s="99"/>
    </row>
  </sheetData>
  <mergeCells count="11">
    <mergeCell ref="C1:P1"/>
    <mergeCell ref="C2:P2"/>
    <mergeCell ref="L5:M5"/>
    <mergeCell ref="J5:K5"/>
    <mergeCell ref="H5:I5"/>
    <mergeCell ref="F5:G5"/>
    <mergeCell ref="D5:E5"/>
    <mergeCell ref="N5:O5"/>
    <mergeCell ref="Q40:Q52"/>
    <mergeCell ref="R40:R52"/>
    <mergeCell ref="S40:S52"/>
  </mergeCells>
  <printOptions horizontalCentered="1"/>
  <pageMargins left="0.5" right="0.25" top="0.69" bottom="0.3" header="0" footer="0"/>
  <pageSetup fitToHeight="1" fitToWidth="1" horizontalDpi="1200" verticalDpi="12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workbookViewId="0" topLeftCell="A1">
      <selection activeCell="F45" sqref="B2:G45"/>
    </sheetView>
  </sheetViews>
  <sheetFormatPr defaultColWidth="9.140625" defaultRowHeight="12.75"/>
  <cols>
    <col min="1" max="1" width="3.8515625" style="0" customWidth="1"/>
    <col min="2" max="7" width="14.7109375" style="0" customWidth="1"/>
  </cols>
  <sheetData>
    <row r="1" ht="13.5" thickBot="1"/>
    <row r="2" spans="2:7" ht="21" customHeight="1">
      <c r="B2" s="114" t="s">
        <v>45</v>
      </c>
      <c r="C2" s="115"/>
      <c r="D2" s="115"/>
      <c r="E2" s="115"/>
      <c r="F2" s="115"/>
      <c r="G2" s="116"/>
    </row>
    <row r="3" spans="2:7" ht="24.75" customHeight="1">
      <c r="B3" s="10" t="s">
        <v>41</v>
      </c>
      <c r="C3" s="11" t="s">
        <v>44</v>
      </c>
      <c r="D3" s="11" t="s">
        <v>60</v>
      </c>
      <c r="E3" s="11" t="s">
        <v>42</v>
      </c>
      <c r="F3" s="11" t="s">
        <v>43</v>
      </c>
      <c r="G3" s="12" t="s">
        <v>4</v>
      </c>
    </row>
    <row r="4" spans="2:7" ht="21" customHeight="1">
      <c r="B4" s="7">
        <f>SUM('Budget Summary'!H6,'Budget Summary'!H10,'Budget Summary'!H11)</f>
        <v>131455</v>
      </c>
      <c r="C4" s="8">
        <f>SUM('Budget Summary'!H13)</f>
        <v>40700</v>
      </c>
      <c r="D4" s="8">
        <f>SUM('Budget Summary'!H7,'Budget Summary'!H12)</f>
        <v>276961.85</v>
      </c>
      <c r="E4" s="8">
        <f>SUM('Budget Summary'!H21)</f>
        <v>1372480</v>
      </c>
      <c r="F4" s="8">
        <f>SUM('Budget Summary'!H23)</f>
        <v>25000</v>
      </c>
      <c r="G4" s="9">
        <f>SUM(B4:F4)</f>
        <v>1846596.85</v>
      </c>
    </row>
    <row r="5" spans="2:7" ht="21" customHeight="1" thickBot="1">
      <c r="B5" s="4">
        <f aca="true" t="shared" si="0" ref="B5:G5">B4/$G$4</f>
        <v>0.07118770943424928</v>
      </c>
      <c r="C5" s="5">
        <f t="shared" si="0"/>
        <v>0.022040544475097526</v>
      </c>
      <c r="D5" s="5">
        <f t="shared" si="0"/>
        <v>0.14998501161745184</v>
      </c>
      <c r="E5" s="5">
        <f t="shared" si="0"/>
        <v>0.7432483164909547</v>
      </c>
      <c r="F5" s="5">
        <f t="shared" si="0"/>
        <v>0.013538417982246639</v>
      </c>
      <c r="G5" s="6">
        <f t="shared" si="0"/>
        <v>1</v>
      </c>
    </row>
    <row r="6" ht="6.75" customHeight="1" thickBot="1"/>
    <row r="7" spans="2:7" ht="21" customHeight="1">
      <c r="B7" s="114" t="s">
        <v>50</v>
      </c>
      <c r="C7" s="115"/>
      <c r="D7" s="115"/>
      <c r="E7" s="115"/>
      <c r="F7" s="115"/>
      <c r="G7" s="116"/>
    </row>
    <row r="8" spans="2:7" ht="24.75" customHeight="1">
      <c r="B8" s="15" t="s">
        <v>46</v>
      </c>
      <c r="C8" s="16" t="s">
        <v>48</v>
      </c>
      <c r="D8" s="106" t="s">
        <v>49</v>
      </c>
      <c r="E8" s="107"/>
      <c r="F8" s="106" t="s">
        <v>47</v>
      </c>
      <c r="G8" s="110"/>
    </row>
    <row r="9" spans="2:7" ht="21" customHeight="1" thickBot="1">
      <c r="B9" s="13">
        <f>'Budget Summary'!H26</f>
        <v>15499</v>
      </c>
      <c r="C9" s="14">
        <f>'Budget Summary'!H27</f>
        <v>45030</v>
      </c>
      <c r="D9" s="108">
        <f>'Budget Summary'!H28</f>
        <v>358419</v>
      </c>
      <c r="E9" s="109"/>
      <c r="F9" s="111">
        <f>'Budget Summary'!H29</f>
        <v>5.15</v>
      </c>
      <c r="G9" s="112"/>
    </row>
    <row r="10" spans="2:7" ht="9.75" customHeight="1" thickBot="1">
      <c r="B10" s="17"/>
      <c r="C10" s="17"/>
      <c r="D10" s="17"/>
      <c r="E10" s="17"/>
      <c r="F10" s="17"/>
      <c r="G10" s="17"/>
    </row>
    <row r="11" spans="2:7" ht="24.75" customHeight="1">
      <c r="B11" s="114" t="s">
        <v>51</v>
      </c>
      <c r="C11" s="115"/>
      <c r="D11" s="115"/>
      <c r="E11" s="115"/>
      <c r="F11" s="115"/>
      <c r="G11" s="116"/>
    </row>
    <row r="12" spans="2:7" ht="24.75" customHeight="1">
      <c r="B12" s="10" t="s">
        <v>41</v>
      </c>
      <c r="C12" s="11" t="s">
        <v>44</v>
      </c>
      <c r="D12" s="11" t="s">
        <v>60</v>
      </c>
      <c r="E12" s="11" t="s">
        <v>42</v>
      </c>
      <c r="F12" s="11" t="s">
        <v>43</v>
      </c>
      <c r="G12" s="12" t="s">
        <v>4</v>
      </c>
    </row>
    <row r="13" spans="2:7" ht="24.75" customHeight="1">
      <c r="B13" s="7">
        <f>SUM('Budget Summary'!F6,'Budget Summary'!F10,'Budget Summary'!F11)</f>
        <v>222380</v>
      </c>
      <c r="C13" s="8">
        <f>SUM('Budget Summary'!F13,'Budget Summary'!F14)</f>
        <v>208250</v>
      </c>
      <c r="D13" s="8">
        <f>SUM('Budget Summary'!F7,'Budget Summary'!F12)</f>
        <v>261477.5</v>
      </c>
      <c r="E13" s="8">
        <f>SUM('Budget Summary'!F21)</f>
        <v>2080800</v>
      </c>
      <c r="F13" s="8">
        <f>SUM('Budget Summary'!F23)</f>
        <v>25000</v>
      </c>
      <c r="G13" s="9">
        <f>SUM(B13:F13)</f>
        <v>2797907.5</v>
      </c>
    </row>
    <row r="14" spans="2:7" ht="24.75" customHeight="1" thickBot="1">
      <c r="B14" s="4">
        <f aca="true" t="shared" si="1" ref="B14:G14">B13/$G$13</f>
        <v>0.07948082629608019</v>
      </c>
      <c r="C14" s="5">
        <f t="shared" si="1"/>
        <v>0.07443062359995818</v>
      </c>
      <c r="D14" s="5">
        <f t="shared" si="1"/>
        <v>0.09345466210015878</v>
      </c>
      <c r="E14" s="5">
        <f t="shared" si="1"/>
        <v>0.7436986390722352</v>
      </c>
      <c r="F14" s="5">
        <f t="shared" si="1"/>
        <v>0.00893524893156761</v>
      </c>
      <c r="G14" s="5">
        <f t="shared" si="1"/>
        <v>1</v>
      </c>
    </row>
    <row r="15" ht="6.75" customHeight="1" thickBot="1"/>
    <row r="16" spans="2:7" ht="24.75" customHeight="1">
      <c r="B16" s="114" t="s">
        <v>52</v>
      </c>
      <c r="C16" s="115"/>
      <c r="D16" s="115"/>
      <c r="E16" s="115"/>
      <c r="F16" s="115"/>
      <c r="G16" s="116"/>
    </row>
    <row r="17" spans="2:7" ht="24.75" customHeight="1">
      <c r="B17" s="15" t="s">
        <v>46</v>
      </c>
      <c r="C17" s="16" t="s">
        <v>48</v>
      </c>
      <c r="D17" s="106" t="s">
        <v>49</v>
      </c>
      <c r="E17" s="107"/>
      <c r="F17" s="106" t="s">
        <v>47</v>
      </c>
      <c r="G17" s="110"/>
    </row>
    <row r="18" spans="2:7" ht="24.75" customHeight="1" thickBot="1">
      <c r="B18" s="13">
        <f>'Budget Summary'!F26</f>
        <v>8605</v>
      </c>
      <c r="C18" s="14">
        <f>'Budget Summary'!F27</f>
        <v>65403</v>
      </c>
      <c r="D18" s="108">
        <f>'Budget Summary'!F28</f>
        <v>511944</v>
      </c>
      <c r="E18" s="109"/>
      <c r="F18" s="111">
        <f>'Budget Summary'!F29</f>
        <v>5.465260848842842</v>
      </c>
      <c r="G18" s="112"/>
    </row>
    <row r="19" spans="2:7" ht="9.75" customHeight="1" thickBot="1">
      <c r="B19" s="17"/>
      <c r="C19" s="17"/>
      <c r="D19" s="17"/>
      <c r="E19" s="17"/>
      <c r="F19" s="17"/>
      <c r="G19" s="17"/>
    </row>
    <row r="20" spans="2:7" ht="24.75" customHeight="1">
      <c r="B20" s="114" t="s">
        <v>54</v>
      </c>
      <c r="C20" s="115"/>
      <c r="D20" s="115"/>
      <c r="E20" s="115"/>
      <c r="F20" s="115"/>
      <c r="G20" s="116"/>
    </row>
    <row r="21" spans="2:7" ht="24.75" customHeight="1">
      <c r="B21" s="10" t="s">
        <v>41</v>
      </c>
      <c r="C21" s="11" t="s">
        <v>44</v>
      </c>
      <c r="D21" s="11" t="s">
        <v>60</v>
      </c>
      <c r="E21" s="11" t="s">
        <v>42</v>
      </c>
      <c r="F21" s="11" t="s">
        <v>43</v>
      </c>
      <c r="G21" s="12" t="s">
        <v>4</v>
      </c>
    </row>
    <row r="22" spans="2:7" ht="24.75" customHeight="1">
      <c r="B22" s="7">
        <f>SUM('Budget Summary'!J6,'Budget Summary'!J9,'Budget Summary'!J11)</f>
        <v>82400</v>
      </c>
      <c r="C22" s="8">
        <f>SUM('Budget Summary'!J14)</f>
        <v>32160</v>
      </c>
      <c r="D22" s="8">
        <f>SUM('Budget Summary'!J7,'Budget Summary'!J12)</f>
        <v>44868</v>
      </c>
      <c r="E22" s="8">
        <f>SUM('Budget Summary'!J21)</f>
        <v>76486</v>
      </c>
      <c r="F22" s="8">
        <f>SUM('Budget Summary'!F23)</f>
        <v>25000</v>
      </c>
      <c r="G22" s="9">
        <f>SUM(B22:F22)</f>
        <v>260914</v>
      </c>
    </row>
    <row r="23" spans="2:7" ht="24.75" customHeight="1" thickBot="1">
      <c r="B23" s="4">
        <f aca="true" t="shared" si="2" ref="B23:G23">B22/$G$22</f>
        <v>0.3158128732072637</v>
      </c>
      <c r="C23" s="5">
        <f t="shared" si="2"/>
        <v>0.12325900488283496</v>
      </c>
      <c r="D23" s="5">
        <f t="shared" si="2"/>
        <v>0.17196470867795519</v>
      </c>
      <c r="E23" s="5">
        <f t="shared" si="2"/>
        <v>0.29314640072974235</v>
      </c>
      <c r="F23" s="5">
        <f t="shared" si="2"/>
        <v>0.09581701250220379</v>
      </c>
      <c r="G23" s="6">
        <f t="shared" si="2"/>
        <v>1</v>
      </c>
    </row>
    <row r="24" ht="6.75" customHeight="1" thickBot="1"/>
    <row r="25" spans="2:7" ht="24.75" customHeight="1">
      <c r="B25" s="114" t="s">
        <v>55</v>
      </c>
      <c r="C25" s="115"/>
      <c r="D25" s="115"/>
      <c r="E25" s="115"/>
      <c r="F25" s="115"/>
      <c r="G25" s="116"/>
    </row>
    <row r="26" spans="2:7" ht="24.75" customHeight="1">
      <c r="B26" s="15" t="s">
        <v>46</v>
      </c>
      <c r="C26" s="16" t="s">
        <v>48</v>
      </c>
      <c r="D26" s="106" t="s">
        <v>49</v>
      </c>
      <c r="E26" s="107"/>
      <c r="F26" s="106" t="s">
        <v>47</v>
      </c>
      <c r="G26" s="110"/>
    </row>
    <row r="27" spans="2:7" ht="24.75" customHeight="1" thickBot="1">
      <c r="B27" s="13">
        <f>'Budget Summary'!J26</f>
        <v>487</v>
      </c>
      <c r="C27" s="14">
        <f>'Budget Summary'!J27</f>
        <v>10587</v>
      </c>
      <c r="D27" s="108">
        <f>'Budget Summary'!J28</f>
        <v>85042</v>
      </c>
      <c r="E27" s="109"/>
      <c r="F27" s="111">
        <f>'Budget Summary'!J29</f>
        <v>3.07</v>
      </c>
      <c r="G27" s="112"/>
    </row>
    <row r="28" spans="2:7" ht="9.75" customHeight="1" thickBot="1">
      <c r="B28" s="17"/>
      <c r="C28" s="17"/>
      <c r="D28" s="17"/>
      <c r="E28" s="17"/>
      <c r="F28" s="17"/>
      <c r="G28" s="17"/>
    </row>
    <row r="29" spans="2:7" ht="24.75" customHeight="1">
      <c r="B29" s="114" t="s">
        <v>56</v>
      </c>
      <c r="C29" s="115"/>
      <c r="D29" s="115"/>
      <c r="E29" s="115"/>
      <c r="F29" s="115"/>
      <c r="G29" s="116"/>
    </row>
    <row r="30" spans="2:7" ht="24.75" customHeight="1">
      <c r="B30" s="10" t="s">
        <v>41</v>
      </c>
      <c r="C30" s="11" t="s">
        <v>44</v>
      </c>
      <c r="D30" s="11" t="s">
        <v>60</v>
      </c>
      <c r="E30" s="11" t="s">
        <v>42</v>
      </c>
      <c r="F30" s="11" t="s">
        <v>43</v>
      </c>
      <c r="G30" s="12" t="s">
        <v>4</v>
      </c>
    </row>
    <row r="31" spans="2:7" ht="24.75" customHeight="1">
      <c r="B31" s="7">
        <f>SUM('Budget Summary'!D6,'Budget Summary'!D8,'Budget Summary'!D9,'Budget Summary'!D11)</f>
        <v>143400</v>
      </c>
      <c r="C31" s="8">
        <f>SUM('Budget Summary'!D14)</f>
        <v>0</v>
      </c>
      <c r="D31" s="8">
        <f>SUM('Budget Summary'!D7,'Budget Summary'!D12,'Budget Summary'!D19)</f>
        <v>574503</v>
      </c>
      <c r="E31" s="8">
        <f>SUM('Budget Summary'!D21:D22)</f>
        <v>179500.42</v>
      </c>
      <c r="F31" s="8">
        <f>SUM('Budget Summary'!D23)</f>
        <v>25000</v>
      </c>
      <c r="G31" s="9">
        <f>SUM(B31:F31)</f>
        <v>922403.42</v>
      </c>
    </row>
    <row r="32" spans="2:7" ht="24.75" customHeight="1" thickBot="1">
      <c r="B32" s="4">
        <f aca="true" t="shared" si="3" ref="B32:G32">B31/$G$31</f>
        <v>0.15546343052370729</v>
      </c>
      <c r="C32" s="5">
        <f t="shared" si="3"/>
        <v>0</v>
      </c>
      <c r="D32" s="5">
        <f t="shared" si="3"/>
        <v>0.6228326863749052</v>
      </c>
      <c r="E32" s="5">
        <f t="shared" si="3"/>
        <v>0.1946007745721498</v>
      </c>
      <c r="F32" s="5">
        <f t="shared" si="3"/>
        <v>0.027103108529237672</v>
      </c>
      <c r="G32" s="5">
        <f t="shared" si="3"/>
        <v>1</v>
      </c>
    </row>
    <row r="33" ht="6.75" customHeight="1" thickBot="1"/>
    <row r="34" spans="2:7" ht="24.75" customHeight="1">
      <c r="B34" s="114" t="s">
        <v>57</v>
      </c>
      <c r="C34" s="115"/>
      <c r="D34" s="115"/>
      <c r="E34" s="115"/>
      <c r="F34" s="115"/>
      <c r="G34" s="116"/>
    </row>
    <row r="35" spans="2:7" ht="24.75" customHeight="1">
      <c r="B35" s="15" t="s">
        <v>46</v>
      </c>
      <c r="C35" s="16" t="s">
        <v>48</v>
      </c>
      <c r="D35" s="106" t="s">
        <v>49</v>
      </c>
      <c r="E35" s="107"/>
      <c r="F35" s="106" t="s">
        <v>47</v>
      </c>
      <c r="G35" s="110"/>
    </row>
    <row r="36" spans="2:7" ht="24.75" customHeight="1" thickBot="1">
      <c r="B36" s="13">
        <f>'Budget Summary'!D26</f>
        <v>3891</v>
      </c>
      <c r="C36" s="14">
        <f>'Budget Summary'!D27</f>
        <v>12366</v>
      </c>
      <c r="D36" s="108">
        <f>'Budget Summary'!D28</f>
        <v>98119</v>
      </c>
      <c r="E36" s="109"/>
      <c r="F36" s="111">
        <f>'Budget Summary'!D29</f>
        <v>9.400864460502044</v>
      </c>
      <c r="G36" s="112"/>
    </row>
    <row r="37" spans="2:7" ht="9.75" customHeight="1" thickBot="1">
      <c r="B37" s="17"/>
      <c r="C37" s="17"/>
      <c r="D37" s="17"/>
      <c r="E37" s="17"/>
      <c r="F37" s="17"/>
      <c r="G37" s="17"/>
    </row>
    <row r="38" spans="2:7" ht="24.75" customHeight="1">
      <c r="B38" s="114" t="s">
        <v>58</v>
      </c>
      <c r="C38" s="115"/>
      <c r="D38" s="115"/>
      <c r="E38" s="115"/>
      <c r="F38" s="115"/>
      <c r="G38" s="116"/>
    </row>
    <row r="39" spans="2:7" ht="24.75" customHeight="1">
      <c r="B39" s="10" t="s">
        <v>41</v>
      </c>
      <c r="C39" s="11" t="s">
        <v>44</v>
      </c>
      <c r="D39" s="11" t="s">
        <v>60</v>
      </c>
      <c r="E39" s="11" t="s">
        <v>42</v>
      </c>
      <c r="F39" s="11" t="s">
        <v>43</v>
      </c>
      <c r="G39" s="12" t="s">
        <v>4</v>
      </c>
    </row>
    <row r="40" spans="2:7" ht="24.75" customHeight="1">
      <c r="B40" s="7">
        <f>SUM('Budget Summary'!P6,'Budget Summary'!P8,'Budget Summary'!P9,'Budget Summary'!P10,'Budget Summary'!P11,'Budget Summary'!P15)</f>
        <v>800635</v>
      </c>
      <c r="C40" s="8">
        <f>SUM('Budget Summary'!P13,'Budget Summary'!P14,'Budget Summary'!P16,'Budget Summary'!P17,'Budget Summary'!P18)</f>
        <v>865910</v>
      </c>
      <c r="D40" s="8">
        <f>SUM('Budget Summary'!P7,'Budget Summary'!P12,'Budget Summary'!P19)</f>
        <v>1190990.35</v>
      </c>
      <c r="E40" s="8">
        <f>SUM('Budget Summary'!P20:P22)</f>
        <v>4009266.42</v>
      </c>
      <c r="F40" s="8">
        <f>SUM('Budget Summary'!P23)</f>
        <v>121700</v>
      </c>
      <c r="G40" s="9">
        <f>SUM(B40:F40)</f>
        <v>6988501.77</v>
      </c>
    </row>
    <row r="41" spans="2:7" ht="24.75" customHeight="1" thickBot="1">
      <c r="B41" s="4">
        <f aca="true" t="shared" si="4" ref="B41:G41">B40/$G$40</f>
        <v>0.11456461289556202</v>
      </c>
      <c r="C41" s="5">
        <f t="shared" si="4"/>
        <v>0.12390495538216055</v>
      </c>
      <c r="D41" s="5">
        <f t="shared" si="4"/>
        <v>0.17042141351564688</v>
      </c>
      <c r="E41" s="5">
        <f t="shared" si="4"/>
        <v>0.5736946990856955</v>
      </c>
      <c r="F41" s="5">
        <f t="shared" si="4"/>
        <v>0.01741431912093513</v>
      </c>
      <c r="G41" s="5">
        <f t="shared" si="4"/>
        <v>1</v>
      </c>
    </row>
    <row r="42" ht="6.75" customHeight="1" thickBot="1"/>
    <row r="43" spans="2:7" ht="24.75" customHeight="1">
      <c r="B43" s="114" t="s">
        <v>59</v>
      </c>
      <c r="C43" s="115"/>
      <c r="D43" s="115"/>
      <c r="E43" s="115"/>
      <c r="F43" s="115"/>
      <c r="G43" s="116"/>
    </row>
    <row r="44" spans="2:7" ht="24.75" customHeight="1">
      <c r="B44" s="15" t="s">
        <v>46</v>
      </c>
      <c r="C44" s="16" t="s">
        <v>48</v>
      </c>
      <c r="D44" s="106" t="s">
        <v>49</v>
      </c>
      <c r="E44" s="113"/>
      <c r="F44" s="106" t="s">
        <v>47</v>
      </c>
      <c r="G44" s="110"/>
    </row>
    <row r="45" spans="2:7" ht="24.75" customHeight="1" thickBot="1">
      <c r="B45" s="13">
        <f>'Budget Summary'!P26</f>
        <v>28482</v>
      </c>
      <c r="C45" s="14">
        <f>'Budget Summary'!P27</f>
        <v>133386</v>
      </c>
      <c r="D45" s="108">
        <f>'Budget Summary'!P28</f>
        <v>994837.25</v>
      </c>
      <c r="E45" s="109"/>
      <c r="F45" s="111">
        <f>'Budget Summary'!$P24/'Budget Summary'!$P28</f>
        <v>7.024768895615841</v>
      </c>
      <c r="G45" s="112"/>
    </row>
    <row r="46" spans="2:7" ht="9.75" customHeight="1">
      <c r="B46" s="17"/>
      <c r="C46" s="17"/>
      <c r="D46" s="17"/>
      <c r="E46" s="17"/>
      <c r="F46" s="17"/>
      <c r="G46" s="17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30">
    <mergeCell ref="B2:G2"/>
    <mergeCell ref="B7:G7"/>
    <mergeCell ref="B11:G11"/>
    <mergeCell ref="B16:G16"/>
    <mergeCell ref="D8:E8"/>
    <mergeCell ref="D9:E9"/>
    <mergeCell ref="F8:G8"/>
    <mergeCell ref="F9:G9"/>
    <mergeCell ref="B38:G38"/>
    <mergeCell ref="B43:G43"/>
    <mergeCell ref="B20:G20"/>
    <mergeCell ref="B25:G25"/>
    <mergeCell ref="B29:G29"/>
    <mergeCell ref="B34:G34"/>
    <mergeCell ref="D26:E26"/>
    <mergeCell ref="F26:G26"/>
    <mergeCell ref="D27:E27"/>
    <mergeCell ref="F27:G27"/>
    <mergeCell ref="D44:E44"/>
    <mergeCell ref="D45:E45"/>
    <mergeCell ref="F44:G44"/>
    <mergeCell ref="F45:G45"/>
    <mergeCell ref="D17:E17"/>
    <mergeCell ref="D18:E18"/>
    <mergeCell ref="F17:G17"/>
    <mergeCell ref="F18:G18"/>
    <mergeCell ref="D35:E35"/>
    <mergeCell ref="D36:E36"/>
    <mergeCell ref="F35:G35"/>
    <mergeCell ref="F36:G36"/>
  </mergeCells>
  <printOptions/>
  <pageMargins left="1.53" right="0.75" top="1" bottom="1" header="0.5" footer="0.5"/>
  <pageSetup fitToHeight="1" fitToWidth="1" horizontalDpi="1200" verticalDpi="12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00213</dc:creator>
  <cp:keywords/>
  <dc:description/>
  <cp:lastModifiedBy>00213</cp:lastModifiedBy>
  <cp:lastPrinted>2006-12-05T21:06:29Z</cp:lastPrinted>
  <dcterms:created xsi:type="dcterms:W3CDTF">2006-10-23T18:37:13Z</dcterms:created>
  <dcterms:modified xsi:type="dcterms:W3CDTF">2006-12-05T21:20:26Z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