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tabRatio="702" activeTab="12"/>
  </bookViews>
  <sheets>
    <sheet name="Mac" sheetId="1" r:id="rId1"/>
    <sheet name="1.2" sheetId="2" r:id="rId2"/>
    <sheet name="1.3.1" sheetId="3" r:id="rId3"/>
    <sheet name="1.3.2" sheetId="4" r:id="rId4"/>
    <sheet name="1.4.1" sheetId="5" r:id="rId5"/>
    <sheet name="1.4.2" sheetId="6" r:id="rId6"/>
    <sheet name="1.4.3" sheetId="7" r:id="rId7"/>
    <sheet name="1.5" sheetId="8" r:id="rId8"/>
    <sheet name="1.6.1" sheetId="9" r:id="rId9"/>
    <sheet name="1.6.2" sheetId="10" r:id="rId10"/>
    <sheet name="1.6.3" sheetId="11" r:id="rId11"/>
    <sheet name="1.6.4" sheetId="12" r:id="rId12"/>
    <sheet name="1.7" sheetId="13" r:id="rId13"/>
  </sheets>
  <definedNames>
    <definedName name="\P">'Mac'!$B$3</definedName>
    <definedName name="EXH1.2">'1.2'!$A$1:$I$32</definedName>
    <definedName name="EXH1.3P2">'1.3.2'!$B$1:$M$64</definedName>
    <definedName name="EXH1.4P1">'1.4.1'!$B$1:$L$49</definedName>
    <definedName name="EXH1.4P2">'1.4.2'!$C$1:$L$39</definedName>
    <definedName name="EXH1.4P3">'1.4.3'!$A$1:$G$43</definedName>
    <definedName name="EXH1.5">'1.5'!$B$1:$L$54</definedName>
    <definedName name="EXH1.6P2">'1.6.2'!$B$1:$H$55</definedName>
    <definedName name="EXH1.6P3">'1.6.3'!$B$1:$I$55</definedName>
    <definedName name="EXH1.7P1">'1.7'!$A$1:$I$36</definedName>
    <definedName name="EXH1.7P2">#REF!</definedName>
    <definedName name="EXH1.8P1">#REF!</definedName>
    <definedName name="EXH1.8P2">#REF!</definedName>
    <definedName name="EXH1.8P3">#REF!</definedName>
    <definedName name="EXH1.8P4">#REF!</definedName>
    <definedName name="INCOME">#REF!</definedName>
    <definedName name="_xlnm.Print_Area" localSheetId="1">'1.2'!$A$1:$I$32</definedName>
    <definedName name="_xlnm.Print_Area" localSheetId="2">'1.3.1'!$B$1:$M$62</definedName>
    <definedName name="_xlnm.Print_Area" localSheetId="3">'1.3.2'!$B$1:$M$63</definedName>
    <definedName name="_xlnm.Print_Area" localSheetId="4">'1.4.1'!$B$1:$K$52</definedName>
    <definedName name="_xlnm.Print_Area" localSheetId="5">'1.4.2'!$C$1:$J$39</definedName>
    <definedName name="_xlnm.Print_Area" localSheetId="6">'1.4.3'!$A$1:$I$43</definedName>
    <definedName name="_xlnm.Print_Area" localSheetId="7">'1.5'!$B$1:$J$53</definedName>
    <definedName name="_xlnm.Print_Area" localSheetId="8">'1.6.1'!$B$1:$I$63</definedName>
    <definedName name="_xlnm.Print_Area" localSheetId="9">'1.6.2'!$A$1:$G$52</definedName>
    <definedName name="_xlnm.Print_Area" localSheetId="10">'1.6.3'!$A$1:$J$54</definedName>
    <definedName name="_xlnm.Print_Area" localSheetId="11">'1.6.4'!$A$1:$I$66</definedName>
    <definedName name="_xlnm.Print_Area" localSheetId="12">'1.7'!$A$1:$J$36</definedName>
    <definedName name="TARIFF">'1.2:1.7'!$A$1:$CU$149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<sst xmlns="http://schemas.openxmlformats.org/spreadsheetml/2006/main" count="617" uniqueCount="399">
  <si>
    <t>&lt;- Input Docket Number</t>
  </si>
  <si>
    <t>\P</t>
  </si>
  <si>
    <t>{edit-goto 1.2:a1}{set "print-size";"fit-all"}{set "print-orientation";"portrait"}{print "current"}</t>
  </si>
  <si>
    <t>{edit-goto 1.3.1:a1}{select a1..m63}{print "selection"}</t>
  </si>
  <si>
    <t>{edit-goto 1.3.2:a1}{select a1..l65}{print "selection"}</t>
  </si>
  <si>
    <t>{edit-goto 1.4.1:a1}{set "print-size";"fit-all"}{set "print-orientation";"portrait"}{print "current"}</t>
  </si>
  <si>
    <t>{edit-goto 1.4.2:a1}{print "current"}</t>
  </si>
  <si>
    <t>{edit-goto 1.4.3:a1}{print "current"}</t>
  </si>
  <si>
    <t>{edit-goto 1.5:a1}{select a1..j57}{print "selection"}</t>
  </si>
  <si>
    <t>{edit-goto 1.6.1:a1}{select a1..j64}{print "selection"}</t>
  </si>
  <si>
    <t>{edit-goto 1.6.2:a1}{print "current"}</t>
  </si>
  <si>
    <t>{edit-goto 1.6.3:a1}{print "current"}</t>
  </si>
  <si>
    <t>{edit-goto 1.7:a1}{print "current"}</t>
  </si>
  <si>
    <t>{edit-goto 1.7.2:a1}{print "current"}</t>
  </si>
  <si>
    <t>{edit-goto 1.8.2:a1}{print "current"}</t>
  </si>
  <si>
    <t>{edit-goto 1.8.3:a1}{print "current"}</t>
  </si>
  <si>
    <t>{edit-goto 1.8.4:a1}{print "current"}</t>
  </si>
  <si>
    <t>{edit-goto 1.8.5:a1}{print "current"}</t>
  </si>
  <si>
    <t>{edit-goto 1.9:a1}{print "current"}</t>
  </si>
  <si>
    <t>{edit-goto c.k:a1}{set "print-orientation";"landscape"}{select a1..r47}{print "selection"}</t>
  </si>
  <si>
    <t>{edit-goto sum:a1}{set "print-orientation";"portrait"}{print "current"}</t>
  </si>
  <si>
    <t>is-4  Dth</t>
  </si>
  <si>
    <t>i-4  Dth</t>
  </si>
  <si>
    <t>G.I.  forecast</t>
  </si>
  <si>
    <t>Rev credit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</si>
  <si>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</si>
  <si>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</si>
  <si>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</si>
  <si>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</si>
  <si>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</si>
  <si>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</si>
  <si>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</si>
  <si>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</si>
  <si>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</si>
  <si>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</si>
  <si>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</si>
  <si>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</si>
  <si>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Questar Gas Company</t>
  </si>
  <si>
    <t xml:space="preserve"> </t>
  </si>
  <si>
    <t>Dth</t>
  </si>
  <si>
    <t>Forecast Spot</t>
  </si>
  <si>
    <t>Future Contracts</t>
  </si>
  <si>
    <t>Total Gas Purchased</t>
  </si>
  <si>
    <t>Page 1 of 2</t>
  </si>
  <si>
    <t>TRANSPORTATION DEMAND</t>
  </si>
  <si>
    <t>QPC Demand</t>
  </si>
  <si>
    <t>Rate</t>
  </si>
  <si>
    <t>Total Cost</t>
  </si>
  <si>
    <t xml:space="preserve"> x</t>
  </si>
  <si>
    <t>x</t>
  </si>
  <si>
    <t xml:space="preserve">    =</t>
  </si>
  <si>
    <t>Total</t>
  </si>
  <si>
    <t>Total Transportation Demand (SNG)</t>
  </si>
  <si>
    <t>TRANSPORTATION COMMODITY</t>
  </si>
  <si>
    <t>QPC Commodity</t>
  </si>
  <si>
    <t>Total Transportation Commodity</t>
  </si>
  <si>
    <t>Total Transporation and Other Charges</t>
  </si>
  <si>
    <t>Other Trans</t>
  </si>
  <si>
    <t>Other Gather &amp; Processing</t>
  </si>
  <si>
    <t>Other Stor</t>
  </si>
  <si>
    <t>Birch Cr Gather</t>
  </si>
  <si>
    <t>Page 2 of 2</t>
  </si>
  <si>
    <t>STORAGE CHARGES</t>
  </si>
  <si>
    <t>Storage Demand</t>
  </si>
  <si>
    <t>Months</t>
  </si>
  <si>
    <t xml:space="preserve">x </t>
  </si>
  <si>
    <t>Storage Commodity  2/</t>
  </si>
  <si>
    <t>Total Storage Charges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</si>
  <si>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</si>
  <si>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</si>
  <si>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</si>
  <si>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</si>
  <si>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</si>
  <si>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</si>
  <si>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</si>
  <si>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</si>
  <si>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</si>
  <si>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</si>
  <si>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</si>
  <si>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</si>
  <si>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13 Month Average   3/</t>
  </si>
  <si>
    <t xml:space="preserve">  =</t>
  </si>
  <si>
    <t>Total Firm Storage and Working Gas Charges</t>
  </si>
  <si>
    <t>2/  Questar Gas  planned volumes.</t>
  </si>
  <si>
    <t>Page 1 of 3</t>
  </si>
  <si>
    <t>------</t>
  </si>
  <si>
    <t>Questar Gas Production  1/</t>
  </si>
  <si>
    <t>Other Revenues Credits  2/</t>
  </si>
  <si>
    <t>Total Cost of Questar Gas Production</t>
  </si>
  <si>
    <t>Page 2 of 3</t>
  </si>
  <si>
    <t>Company Production  1/</t>
  </si>
  <si>
    <t>Purchased gas   2/</t>
  </si>
  <si>
    <t>Storage  3/</t>
  </si>
  <si>
    <t xml:space="preserve">    Withdrawals</t>
  </si>
  <si>
    <t xml:space="preserve">    Injections</t>
  </si>
  <si>
    <t>Storage Adjustment</t>
  </si>
  <si>
    <t>Page 3 of 3</t>
  </si>
  <si>
    <t>OTHER REVENUES</t>
  </si>
  <si>
    <t>Test-Year</t>
  </si>
  <si>
    <t>Revenue</t>
  </si>
  <si>
    <t>483</t>
  </si>
  <si>
    <t>Sales for Resale</t>
  </si>
  <si>
    <t xml:space="preserve"> 1/</t>
  </si>
  <si>
    <t>490</t>
  </si>
  <si>
    <t>Plant By-Product</t>
  </si>
  <si>
    <t>492</t>
  </si>
  <si>
    <t>Gasoline and Oil Sales</t>
  </si>
  <si>
    <t>758-1</t>
  </si>
  <si>
    <t>Gasoline and Oil Cost</t>
  </si>
  <si>
    <t>Net Gasoline and Oil Sales</t>
  </si>
  <si>
    <t>495-1</t>
  </si>
  <si>
    <t>Overriding Royalty Revenue from Questar E &amp; P</t>
  </si>
  <si>
    <t>495-2</t>
  </si>
  <si>
    <t>Oil Revenue Received from Wexpro</t>
  </si>
  <si>
    <t>Gathering</t>
  </si>
  <si>
    <t>Net Cost of Questar Gas Production</t>
  </si>
  <si>
    <t>Transportation</t>
  </si>
  <si>
    <t>Storage</t>
  </si>
  <si>
    <t>Totals</t>
  </si>
  <si>
    <t xml:space="preserve">1/  </t>
  </si>
  <si>
    <t>Wyoming</t>
  </si>
  <si>
    <t>#1  Peak Day Demand</t>
  </si>
  <si>
    <t xml:space="preserve"> Dth</t>
  </si>
  <si>
    <t xml:space="preserve"> Percent</t>
  </si>
  <si>
    <t>#2  Commodity Sales - All</t>
  </si>
  <si>
    <t>TEST-YEAR GAS-COST CHANGE</t>
  </si>
  <si>
    <t xml:space="preserve">     Less:</t>
  </si>
  <si>
    <t>Net Utah Gas Costs (For Firm Sales)</t>
  </si>
  <si>
    <t>Total Dth</t>
  </si>
  <si>
    <t xml:space="preserve">  Utah</t>
  </si>
  <si>
    <t xml:space="preserve">  Wyoming</t>
  </si>
  <si>
    <t>Commodity Portion of Test-Year Gas Cost (line 5 + line 9)</t>
  </si>
  <si>
    <t>Current Case</t>
  </si>
  <si>
    <t>Prior Rate</t>
  </si>
  <si>
    <t>Difference</t>
  </si>
  <si>
    <t>Firm Gas Cost (line 10/ Firm Sales, line 6)</t>
  </si>
  <si>
    <t>I-2, IS-2 &amp; T-1 Unit Commodity Cost</t>
  </si>
  <si>
    <t>(excluding bad debt cost)</t>
  </si>
  <si>
    <t>F-3 Demand</t>
  </si>
  <si>
    <t>I-2, IS-2, &amp; T-1</t>
  </si>
  <si>
    <t>I-4, IS-4</t>
  </si>
  <si>
    <t>Less:  supplier non-gas balance</t>
  </si>
  <si>
    <t>Dth      =</t>
  </si>
  <si>
    <t>S  N  G</t>
  </si>
  <si>
    <t>from 191 account</t>
  </si>
  <si>
    <t>year end</t>
  </si>
  <si>
    <t>Yrly amount</t>
  </si>
  <si>
    <t>Cum. balance</t>
  </si>
  <si>
    <t>Year</t>
  </si>
  <si>
    <t>Supplier Non-Gas Costs  1/</t>
  </si>
  <si>
    <t>191 Account Balance for Supplier Non-Gas Costs  2/</t>
  </si>
  <si>
    <t xml:space="preserve">     Total</t>
  </si>
  <si>
    <t>Supplier Non-Gas Costs Recovered at Current Rates  3/</t>
  </si>
  <si>
    <t xml:space="preserve"> 6a</t>
  </si>
  <si>
    <t>Adjustment for S N G contributions from:</t>
  </si>
  <si>
    <t xml:space="preserve"> 6b</t>
  </si>
  <si>
    <t>I-4, I-S4  SNG current rate</t>
  </si>
  <si>
    <t xml:space="preserve"> 6c</t>
  </si>
  <si>
    <t>I-4, I-S4  SNG new rate</t>
  </si>
  <si>
    <t xml:space="preserve"> 6d</t>
  </si>
  <si>
    <t>I-2, I-S2  SNG current rate</t>
  </si>
  <si>
    <t xml:space="preserve"> 6e</t>
  </si>
  <si>
    <t>I-2, I-S2  SNG new rate</t>
  </si>
  <si>
    <t>Percent Change to Current Rates</t>
  </si>
  <si>
    <t>((ln 3-ln 6c-ln 6e)-(ln 4-ln 6b-ln 6d))/(ln 4-ln 6b-ln 6d)</t>
  </si>
  <si>
    <t>BY RATE CLASS</t>
  </si>
  <si>
    <t>GS-1</t>
  </si>
  <si>
    <t>Winter</t>
  </si>
  <si>
    <t>/Dth</t>
  </si>
  <si>
    <t>Summer</t>
  </si>
  <si>
    <t>GSS</t>
  </si>
  <si>
    <t>F-1</t>
  </si>
  <si>
    <t>F-3</t>
  </si>
  <si>
    <t>F-4</t>
  </si>
  <si>
    <t>NGV</t>
  </si>
  <si>
    <t>I-2</t>
  </si>
  <si>
    <t>I-4</t>
  </si>
  <si>
    <t>IS-2</t>
  </si>
  <si>
    <t>IS-4</t>
  </si>
  <si>
    <t>T-1</t>
  </si>
  <si>
    <t>E-1</t>
  </si>
  <si>
    <t>1/  Current Questar Gas Tariff. (excluding bad debt surcharge)</t>
  </si>
  <si>
    <t>(except lines 11 thru 14)</t>
  </si>
  <si>
    <t>Billing at Rate</t>
  </si>
  <si>
    <t>Monthly Use</t>
  </si>
  <si>
    <t>Effective</t>
  </si>
  <si>
    <t>Billing at</t>
  </si>
  <si>
    <t>Schedule</t>
  </si>
  <si>
    <t>Month</t>
  </si>
  <si>
    <t>In Decatherms</t>
  </si>
  <si>
    <t>Change</t>
  </si>
  <si>
    <t>Percent Change:</t>
  </si>
  <si>
    <t>%</t>
  </si>
  <si>
    <t>NEW TOTAL RATE FOR BLOCK1, WINTER</t>
  </si>
  <si>
    <t>NEW TOTAL RATE FOR BLOCK2, WINTER</t>
  </si>
  <si>
    <t>NEW TOTAL RATE FOR BLOCK1, SUMMER</t>
  </si>
  <si>
    <t>NEW TOTAL RATE FOR BLOCK2, SUMMER</t>
  </si>
  <si>
    <t>CURRENT TOTAL RATE FOR BLOCK1, WINTER</t>
  </si>
  <si>
    <t>CURRENT TOTAL RATE FOR BLOCK2, WINTER</t>
  </si>
  <si>
    <t>CURRENT TOTAL RATE FOR BLOCK1, SUMMER</t>
  </si>
  <si>
    <t>CURRENT TOTAL RATE FOR BLOCK, SUMMER</t>
  </si>
  <si>
    <t>Commodity</t>
  </si>
  <si>
    <t>Cost</t>
  </si>
  <si>
    <t>Utah</t>
  </si>
  <si>
    <t>Print macro in Excel</t>
  </si>
  <si>
    <t>Ctrl  + P</t>
  </si>
  <si>
    <t>Typical GS1</t>
  </si>
  <si>
    <t>Typical Res</t>
  </si>
  <si>
    <t xml:space="preserve">   Current Contracts</t>
  </si>
  <si>
    <t xml:space="preserve">   Stabilization Costs</t>
  </si>
  <si>
    <t>11-1-05</t>
  </si>
  <si>
    <t>05-057-11</t>
  </si>
  <si>
    <t>QGM Gathering Demand</t>
  </si>
  <si>
    <t>QGM Gathering Commodity</t>
  </si>
  <si>
    <t>mo.</t>
  </si>
  <si>
    <t>=</t>
  </si>
  <si>
    <t xml:space="preserve">     Total QGM Gathering (SNG)</t>
  </si>
  <si>
    <t>2/  2004 Year-end Supplier Non-Gas Cost Balance  (actual)</t>
  </si>
  <si>
    <t xml:space="preserve">    Supplier Non-Gas Cost Under (Over) Collected in 2005</t>
  </si>
  <si>
    <t>3/  Output of Revrun.Exe Computer Program Dated Jan 5,  2006.</t>
  </si>
  <si>
    <t>TEST YEAR PURCHASED GAS COST</t>
  </si>
  <si>
    <t>(A)</t>
  </si>
  <si>
    <t>(B)</t>
  </si>
  <si>
    <t>(C)</t>
  </si>
  <si>
    <t>(D)</t>
  </si>
  <si>
    <t>Component</t>
  </si>
  <si>
    <t>per Dth</t>
  </si>
  <si>
    <t xml:space="preserve">     Total Current Contracts</t>
  </si>
  <si>
    <t>/Dth   =</t>
  </si>
  <si>
    <t>(E)</t>
  </si>
  <si>
    <t>(F)</t>
  </si>
  <si>
    <t>Total Costs</t>
  </si>
  <si>
    <t>Kern River Demand</t>
  </si>
  <si>
    <t>T-1 Transportation - Yearly</t>
  </si>
  <si>
    <t>T-1 Transportation - Seasonal</t>
  </si>
  <si>
    <t>No-Notice Transportation</t>
  </si>
  <si>
    <t>Capacity Release Credits</t>
  </si>
  <si>
    <t>November - March</t>
  </si>
  <si>
    <t>QPC Commodity (SNG)</t>
  </si>
  <si>
    <t>Kern River Commodity</t>
  </si>
  <si>
    <t>OTHER CHARGES</t>
  </si>
  <si>
    <t>January - December</t>
  </si>
  <si>
    <t>ACA</t>
  </si>
  <si>
    <t xml:space="preserve">    Total</t>
  </si>
  <si>
    <t xml:space="preserve">     Total (SNG)</t>
  </si>
  <si>
    <t xml:space="preserve"> TEST YEAR TRANSPORTATION, GATHERING AND PROCESSING CHARGES</t>
  </si>
  <si>
    <t>TEST YEAR STORAGE AND WORKING GAS CHARGES</t>
  </si>
  <si>
    <t>(Dth)</t>
  </si>
  <si>
    <t xml:space="preserve">/Dth = </t>
  </si>
  <si>
    <t>Peaking Demand</t>
  </si>
  <si>
    <t>Clay Basin Demand</t>
  </si>
  <si>
    <t>Clay Basin Capacity</t>
  </si>
  <si>
    <t xml:space="preserve">     Total Demand Charges (SNG)</t>
  </si>
  <si>
    <t>Peaking Injections</t>
  </si>
  <si>
    <t>Peaking Withdrawals</t>
  </si>
  <si>
    <t>Clay Basin Injections</t>
  </si>
  <si>
    <t>Clay Basin Withdrawals</t>
  </si>
  <si>
    <t xml:space="preserve">     Total Commodity Charges</t>
  </si>
  <si>
    <t>WORKING GAS CHARGES  -  QGC Account 164 - (13 month average)</t>
  </si>
  <si>
    <t>Amount</t>
  </si>
  <si>
    <t>Pre-Tax Return %</t>
  </si>
  <si>
    <t>QPC Rates Eff. October 1, 2005  1/</t>
  </si>
  <si>
    <t>3/  (1/2 of line 11 + sum of lines 12 thru 22 + 1/2 of line 23)/12</t>
  </si>
  <si>
    <t>Costs</t>
  </si>
  <si>
    <t>$ per Dth</t>
  </si>
  <si>
    <t xml:space="preserve">     Net Questar Gas Production costs</t>
  </si>
  <si>
    <t>Questar Gas-Related Gas Costs for Rate Purposes /8</t>
  </si>
  <si>
    <t xml:space="preserve">     Gathering  3/</t>
  </si>
  <si>
    <t>Questar Gas Contract Gas  4/</t>
  </si>
  <si>
    <t>Injection / Withdrawal adjustment 5/</t>
  </si>
  <si>
    <t>Transportation &amp; Other Costs  6/</t>
  </si>
  <si>
    <t>Storage &amp; Working Gas 7/</t>
  </si>
  <si>
    <t>SUMMARY OF TEST-YEAR GAS RELATED COSTS AND REVENUE CREDITS</t>
  </si>
  <si>
    <t>Average</t>
  </si>
  <si>
    <t>3/  Questar Gas Company planned volumes.</t>
  </si>
  <si>
    <t>ANNUALIZED UNIT COST OF STORAGE GAS</t>
  </si>
  <si>
    <t>Account Name</t>
  </si>
  <si>
    <t>Account Number</t>
  </si>
  <si>
    <t>1/  Forecasted 12 months ending January 2007</t>
  </si>
  <si>
    <t>Allocation</t>
  </si>
  <si>
    <t>Factor</t>
  </si>
  <si>
    <t>System</t>
  </si>
  <si>
    <t>Demand</t>
  </si>
  <si>
    <t>Allocation Factors</t>
  </si>
  <si>
    <t>TEST YEAR GAS COST ALLOCATION</t>
  </si>
  <si>
    <t>Average Rate  x</t>
  </si>
  <si>
    <t>F-3 Demand Commodity Credit 2/</t>
  </si>
  <si>
    <t>I-2, IS-2 &amp; T-1 Class Commodity Credit 2/</t>
  </si>
  <si>
    <t>I-4, IS-4 Class Commodity Credit 2/</t>
  </si>
  <si>
    <t>Test-Year Sales:  2/</t>
  </si>
  <si>
    <t>Firm</t>
  </si>
  <si>
    <t>+ Interruptible</t>
  </si>
  <si>
    <t>=Total Sales Dth</t>
  </si>
  <si>
    <t>Supplier Non-Gas Costs 3/</t>
  </si>
  <si>
    <t>FIRM CUSTOMER RATES</t>
  </si>
  <si>
    <t>INTERRUPTIBLE CUSTOMER RATES</t>
  </si>
  <si>
    <t>2/  Revrun.Exe (Jan 5, 2006)</t>
  </si>
  <si>
    <t>X</t>
  </si>
  <si>
    <t xml:space="preserve"> DNG Rate</t>
  </si>
  <si>
    <t>=  DNG Revenues</t>
  </si>
  <si>
    <t>3/  Test Year Estimate of Transportation, Gathering, and Storage billings.</t>
  </si>
  <si>
    <t>191 account commodity portion</t>
  </si>
  <si>
    <t>191 Account Amortization (Commodity Portion) 4/</t>
  </si>
  <si>
    <t>4/  191 Account (actual Dec '05)</t>
  </si>
  <si>
    <t>($6.80 - $7.30)</t>
  </si>
  <si>
    <t>TEST-YEAR SUPPLIER NON-GAS COST CHANGE</t>
  </si>
  <si>
    <t>Average Rate</t>
  </si>
  <si>
    <t>S N G Costs Adjustment to Current Rates  (ln 3 - ln 4)</t>
  </si>
  <si>
    <t>SNG Balance</t>
  </si>
  <si>
    <t xml:space="preserve">     2005 Year-end Supplier Non-Gas Cost Balance (actual)</t>
  </si>
  <si>
    <t>TEST YEAR CHANGE IN SUPPLIER NON-GAS COSTS</t>
  </si>
  <si>
    <t>Calculated</t>
  </si>
  <si>
    <t>Rate Class</t>
  </si>
  <si>
    <t>Season</t>
  </si>
  <si>
    <t>Current 1/</t>
  </si>
  <si>
    <t>Rate per Dth</t>
  </si>
  <si>
    <t>Calculated 2/</t>
  </si>
  <si>
    <t>EFFECT ON GS-1 TYPICAL CUSTOMER</t>
  </si>
  <si>
    <t xml:space="preserve">  115 DTHS -  ANNUAL CONSUMPTION</t>
  </si>
  <si>
    <t>Total Firm Sales Unit Commodity Cost  (lines. 11 &amp; 12)</t>
  </si>
  <si>
    <t>Page 3 of 4</t>
  </si>
  <si>
    <t>Page 2 of 4</t>
  </si>
  <si>
    <t>GAS MANAGEMENT COSTS</t>
  </si>
  <si>
    <t>Processing Costs</t>
  </si>
  <si>
    <t>Percentage</t>
  </si>
  <si>
    <t>Page 1 of 4</t>
  </si>
  <si>
    <t>Non-Gas</t>
  </si>
  <si>
    <t>Gas Management Costs</t>
  </si>
  <si>
    <t>Other Gathering &amp; Processing Charges</t>
  </si>
  <si>
    <t>Other Transportation Charges</t>
  </si>
  <si>
    <t xml:space="preserve">     Total Other Gathering, Processing and Transportation (SNG)</t>
  </si>
  <si>
    <t>Allowed</t>
  </si>
  <si>
    <t>1/</t>
  </si>
  <si>
    <t>2/</t>
  </si>
  <si>
    <t>Class</t>
  </si>
  <si>
    <t>GS</t>
  </si>
  <si>
    <t>F1</t>
  </si>
  <si>
    <t>F3</t>
  </si>
  <si>
    <t>F4</t>
  </si>
  <si>
    <t>I Sales</t>
  </si>
  <si>
    <t>FT-2</t>
  </si>
  <si>
    <t>I Trans</t>
  </si>
  <si>
    <t xml:space="preserve">     Grand Total</t>
  </si>
  <si>
    <t>Gas</t>
  </si>
  <si>
    <t>Management</t>
  </si>
  <si>
    <t>RATE SPREAD TABLE</t>
  </si>
  <si>
    <t>(G)</t>
  </si>
  <si>
    <t>Page 4 of 4</t>
  </si>
  <si>
    <t>Gas Management Costs  6/</t>
  </si>
  <si>
    <t>Commodity 1/</t>
  </si>
  <si>
    <t>Less Third Party Revenue  2/</t>
  </si>
  <si>
    <t xml:space="preserve">     Gas Management Costs Allowed in Rates</t>
  </si>
  <si>
    <t xml:space="preserve"> Estimated Third party revenue of $1,400,000  less $400,000 times 50% sharing.</t>
  </si>
  <si>
    <t>($1,400,000 - $400,000) X 50% = $500,000)</t>
  </si>
  <si>
    <t>Allocation 3/</t>
  </si>
  <si>
    <t>Volumes 4/</t>
  </si>
  <si>
    <t>5/</t>
  </si>
  <si>
    <t>6/</t>
  </si>
  <si>
    <t>Determined Monthly</t>
  </si>
  <si>
    <t>3/</t>
  </si>
  <si>
    <t>4/</t>
  </si>
  <si>
    <t>QGC Barrie L. Mckay Exhibit 1, line 2  Docket No. 02-057-02.</t>
  </si>
  <si>
    <t>Estimated Test Period Volumes for 12 months ending January 2007.</t>
  </si>
  <si>
    <t>These rates include the effects of including processing costs from Feb '05 - Jan '06 in the 191 balancing account.</t>
  </si>
  <si>
    <t>These rates reflect the rates that will be charged for one year to collect the processing costs incurred from Feb '05 thru Jan '06.</t>
  </si>
  <si>
    <t>Jurisdiction</t>
  </si>
  <si>
    <t>Approximately 373,567 Dth of which 360,000 Dth are Utah's allocated share X</t>
  </si>
  <si>
    <t>01</t>
  </si>
  <si>
    <t>Jan 2006</t>
  </si>
  <si>
    <t>Revised Exhibit 1.2</t>
  </si>
  <si>
    <t>Revised Exhibit 1.3</t>
  </si>
  <si>
    <t>Revised Exhibit 1.4</t>
  </si>
  <si>
    <t>1/  Revised Exhibit 1.1.</t>
  </si>
  <si>
    <t xml:space="preserve">2/  Revised Exhibit 1.4, page 3. </t>
  </si>
  <si>
    <t xml:space="preserve">3/  Revised Exhibit 1.3, page 1. </t>
  </si>
  <si>
    <t xml:space="preserve">4/  Revised Exhibit 1.2. </t>
  </si>
  <si>
    <t xml:space="preserve">5/  Revised Exhibit 1.4, page 2. </t>
  </si>
  <si>
    <t xml:space="preserve">6/  Revised Exhibit 1.3, page 1. </t>
  </si>
  <si>
    <t xml:space="preserve">7/  Revised Exhibit 1.3, page 2. </t>
  </si>
  <si>
    <t xml:space="preserve">8/  Revised Exhibit 1.6, page 1. </t>
  </si>
  <si>
    <t>2/  Revised Exhibit 1.2.</t>
  </si>
  <si>
    <t>Revised Exhibit 1.5</t>
  </si>
  <si>
    <t>Questar Gas Production (Revised Exhibit 1.1)</t>
  </si>
  <si>
    <t>Other Revenue's Credit (Revised Exhibit 1.4, p 3)</t>
  </si>
  <si>
    <t>Questar Gas Contract Gas (Revised Exhibit 1.2)</t>
  </si>
  <si>
    <t>Storage (Revised Exhibit 1.3, p 2)</t>
  </si>
  <si>
    <t>Working Gas Costs (Revised Exhibit 1.3, p 2)</t>
  </si>
  <si>
    <t>Gas Management Costs  (Revised Exhibit 1.3, p 1)</t>
  </si>
  <si>
    <t>Revised Exhibit 1.6</t>
  </si>
  <si>
    <t>Utah Allocation of Questar Gas-Related Gas Costs (Revised Exhibit 1.5) 1/</t>
  </si>
  <si>
    <t>1/  Revised Exhibit 1.5</t>
  </si>
  <si>
    <t>1/  See Revised Exhibit 1.6, Page 1, Line 9.</t>
  </si>
  <si>
    <t>2/  (Current Questar Gas rates) X (Revised Exhibit 1.6, page 2, line 7, % change).</t>
  </si>
  <si>
    <t>Revised Exhibit 1.7</t>
  </si>
  <si>
    <t>1/  Revised Exhibit 1.9.</t>
  </si>
  <si>
    <t>Gathering  (Rev. Exhibit 1.3, p 1)</t>
  </si>
  <si>
    <t>Injection / Withdrawal adjustment (Rev. Ex. 1.4, p1)</t>
  </si>
  <si>
    <t>Transportation (Rev. Ex. 1.3, p 1)</t>
  </si>
  <si>
    <t>Other Transportation  - Commodity (Rev. Ex. 1.3, p 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</si>
</sst>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0_);\(&quot;$&quot;#,##0.00000\)"/>
    <numFmt numFmtId="166" formatCode="dd\-mmm\-yy_)"/>
    <numFmt numFmtId="167" formatCode=";;;"/>
    <numFmt numFmtId="168" formatCode="#,##0.00000_);\(#,##0.00000\)"/>
    <numFmt numFmtId="169" formatCode="0.00000_)"/>
    <numFmt numFmtId="170" formatCode="0.0000%"/>
    <numFmt numFmtId="171" formatCode="#,##0.000000_);\(#,##0.000000\)"/>
    <numFmt numFmtId="172" formatCode="0.000000_)"/>
    <numFmt numFmtId="173" formatCode="0.0000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00_);\(&quot;$&quot;#,##0.000\)"/>
    <numFmt numFmtId="178" formatCode="&quot;$&quot;#,##0.0000_);\(&quot;$&quot;#,##0.0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0000_);_(&quot;$&quot;* \(#,##0.00000\);_(&quot;$&quot;* &quot;-&quot;??_);_(@_)"/>
    <numFmt numFmtId="183" formatCode="_(&quot;$&quot;* #,##0.000000_);_(&quot;$&quot;* \(#,##0.000000\);_(&quot;$&quot;* &quot;-&quot;??_);_(@_)"/>
    <numFmt numFmtId="184" formatCode="_(* #,##0.00000_);_(* \(#,##0.00000\);_(* &quot;-&quot;?????_);_(@_)"/>
    <numFmt numFmtId="185" formatCode="#,##0.0000_);\(#,##0.0000\)"/>
    <numFmt numFmtId="186" formatCode="#,##0.000_);\(#,##0.000\)"/>
    <numFmt numFmtId="187" formatCode="#,##0.0_);\(#,##0.0\)"/>
    <numFmt numFmtId="188" formatCode="&quot;$&quot;#,##0"/>
    <numFmt numFmtId="189" formatCode="&quot;$&quot;#,##0.00000"/>
    <numFmt numFmtId="190" formatCode="&quot;$&quot;#,##0.000000"/>
    <numFmt numFmtId="191" formatCode="&quot;$&quot;#,##0.00"/>
    <numFmt numFmtId="192" formatCode="&quot;$&quot;#,##0.0"/>
  </numFmts>
  <fonts count="23">
    <font>
      <sz val="8"/>
      <name val="LinePrinter"/>
      <family val="0"/>
    </font>
    <font>
      <sz val="10"/>
      <name val="Arial"/>
      <family val="0"/>
    </font>
    <font>
      <sz val="8"/>
      <color indexed="10"/>
      <name val="CG Times"/>
      <family val="1"/>
    </font>
    <font>
      <sz val="8"/>
      <name val="CG Times"/>
      <family val="1"/>
    </font>
    <font>
      <sz val="10"/>
      <name val="CG Times"/>
      <family val="1"/>
    </font>
    <font>
      <sz val="10"/>
      <color indexed="10"/>
      <name val="CG Times"/>
      <family val="1"/>
    </font>
    <font>
      <u val="single"/>
      <sz val="10"/>
      <name val="CG Times"/>
      <family val="1"/>
    </font>
    <font>
      <b/>
      <sz val="10"/>
      <name val="CG Times"/>
      <family val="1"/>
    </font>
    <font>
      <sz val="10"/>
      <color indexed="8"/>
      <name val="CG Times"/>
      <family val="1"/>
    </font>
    <font>
      <sz val="10"/>
      <color indexed="12"/>
      <name val="CG Times"/>
      <family val="1"/>
    </font>
    <font>
      <sz val="8"/>
      <color indexed="12"/>
      <name val="CG Times"/>
      <family val="1"/>
    </font>
    <font>
      <sz val="12"/>
      <name val="CG Times"/>
      <family val="1"/>
    </font>
    <font>
      <u val="single"/>
      <sz val="8"/>
      <name val="CG Times"/>
      <family val="1"/>
    </font>
    <font>
      <b/>
      <u val="single"/>
      <sz val="8"/>
      <name val="CG Times"/>
      <family val="1"/>
    </font>
    <font>
      <u val="single"/>
      <sz val="8"/>
      <name val="LinePrinter"/>
      <family val="0"/>
    </font>
    <font>
      <b/>
      <sz val="8"/>
      <name val="CG Times"/>
      <family val="1"/>
    </font>
    <font>
      <sz val="8"/>
      <color indexed="8"/>
      <name val="CG Times"/>
      <family val="1"/>
    </font>
    <font>
      <b/>
      <sz val="9"/>
      <name val="CG Times"/>
      <family val="1"/>
    </font>
    <font>
      <sz val="9"/>
      <name val="CG Times"/>
      <family val="1"/>
    </font>
    <font>
      <sz val="9"/>
      <name val="LinePrinter"/>
      <family val="0"/>
    </font>
    <font>
      <sz val="10"/>
      <name val="LinePrinter"/>
      <family val="0"/>
    </font>
    <font>
      <sz val="9"/>
      <color indexed="10"/>
      <name val="CG Times"/>
      <family val="1"/>
    </font>
    <font>
      <b/>
      <sz val="11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5" fontId="6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5" fontId="4" fillId="2" borderId="0" xfId="0" applyNumberFormat="1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5" fontId="8" fillId="2" borderId="0" xfId="0" applyNumberFormat="1" applyFont="1" applyFill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67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7" fontId="9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5" fontId="15" fillId="0" borderId="0" xfId="0" applyNumberFormat="1" applyFont="1" applyAlignment="1" applyProtection="1">
      <alignment horizontal="center"/>
      <protection/>
    </xf>
    <xf numFmtId="5" fontId="15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0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8" fontId="3" fillId="0" borderId="0" xfId="0" applyNumberFormat="1" applyFont="1" applyAlignment="1" applyProtection="1">
      <alignment/>
      <protection/>
    </xf>
    <xf numFmtId="37" fontId="8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 horizontal="center"/>
      <protection/>
    </xf>
    <xf numFmtId="10" fontId="3" fillId="0" borderId="0" xfId="0" applyNumberFormat="1" applyFont="1" applyAlignment="1" applyProtection="1">
      <alignment horizontal="center"/>
      <protection/>
    </xf>
    <xf numFmtId="10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168" fontId="5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right"/>
      <protection/>
    </xf>
    <xf numFmtId="16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fill"/>
      <protection/>
    </xf>
    <xf numFmtId="0" fontId="8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5" fontId="1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2" fillId="0" borderId="0" xfId="0" applyFont="1" applyAlignment="1" applyProtection="1" quotePrefix="1">
      <alignment horizontal="left"/>
      <protection locked="0"/>
    </xf>
    <xf numFmtId="37" fontId="5" fillId="0" borderId="0" xfId="0" applyNumberFormat="1" applyFont="1" applyAlignment="1" applyProtection="1" quotePrefix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right"/>
    </xf>
    <xf numFmtId="37" fontId="5" fillId="0" borderId="0" xfId="0" applyNumberFormat="1" applyFont="1" applyAlignment="1" applyProtection="1" quotePrefix="1">
      <alignment horizontal="center"/>
      <protection/>
    </xf>
    <xf numFmtId="7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quotePrefix="1">
      <alignment horizontal="right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 quotePrefix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 quotePrefix="1">
      <alignment horizontal="center"/>
      <protection/>
    </xf>
    <xf numFmtId="0" fontId="20" fillId="0" borderId="3" xfId="0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165" fontId="4" fillId="0" borderId="3" xfId="0" applyNumberFormat="1" applyFont="1" applyBorder="1" applyAlignment="1" applyProtection="1">
      <alignment horizontal="center"/>
      <protection/>
    </xf>
    <xf numFmtId="0" fontId="20" fillId="0" borderId="3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5" fontId="18" fillId="0" borderId="1" xfId="0" applyNumberFormat="1" applyFont="1" applyBorder="1" applyAlignment="1" applyProtection="1">
      <alignment/>
      <protection/>
    </xf>
    <xf numFmtId="5" fontId="4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0" fontId="4" fillId="0" borderId="3" xfId="0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 quotePrefix="1">
      <alignment horizontal="center"/>
      <protection/>
    </xf>
    <xf numFmtId="37" fontId="4" fillId="0" borderId="3" xfId="0" applyNumberFormat="1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0" fontId="20" fillId="0" borderId="4" xfId="0" applyFont="1" applyBorder="1" applyAlignment="1">
      <alignment/>
    </xf>
    <xf numFmtId="5" fontId="21" fillId="0" borderId="1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"/>
      <protection/>
    </xf>
    <xf numFmtId="5" fontId="4" fillId="0" borderId="5" xfId="0" applyNumberFormat="1" applyFont="1" applyBorder="1" applyAlignment="1" applyProtection="1">
      <alignment/>
      <protection/>
    </xf>
    <xf numFmtId="5" fontId="18" fillId="0" borderId="2" xfId="0" applyNumberFormat="1" applyFont="1" applyBorder="1" applyAlignment="1" applyProtection="1">
      <alignment/>
      <protection/>
    </xf>
    <xf numFmtId="5" fontId="18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37" fontId="4" fillId="0" borderId="5" xfId="0" applyNumberFormat="1" applyFont="1" applyBorder="1" applyAlignment="1" applyProtection="1">
      <alignment/>
      <protection/>
    </xf>
    <xf numFmtId="165" fontId="4" fillId="0" borderId="5" xfId="0" applyNumberFormat="1" applyFont="1" applyBorder="1" applyAlignment="1" applyProtection="1">
      <alignment/>
      <protection/>
    </xf>
    <xf numFmtId="5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0" xfId="0" applyFont="1" applyAlignment="1" applyProtection="1" quotePrefix="1">
      <alignment horizontal="center"/>
      <protection/>
    </xf>
    <xf numFmtId="0" fontId="18" fillId="0" borderId="1" xfId="0" applyFont="1" applyBorder="1" applyAlignment="1">
      <alignment/>
    </xf>
    <xf numFmtId="37" fontId="4" fillId="0" borderId="2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 horizontal="center"/>
      <protection/>
    </xf>
    <xf numFmtId="0" fontId="4" fillId="0" borderId="1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65" fontId="8" fillId="0" borderId="6" xfId="0" applyNumberFormat="1" applyFont="1" applyBorder="1" applyAlignment="1" applyProtection="1">
      <alignment/>
      <protection/>
    </xf>
    <xf numFmtId="165" fontId="5" fillId="0" borderId="6" xfId="0" applyNumberFormat="1" applyFont="1" applyBorder="1" applyAlignment="1" applyProtection="1">
      <alignment/>
      <protection/>
    </xf>
    <xf numFmtId="165" fontId="4" fillId="0" borderId="6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 quotePrefix="1">
      <alignment horizontal="right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4" fillId="0" borderId="5" xfId="0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 quotePrefix="1">
      <alignment horizontal="right"/>
      <protection/>
    </xf>
    <xf numFmtId="37" fontId="4" fillId="0" borderId="7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 quotePrefix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7" fontId="18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 quotePrefix="1">
      <alignment horizontal="left"/>
      <protection/>
    </xf>
    <xf numFmtId="10" fontId="4" fillId="0" borderId="5" xfId="0" applyNumberFormat="1" applyFont="1" applyBorder="1" applyAlignment="1" applyProtection="1">
      <alignment/>
      <protection/>
    </xf>
    <xf numFmtId="5" fontId="4" fillId="0" borderId="7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170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70" fontId="4" fillId="0" borderId="7" xfId="0" applyNumberFormat="1" applyFont="1" applyBorder="1" applyAlignment="1">
      <alignment/>
    </xf>
    <xf numFmtId="188" fontId="4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22" fillId="0" borderId="0" xfId="0" applyFont="1" applyAlignment="1" applyProtection="1">
      <alignment horizontal="center"/>
      <protection/>
    </xf>
    <xf numFmtId="37" fontId="4" fillId="0" borderId="1" xfId="0" applyNumberFormat="1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quotePrefix="1">
      <alignment horizontal="center"/>
    </xf>
    <xf numFmtId="0" fontId="7" fillId="0" borderId="5" xfId="0" applyFont="1" applyBorder="1" applyAlignment="1">
      <alignment horizontal="center"/>
    </xf>
    <xf numFmtId="5" fontId="4" fillId="0" borderId="2" xfId="0" applyNumberFormat="1" applyFont="1" applyBorder="1" applyAlignment="1" applyProtection="1">
      <alignment/>
      <protection/>
    </xf>
    <xf numFmtId="189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/>
    </xf>
    <xf numFmtId="188" fontId="0" fillId="0" borderId="0" xfId="0" applyNumberFormat="1" applyAlignment="1">
      <alignment/>
    </xf>
    <xf numFmtId="5" fontId="4" fillId="0" borderId="8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R101"/>
  <sheetViews>
    <sheetView workbookViewId="0" topLeftCell="A1">
      <selection activeCell="A1" sqref="A1"/>
    </sheetView>
  </sheetViews>
  <sheetFormatPr defaultColWidth="9.8515625" defaultRowHeight="12"/>
  <cols>
    <col min="3" max="3" width="11.00390625" style="0" customWidth="1"/>
    <col min="4" max="4" width="10.28125" style="0" bestFit="1" customWidth="1"/>
    <col min="5" max="5" width="12.00390625" style="0" bestFit="1" customWidth="1"/>
  </cols>
  <sheetData>
    <row r="1" spans="1:18" ht="10.5" customHeight="1">
      <c r="A1" s="89" t="s">
        <v>367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0.5" customHeight="1">
      <c r="A3" s="3" t="s">
        <v>1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2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0.5" customHeight="1">
      <c r="A5" s="2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0.5" customHeight="1">
      <c r="A6" s="2"/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5" customHeight="1">
      <c r="A7" s="2"/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0.5" customHeight="1">
      <c r="A8" s="2"/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0.5" customHeight="1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0.5" customHeight="1">
      <c r="A10" s="2"/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0.5" customHeight="1">
      <c r="A11" s="2"/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0.5" customHeight="1">
      <c r="A12" s="2"/>
      <c r="B12" s="2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0.5" customHeight="1">
      <c r="A13" s="2"/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0.5" customHeight="1">
      <c r="A14" s="2"/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0.5" customHeight="1">
      <c r="A15" s="2"/>
      <c r="B15" s="2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0.5" customHeight="1">
      <c r="A16" s="2"/>
      <c r="B16" s="2" t="s">
        <v>15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0.5" customHeight="1">
      <c r="A17" s="2"/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0.5" customHeight="1">
      <c r="A18" s="2"/>
      <c r="B18" s="2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.5" customHeight="1">
      <c r="A19" s="2"/>
      <c r="B19" s="2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0.5" customHeight="1">
      <c r="A20" s="2"/>
      <c r="B20" s="2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0.5" customHeight="1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0.5" customHeight="1">
      <c r="A22" s="2"/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0.5" customHeight="1">
      <c r="A25" s="2"/>
      <c r="B25" s="2"/>
      <c r="C25" s="3" t="s">
        <v>368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0.5" customHeight="1">
      <c r="A26" s="3" t="s">
        <v>21</v>
      </c>
      <c r="B26" s="3" t="s">
        <v>22</v>
      </c>
      <c r="C26" s="3" t="s">
        <v>23</v>
      </c>
      <c r="D26" s="2"/>
      <c r="E26" s="3" t="s">
        <v>24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0.5" customHeight="1">
      <c r="A28" s="4">
        <v>16325</v>
      </c>
      <c r="B28" s="4">
        <f>45465+124844</f>
        <v>170309</v>
      </c>
      <c r="C28" s="5">
        <v>10.93</v>
      </c>
      <c r="D28" s="2" t="s">
        <v>25</v>
      </c>
      <c r="E28" s="6">
        <f aca="true" t="shared" si="0" ref="E28:E39">(A28+B28)*C28</f>
        <v>2039909.6199999999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0.5" customHeight="1">
      <c r="A29" s="4">
        <v>32943</v>
      </c>
      <c r="B29" s="4">
        <f>47972+116459</f>
        <v>164431</v>
      </c>
      <c r="C29" s="5">
        <v>6.82</v>
      </c>
      <c r="D29" s="2" t="s">
        <v>26</v>
      </c>
      <c r="E29" s="6">
        <f t="shared" si="0"/>
        <v>1346090.6800000002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0.5" customHeight="1">
      <c r="A30" s="4">
        <v>33221</v>
      </c>
      <c r="B30" s="4">
        <f>46354+94539</f>
        <v>140893</v>
      </c>
      <c r="C30" s="5">
        <v>7.57</v>
      </c>
      <c r="D30" s="2" t="s">
        <v>27</v>
      </c>
      <c r="E30" s="6">
        <f t="shared" si="0"/>
        <v>1318042.98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0.5" customHeight="1">
      <c r="A31" s="4">
        <v>16716</v>
      </c>
      <c r="B31" s="4">
        <f>47106+91666</f>
        <v>138772</v>
      </c>
      <c r="C31" s="5">
        <v>7.23</v>
      </c>
      <c r="D31" s="2" t="s">
        <v>28</v>
      </c>
      <c r="E31" s="6">
        <f t="shared" si="0"/>
        <v>1124178.24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0.5" customHeight="1">
      <c r="A32" s="4">
        <v>31416</v>
      </c>
      <c r="B32" s="4">
        <f>44647+72332</f>
        <v>116979</v>
      </c>
      <c r="C32" s="5">
        <v>7.71</v>
      </c>
      <c r="D32" s="2" t="s">
        <v>29</v>
      </c>
      <c r="E32" s="6">
        <f t="shared" si="0"/>
        <v>1144125.45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0.5" customHeight="1">
      <c r="A33" s="4">
        <v>31559</v>
      </c>
      <c r="B33" s="4">
        <f>44145+67461</f>
        <v>111606</v>
      </c>
      <c r="C33" s="5">
        <v>7.8</v>
      </c>
      <c r="D33" s="2" t="s">
        <v>30</v>
      </c>
      <c r="E33" s="6">
        <f t="shared" si="0"/>
        <v>1116687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0.5" customHeight="1">
      <c r="A34" s="4">
        <v>15913</v>
      </c>
      <c r="B34" s="4">
        <f>40630+58368</f>
        <v>98998</v>
      </c>
      <c r="C34" s="5">
        <v>7.94</v>
      </c>
      <c r="D34" s="2" t="s">
        <v>31</v>
      </c>
      <c r="E34" s="6">
        <f t="shared" si="0"/>
        <v>912393.3400000001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0.5" customHeight="1">
      <c r="A35" s="4">
        <v>23873</v>
      </c>
      <c r="B35" s="4">
        <f>40105+67857</f>
        <v>107962</v>
      </c>
      <c r="C35" s="5">
        <v>7.94</v>
      </c>
      <c r="D35" s="2" t="s">
        <v>32</v>
      </c>
      <c r="E35" s="6">
        <f t="shared" si="0"/>
        <v>1046769.9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0.5" customHeight="1">
      <c r="A36" s="4">
        <v>31066</v>
      </c>
      <c r="B36" s="4">
        <f>41862+74041</f>
        <v>115903</v>
      </c>
      <c r="C36" s="5">
        <v>7.86</v>
      </c>
      <c r="D36" s="2" t="s">
        <v>33</v>
      </c>
      <c r="E36" s="6">
        <f t="shared" si="0"/>
        <v>1155176.34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0.5" customHeight="1">
      <c r="A37" s="4">
        <v>22022</v>
      </c>
      <c r="B37" s="4">
        <f>48008+80718</f>
        <v>128726</v>
      </c>
      <c r="C37" s="5">
        <v>8.26</v>
      </c>
      <c r="D37" s="2" t="s">
        <v>34</v>
      </c>
      <c r="E37" s="6">
        <f t="shared" si="0"/>
        <v>1245178.48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0.5" customHeight="1">
      <c r="A38" s="4">
        <v>13751</v>
      </c>
      <c r="B38" s="4">
        <f>53370+110832</f>
        <v>164202</v>
      </c>
      <c r="C38" s="5">
        <v>9.5</v>
      </c>
      <c r="D38" s="2" t="s">
        <v>35</v>
      </c>
      <c r="E38" s="6">
        <f t="shared" si="0"/>
        <v>1690553.5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0.5" customHeight="1">
      <c r="A39" s="4">
        <v>14982</v>
      </c>
      <c r="B39" s="4">
        <f>51244+108593</f>
        <v>159837</v>
      </c>
      <c r="C39" s="5">
        <v>11.07</v>
      </c>
      <c r="D39" s="2" t="s">
        <v>36</v>
      </c>
      <c r="E39" s="6">
        <f t="shared" si="0"/>
        <v>1935246.33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customHeight="1">
      <c r="A40" s="7"/>
      <c r="B40" s="7"/>
      <c r="C40" s="2"/>
      <c r="D40" s="2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0.5" customHeight="1">
      <c r="A41" s="7">
        <f>SUM(A28:A39)</f>
        <v>283787</v>
      </c>
      <c r="B41" s="7">
        <f>SUM(B28:B39)</f>
        <v>1618618</v>
      </c>
      <c r="C41" s="2"/>
      <c r="D41" s="2"/>
      <c r="E41" s="6">
        <f>SUM(E28:E39)</f>
        <v>16074351.860000001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0.5" customHeight="1">
      <c r="A43" s="2"/>
      <c r="B43" s="2"/>
      <c r="C43" s="2"/>
      <c r="D43" s="8">
        <f>E41/(A41+B41)</f>
        <v>8.449489914082438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0.5" customHeight="1">
      <c r="A45" s="2"/>
      <c r="B45" s="2"/>
      <c r="C45" s="7"/>
      <c r="D45" s="7"/>
      <c r="E45" s="7"/>
      <c r="F45" s="7"/>
      <c r="G45" s="7"/>
      <c r="H45" s="7"/>
      <c r="I45" s="7"/>
      <c r="J45" s="7"/>
      <c r="K45" s="2"/>
      <c r="L45" s="2"/>
      <c r="M45" s="2"/>
      <c r="N45" s="2"/>
      <c r="O45" s="2"/>
      <c r="P45" s="2"/>
      <c r="Q45" s="2"/>
      <c r="R45" s="2"/>
    </row>
    <row r="46" spans="1:18" ht="10.5" customHeight="1">
      <c r="A46" s="2" t="s">
        <v>205</v>
      </c>
      <c r="B46" s="2" t="s">
        <v>204</v>
      </c>
      <c r="C46" s="7"/>
      <c r="D46" s="7"/>
      <c r="E46" s="7"/>
      <c r="F46" s="7"/>
      <c r="G46" s="7"/>
      <c r="H46" s="7"/>
      <c r="I46" s="7"/>
      <c r="J46" s="7"/>
      <c r="K46" s="2"/>
      <c r="L46" s="2"/>
      <c r="M46" s="2"/>
      <c r="N46" s="2"/>
      <c r="O46" s="2"/>
      <c r="P46" s="2"/>
      <c r="Q46" s="2"/>
      <c r="R46" s="2"/>
    </row>
    <row r="47" spans="1:18" ht="10.5" customHeight="1">
      <c r="A47" s="2"/>
      <c r="B47" s="2"/>
      <c r="C47" s="7"/>
      <c r="D47" s="7"/>
      <c r="E47" s="7"/>
      <c r="F47" s="7"/>
      <c r="G47" s="7"/>
      <c r="H47" s="7"/>
      <c r="I47" s="7"/>
      <c r="J47" s="7"/>
      <c r="K47" s="2"/>
      <c r="L47" s="2"/>
      <c r="M47" s="2"/>
      <c r="N47" s="2"/>
      <c r="O47" s="2"/>
      <c r="P47" s="2"/>
      <c r="Q47" s="2"/>
      <c r="R47" s="2"/>
    </row>
    <row r="48" spans="1:18" ht="10.5" customHeight="1">
      <c r="A48" s="2"/>
      <c r="B48" s="2"/>
      <c r="C48" s="7"/>
      <c r="D48" s="7"/>
      <c r="E48" s="7"/>
      <c r="F48" s="7"/>
      <c r="G48" s="7"/>
      <c r="H48" s="7"/>
      <c r="I48" s="7"/>
      <c r="J48" s="7"/>
      <c r="K48" s="7"/>
      <c r="L48" s="2"/>
      <c r="M48" s="2"/>
      <c r="N48" s="2"/>
      <c r="O48" s="2"/>
      <c r="P48" s="2"/>
      <c r="Q48" s="2"/>
      <c r="R48" s="2"/>
    </row>
    <row r="49" spans="1:18" ht="10.5" customHeight="1">
      <c r="A49" s="2"/>
      <c r="B49" s="2"/>
      <c r="C49" s="7"/>
      <c r="D49" s="7"/>
      <c r="E49" s="7"/>
      <c r="F49" s="7"/>
      <c r="G49" s="7"/>
      <c r="H49" s="7"/>
      <c r="I49" s="7"/>
      <c r="J49" s="7"/>
      <c r="K49" s="7"/>
      <c r="L49" s="2"/>
      <c r="M49" s="2"/>
      <c r="N49" s="2"/>
      <c r="O49" s="2"/>
      <c r="P49" s="2"/>
      <c r="Q49" s="2"/>
      <c r="R49" s="2"/>
    </row>
    <row r="50" spans="1:18" ht="10.5" customHeight="1">
      <c r="A50" s="2"/>
      <c r="B50" s="2"/>
      <c r="C50" s="7"/>
      <c r="D50" s="7"/>
      <c r="E50" s="7"/>
      <c r="F50" s="7"/>
      <c r="G50" s="7"/>
      <c r="H50" s="7"/>
      <c r="I50" s="7"/>
      <c r="J50" s="7"/>
      <c r="K50" s="7"/>
      <c r="L50" s="2"/>
      <c r="M50" s="2"/>
      <c r="N50" s="2"/>
      <c r="O50" s="2"/>
      <c r="P50" s="2"/>
      <c r="Q50" s="2"/>
      <c r="R50" s="2"/>
    </row>
    <row r="51" spans="1:18" ht="10.5" customHeight="1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2"/>
      <c r="M51" s="2"/>
      <c r="N51" s="2"/>
      <c r="O51" s="2"/>
      <c r="P51" s="2"/>
      <c r="Q51" s="2"/>
      <c r="R51" s="2"/>
    </row>
    <row r="52" spans="1:18" ht="10.5" customHeight="1">
      <c r="A52" s="2"/>
      <c r="B52" s="2"/>
      <c r="C52" s="7"/>
      <c r="D52" s="7"/>
      <c r="E52" s="7"/>
      <c r="F52" s="7"/>
      <c r="G52" s="7"/>
      <c r="H52" s="7"/>
      <c r="I52" s="7"/>
      <c r="J52" s="7"/>
      <c r="K52" s="7"/>
      <c r="L52" s="2"/>
      <c r="M52" s="2"/>
      <c r="N52" s="2"/>
      <c r="O52" s="2"/>
      <c r="P52" s="2"/>
      <c r="Q52" s="2"/>
      <c r="R52" s="2"/>
    </row>
    <row r="53" spans="1:18" ht="10.5" customHeight="1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2"/>
      <c r="M53" s="2"/>
      <c r="N53" s="2"/>
      <c r="O53" s="2"/>
      <c r="P53" s="2"/>
      <c r="Q53" s="2"/>
      <c r="R53" s="2"/>
    </row>
    <row r="54" spans="1:18" ht="10.5" customHeight="1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2"/>
      <c r="M54" s="2"/>
      <c r="N54" s="2"/>
      <c r="O54" s="2"/>
      <c r="P54" s="2"/>
      <c r="Q54" s="2"/>
      <c r="R54" s="2"/>
    </row>
    <row r="55" spans="1:18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0.5" customHeight="1">
      <c r="A56" s="2"/>
      <c r="B56" s="2"/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0.5" customHeight="1">
      <c r="A57" s="2"/>
      <c r="B57" s="2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0.5" customHeight="1">
      <c r="A58" s="2"/>
      <c r="B58" s="2"/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0.5" customHeight="1">
      <c r="A59" s="2"/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0.5" customHeight="1">
      <c r="A60" s="2"/>
      <c r="B60" s="2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0.5" customHeight="1">
      <c r="A61" s="2"/>
      <c r="B61" s="2"/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0.5" customHeight="1">
      <c r="A62" s="2"/>
      <c r="B62" s="2"/>
      <c r="C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0.5" customHeight="1">
      <c r="A63" s="2"/>
      <c r="B63" s="2"/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0.5" customHeight="1">
      <c r="A67" s="2"/>
      <c r="B67" s="2"/>
      <c r="C67" s="6"/>
      <c r="D67" s="6"/>
      <c r="E67" s="6"/>
      <c r="F67" s="6"/>
      <c r="G67" s="6"/>
      <c r="H67" s="6"/>
      <c r="I67" s="2"/>
      <c r="J67" s="6"/>
      <c r="K67" s="6"/>
      <c r="L67" s="2"/>
      <c r="M67" s="6"/>
      <c r="N67" s="2"/>
      <c r="O67" s="2"/>
      <c r="P67" s="2"/>
      <c r="Q67" s="2"/>
      <c r="R67" s="2"/>
    </row>
    <row r="68" spans="1:18" ht="10.5" customHeight="1">
      <c r="A68" s="2"/>
      <c r="B68" s="2"/>
      <c r="C68" s="6"/>
      <c r="D68" s="6"/>
      <c r="E68" s="6"/>
      <c r="F68" s="6"/>
      <c r="G68" s="6"/>
      <c r="H68" s="6"/>
      <c r="I68" s="2"/>
      <c r="J68" s="6"/>
      <c r="K68" s="6"/>
      <c r="L68" s="2"/>
      <c r="M68" s="6"/>
      <c r="N68" s="2"/>
      <c r="O68" s="2"/>
      <c r="P68" s="2"/>
      <c r="Q68" s="2"/>
      <c r="R68" s="2"/>
    </row>
    <row r="69" spans="1:18" ht="10.5" customHeight="1">
      <c r="A69" s="2"/>
      <c r="B69" s="2"/>
      <c r="C69" s="6"/>
      <c r="D69" s="6"/>
      <c r="E69" s="6"/>
      <c r="F69" s="6"/>
      <c r="G69" s="6"/>
      <c r="H69" s="6"/>
      <c r="I69" s="2"/>
      <c r="J69" s="6"/>
      <c r="K69" s="6"/>
      <c r="L69" s="2"/>
      <c r="M69" s="6"/>
      <c r="N69" s="2"/>
      <c r="O69" s="2"/>
      <c r="P69" s="2"/>
      <c r="Q69" s="2"/>
      <c r="R69" s="2"/>
    </row>
    <row r="70" spans="1:18" ht="10.5" customHeight="1">
      <c r="A70" s="2"/>
      <c r="B70" s="2"/>
      <c r="C70" s="6"/>
      <c r="D70" s="6"/>
      <c r="E70" s="6"/>
      <c r="F70" s="6"/>
      <c r="G70" s="6"/>
      <c r="H70" s="6"/>
      <c r="I70" s="2"/>
      <c r="J70" s="6"/>
      <c r="K70" s="6"/>
      <c r="L70" s="2"/>
      <c r="M70" s="6"/>
      <c r="N70" s="2"/>
      <c r="O70" s="2"/>
      <c r="P70" s="2"/>
      <c r="Q70" s="2"/>
      <c r="R70" s="2"/>
    </row>
    <row r="71" spans="1:18" ht="10.5" customHeight="1">
      <c r="A71" s="2"/>
      <c r="B71" s="2"/>
      <c r="C71" s="6"/>
      <c r="D71" s="6"/>
      <c r="E71" s="6"/>
      <c r="F71" s="6"/>
      <c r="G71" s="6"/>
      <c r="H71" s="6"/>
      <c r="I71" s="2"/>
      <c r="J71" s="6"/>
      <c r="K71" s="6"/>
      <c r="L71" s="2"/>
      <c r="M71" s="6"/>
      <c r="N71" s="2"/>
      <c r="O71" s="2"/>
      <c r="P71" s="2"/>
      <c r="Q71" s="2"/>
      <c r="R71" s="2"/>
    </row>
    <row r="72" spans="1:18" ht="10.5" customHeight="1">
      <c r="A72" s="2"/>
      <c r="B72" s="2"/>
      <c r="C72" s="6"/>
      <c r="D72" s="6"/>
      <c r="E72" s="6"/>
      <c r="F72" s="6"/>
      <c r="G72" s="6"/>
      <c r="H72" s="6"/>
      <c r="I72" s="2"/>
      <c r="J72" s="6"/>
      <c r="K72" s="6"/>
      <c r="L72" s="2"/>
      <c r="M72" s="6"/>
      <c r="N72" s="2"/>
      <c r="O72" s="2"/>
      <c r="P72" s="2"/>
      <c r="Q72" s="2"/>
      <c r="R72" s="2"/>
    </row>
    <row r="73" spans="1:18" ht="10.5" customHeight="1">
      <c r="A73" s="2"/>
      <c r="B73" s="2"/>
      <c r="C73" s="6"/>
      <c r="D73" s="6"/>
      <c r="E73" s="6"/>
      <c r="F73" s="6"/>
      <c r="G73" s="6"/>
      <c r="H73" s="6"/>
      <c r="I73" s="2"/>
      <c r="J73" s="6"/>
      <c r="K73" s="6"/>
      <c r="L73" s="2"/>
      <c r="M73" s="6"/>
      <c r="N73" s="2"/>
      <c r="O73" s="2"/>
      <c r="P73" s="2"/>
      <c r="Q73" s="2"/>
      <c r="R73" s="2"/>
    </row>
    <row r="74" spans="1:18" ht="10.5" customHeight="1">
      <c r="A74" s="2"/>
      <c r="B74" s="2"/>
      <c r="C74" s="6"/>
      <c r="D74" s="6"/>
      <c r="E74" s="6"/>
      <c r="F74" s="6"/>
      <c r="G74" s="6"/>
      <c r="H74" s="6"/>
      <c r="I74" s="2"/>
      <c r="J74" s="6"/>
      <c r="K74" s="6"/>
      <c r="L74" s="2"/>
      <c r="M74" s="6"/>
      <c r="N74" s="2"/>
      <c r="O74" s="2"/>
      <c r="P74" s="2"/>
      <c r="Q74" s="2"/>
      <c r="R74" s="2"/>
    </row>
    <row r="75" spans="1:18" ht="10.5" customHeight="1">
      <c r="A75" s="2"/>
      <c r="B75" s="2"/>
      <c r="C75" s="6"/>
      <c r="D75" s="6"/>
      <c r="E75" s="6"/>
      <c r="F75" s="6"/>
      <c r="G75" s="6"/>
      <c r="H75" s="6"/>
      <c r="I75" s="2"/>
      <c r="J75" s="6"/>
      <c r="K75" s="6"/>
      <c r="L75" s="2"/>
      <c r="M75" s="6"/>
      <c r="N75" s="2"/>
      <c r="O75" s="2"/>
      <c r="P75" s="2"/>
      <c r="Q75" s="2"/>
      <c r="R75" s="2"/>
    </row>
    <row r="76" spans="1:18" ht="10.5" customHeight="1">
      <c r="A76" s="2"/>
      <c r="B76" s="1"/>
      <c r="C76" s="1"/>
      <c r="D76" s="1"/>
      <c r="E76" s="1"/>
      <c r="F76" s="1"/>
      <c r="G76" s="1"/>
      <c r="H76" s="6"/>
      <c r="I76" s="2"/>
      <c r="J76" s="6"/>
      <c r="K76" s="2"/>
      <c r="L76" s="2"/>
      <c r="M76" s="6"/>
      <c r="N76" s="2"/>
      <c r="O76" s="2"/>
      <c r="P76" s="2"/>
      <c r="Q76" s="2"/>
      <c r="R76" s="2"/>
    </row>
    <row r="77" spans="1:18" ht="10.5" customHeight="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0.5" customHeight="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0.5" customHeight="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0.5" customHeight="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0.5" customHeight="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0.5" customHeight="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0.5" customHeight="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0.5" customHeight="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0.5" customHeight="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0.5" customHeight="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0.5" customHeight="1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0.5" customHeight="1">
      <c r="A88" s="2"/>
      <c r="B88" s="1"/>
      <c r="C88" s="1"/>
      <c r="D88" s="1"/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0.5" customHeight="1">
      <c r="A89" s="2"/>
      <c r="B89" s="1"/>
      <c r="C89" s="1"/>
      <c r="D89" s="1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0.5" customHeight="1">
      <c r="A90" s="2"/>
      <c r="B90" s="1"/>
      <c r="C90" s="1"/>
      <c r="D90" s="1"/>
      <c r="E90" s="1"/>
      <c r="F90" s="1"/>
      <c r="G90" s="1"/>
      <c r="H90" s="6"/>
      <c r="I90" s="2"/>
      <c r="J90" s="6"/>
      <c r="K90" s="2"/>
      <c r="L90" s="2"/>
      <c r="M90" s="6"/>
      <c r="N90" s="2"/>
      <c r="O90" s="2"/>
      <c r="P90" s="2"/>
      <c r="Q90" s="2"/>
      <c r="R90" s="2"/>
    </row>
    <row r="91" spans="1:18" ht="10.5" customHeight="1">
      <c r="A91" s="2"/>
      <c r="B91" s="1"/>
      <c r="C91" s="1"/>
      <c r="D91" s="1"/>
      <c r="E91" s="1"/>
      <c r="F91" s="1"/>
      <c r="G91" s="1"/>
      <c r="H91" s="6"/>
      <c r="I91" s="2"/>
      <c r="J91" s="6"/>
      <c r="K91" s="2"/>
      <c r="L91" s="2"/>
      <c r="M91" s="6"/>
      <c r="N91" s="2"/>
      <c r="O91" s="2"/>
      <c r="P91" s="2"/>
      <c r="Q91" s="2"/>
      <c r="R91" s="2"/>
    </row>
    <row r="92" spans="1:18" ht="10.5" customHeight="1">
      <c r="A92" s="2"/>
      <c r="B92" s="1"/>
      <c r="C92" s="1"/>
      <c r="D92" s="1"/>
      <c r="E92" s="1"/>
      <c r="F92" s="1"/>
      <c r="G92" s="1"/>
      <c r="H92" s="6"/>
      <c r="I92" s="2"/>
      <c r="J92" s="6"/>
      <c r="K92" s="2"/>
      <c r="L92" s="2"/>
      <c r="M92" s="6"/>
      <c r="N92" s="2"/>
      <c r="O92" s="2"/>
      <c r="P92" s="2"/>
      <c r="Q92" s="2"/>
      <c r="R92" s="2"/>
    </row>
    <row r="93" spans="1:18" ht="10.5" customHeight="1">
      <c r="A93" s="2"/>
      <c r="B93" s="2"/>
      <c r="C93" s="6"/>
      <c r="D93" s="6"/>
      <c r="E93" s="6"/>
      <c r="F93" s="6"/>
      <c r="G93" s="6"/>
      <c r="H93" s="6"/>
      <c r="I93" s="2"/>
      <c r="J93" s="6"/>
      <c r="K93" s="2"/>
      <c r="L93" s="2"/>
      <c r="M93" s="6"/>
      <c r="N93" s="2"/>
      <c r="O93" s="2"/>
      <c r="P93" s="2"/>
      <c r="Q93" s="2"/>
      <c r="R93" s="2"/>
    </row>
    <row r="94" spans="1:18" ht="10.5" customHeight="1">
      <c r="A94" s="2"/>
      <c r="B94" s="2"/>
      <c r="C94" s="6"/>
      <c r="D94" s="6"/>
      <c r="E94" s="6"/>
      <c r="F94" s="6"/>
      <c r="G94" s="6"/>
      <c r="H94" s="6"/>
      <c r="I94" s="2"/>
      <c r="J94" s="6"/>
      <c r="K94" s="2"/>
      <c r="L94" s="2"/>
      <c r="M94" s="6"/>
      <c r="N94" s="2"/>
      <c r="O94" s="2"/>
      <c r="P94" s="2"/>
      <c r="Q94" s="2"/>
      <c r="R94" s="2"/>
    </row>
    <row r="95" spans="1:18" ht="10.5" customHeight="1">
      <c r="A95" s="2"/>
      <c r="B95" s="2"/>
      <c r="C95" s="6"/>
      <c r="D95" s="6"/>
      <c r="E95" s="6"/>
      <c r="F95" s="6"/>
      <c r="G95" s="6"/>
      <c r="H95" s="6"/>
      <c r="I95" s="2"/>
      <c r="J95" s="6"/>
      <c r="K95" s="2"/>
      <c r="L95" s="2"/>
      <c r="M95" s="6"/>
      <c r="N95" s="2"/>
      <c r="O95" s="2"/>
      <c r="P95" s="2"/>
      <c r="Q95" s="2"/>
      <c r="R95" s="2"/>
    </row>
    <row r="96" spans="1:18" ht="10.5" customHeight="1">
      <c r="A96" s="2"/>
      <c r="B96" s="2"/>
      <c r="C96" s="6"/>
      <c r="D96" s="6"/>
      <c r="E96" s="6"/>
      <c r="F96" s="6"/>
      <c r="G96" s="6"/>
      <c r="H96" s="6"/>
      <c r="I96" s="2"/>
      <c r="J96" s="6"/>
      <c r="K96" s="2"/>
      <c r="L96" s="2"/>
      <c r="M96" s="6"/>
      <c r="N96" s="2"/>
      <c r="O96" s="2"/>
      <c r="P96" s="2"/>
      <c r="Q96" s="2"/>
      <c r="R96" s="2"/>
    </row>
    <row r="97" spans="1:18" ht="10.5" customHeight="1">
      <c r="A97" s="2"/>
      <c r="B97" s="2"/>
      <c r="C97" s="6"/>
      <c r="D97" s="6"/>
      <c r="E97" s="6"/>
      <c r="F97" s="6"/>
      <c r="G97" s="6"/>
      <c r="H97" s="6"/>
      <c r="I97" s="2"/>
      <c r="J97" s="6"/>
      <c r="K97" s="2"/>
      <c r="L97" s="2"/>
      <c r="M97" s="6"/>
      <c r="N97" s="2"/>
      <c r="O97" s="2"/>
      <c r="P97" s="2"/>
      <c r="Q97" s="2"/>
      <c r="R97" s="2"/>
    </row>
    <row r="98" spans="1:18" ht="10.5" customHeight="1">
      <c r="A98" s="2"/>
      <c r="B98" s="2"/>
      <c r="C98" s="6"/>
      <c r="D98" s="6"/>
      <c r="E98" s="6"/>
      <c r="F98" s="6"/>
      <c r="G98" s="6"/>
      <c r="H98" s="6"/>
      <c r="I98" s="2"/>
      <c r="J98" s="6"/>
      <c r="K98" s="2"/>
      <c r="L98" s="2"/>
      <c r="M98" s="6"/>
      <c r="N98" s="2"/>
      <c r="O98" s="2"/>
      <c r="P98" s="2"/>
      <c r="Q98" s="2"/>
      <c r="R98" s="2"/>
    </row>
    <row r="99" spans="1:18" ht="10.5" customHeight="1">
      <c r="A99" s="2"/>
      <c r="B99" s="2"/>
      <c r="C99" s="6"/>
      <c r="D99" s="6"/>
      <c r="E99" s="6"/>
      <c r="F99" s="6"/>
      <c r="G99" s="6"/>
      <c r="H99" s="6"/>
      <c r="I99" s="2"/>
      <c r="J99" s="6"/>
      <c r="K99" s="2"/>
      <c r="L99" s="2"/>
      <c r="M99" s="6"/>
      <c r="N99" s="2"/>
      <c r="O99" s="2"/>
      <c r="P99" s="2"/>
      <c r="Q99" s="2"/>
      <c r="R99" s="2"/>
    </row>
    <row r="100" spans="1:18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6"/>
      <c r="K101" s="2"/>
      <c r="L101" s="2"/>
      <c r="M101" s="2"/>
      <c r="N101" s="2"/>
      <c r="O101" s="2"/>
      <c r="P101" s="2"/>
      <c r="Q101" s="2"/>
      <c r="R101" s="2"/>
    </row>
  </sheetData>
  <printOptions/>
  <pageMargins left="1.25" right="0.25" top="0.6" bottom="0.25" header="0.5" footer="0.5"/>
  <pageSetup horizontalDpi="1200" verticalDpi="1200" orientation="portrait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B1:S100"/>
  <sheetViews>
    <sheetView workbookViewId="0" topLeftCell="B1">
      <selection activeCell="G3" sqref="G3"/>
    </sheetView>
  </sheetViews>
  <sheetFormatPr defaultColWidth="9.8515625" defaultRowHeight="12"/>
  <cols>
    <col min="2" max="2" width="3.8515625" style="0" customWidth="1"/>
    <col min="3" max="3" width="48.00390625" style="0" customWidth="1"/>
    <col min="4" max="4" width="18.421875" style="0" customWidth="1"/>
    <col min="5" max="5" width="13.28125" style="0" customWidth="1"/>
    <col min="6" max="6" width="15.00390625" style="0" customWidth="1"/>
    <col min="7" max="7" width="5.8515625" style="0" customWidth="1"/>
    <col min="8" max="8" width="6.8515625" style="0" customWidth="1"/>
    <col min="9" max="9" width="2.8515625" style="0" customWidth="1"/>
  </cols>
  <sheetData>
    <row r="1" spans="2:19" ht="12.75" customHeight="1">
      <c r="B1" s="10"/>
      <c r="C1" s="10"/>
      <c r="D1" s="10"/>
      <c r="E1" s="10" t="s">
        <v>38</v>
      </c>
      <c r="F1" s="10"/>
      <c r="G1" s="11" t="s">
        <v>37</v>
      </c>
      <c r="H1" s="10"/>
      <c r="J1" s="2"/>
      <c r="K1" s="2"/>
      <c r="L1" s="2"/>
      <c r="M1" s="2"/>
      <c r="N1" s="2"/>
      <c r="O1" s="2"/>
      <c r="P1" s="2"/>
      <c r="Q1" s="2"/>
      <c r="R1" s="2"/>
      <c r="S1" s="2"/>
    </row>
    <row r="2" spans="3:19" ht="12.75" customHeight="1">
      <c r="C2" s="92"/>
      <c r="D2" s="92"/>
      <c r="E2" s="92"/>
      <c r="F2" s="92"/>
      <c r="G2" s="98" t="str">
        <f>'1.2'!A2</f>
        <v>Docket No. 06-057-01</v>
      </c>
      <c r="H2" s="92"/>
      <c r="I2" s="9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2.75" customHeight="1">
      <c r="B3" s="10"/>
      <c r="C3" s="10"/>
      <c r="D3" s="10"/>
      <c r="E3" s="10"/>
      <c r="F3" s="10"/>
      <c r="G3" s="11" t="s">
        <v>388</v>
      </c>
      <c r="H3" s="10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 customHeight="1">
      <c r="B4" s="10"/>
      <c r="C4" s="10"/>
      <c r="D4" s="10"/>
      <c r="E4" s="10"/>
      <c r="F4" s="10"/>
      <c r="G4" s="11" t="s">
        <v>321</v>
      </c>
      <c r="H4" s="10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 customHeight="1">
      <c r="B5" s="10"/>
      <c r="C5" s="10"/>
      <c r="D5" s="10"/>
      <c r="E5" s="10"/>
      <c r="F5" s="10"/>
      <c r="G5" s="10"/>
      <c r="H5" s="10"/>
      <c r="I5" s="10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 customHeight="1">
      <c r="B6" s="10"/>
      <c r="C6" s="10"/>
      <c r="D6" s="10"/>
      <c r="E6" s="10"/>
      <c r="F6" s="10"/>
      <c r="G6" s="10"/>
      <c r="H6" s="10"/>
      <c r="I6" s="10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 customHeight="1">
      <c r="B7" s="10"/>
      <c r="C7" s="10"/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 customHeight="1">
      <c r="B8" s="10"/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 customHeight="1">
      <c r="B9" s="10"/>
      <c r="C9" s="10"/>
      <c r="D9" s="10"/>
      <c r="E9" s="10"/>
      <c r="F9" s="10"/>
      <c r="G9" s="10"/>
      <c r="H9" s="10"/>
      <c r="I9" s="10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 customHeight="1">
      <c r="B10" s="10"/>
      <c r="C10" s="10"/>
      <c r="D10" s="10"/>
      <c r="E10" s="10"/>
      <c r="F10" s="10"/>
      <c r="G10" s="10"/>
      <c r="H10" s="10"/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 customHeight="1">
      <c r="B11" s="10"/>
      <c r="C11" s="10"/>
      <c r="D11" s="173" t="s">
        <v>305</v>
      </c>
      <c r="F11" s="10"/>
      <c r="G11" s="10"/>
      <c r="H11" s="10"/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 customHeight="1">
      <c r="B12" s="10"/>
      <c r="C12" s="10" t="s">
        <v>38</v>
      </c>
      <c r="D12" s="10"/>
      <c r="E12" s="10" t="s">
        <v>38</v>
      </c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 customHeight="1">
      <c r="B13" s="10"/>
      <c r="C13" s="10"/>
      <c r="D13" s="10"/>
      <c r="E13" s="10"/>
      <c r="F13" s="10"/>
      <c r="G13" s="10"/>
      <c r="H13" s="10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 customHeight="1">
      <c r="B14" s="10"/>
      <c r="C14" s="10"/>
      <c r="D14" s="10"/>
      <c r="E14" s="10"/>
      <c r="F14" s="10"/>
      <c r="G14" s="10"/>
      <c r="H14" s="10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 customHeight="1">
      <c r="B15" s="10"/>
      <c r="C15" s="151" t="s">
        <v>221</v>
      </c>
      <c r="D15" s="151" t="s">
        <v>222</v>
      </c>
      <c r="E15" s="151" t="s">
        <v>223</v>
      </c>
      <c r="F15" s="151" t="s">
        <v>224</v>
      </c>
      <c r="H15" s="10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 customHeight="1" thickBot="1">
      <c r="B16" s="10"/>
      <c r="C16" s="154"/>
      <c r="D16" s="155" t="s">
        <v>39</v>
      </c>
      <c r="E16" s="155" t="s">
        <v>306</v>
      </c>
      <c r="F16" s="155" t="s">
        <v>51</v>
      </c>
      <c r="H16" s="10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 customHeight="1">
      <c r="B17" s="1"/>
      <c r="C17" s="1"/>
      <c r="D17" s="1"/>
      <c r="E17" s="1"/>
      <c r="F17" s="1"/>
      <c r="G17" s="10"/>
      <c r="H17" s="10"/>
      <c r="I17" s="1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 customHeight="1">
      <c r="B18" s="14">
        <v>1</v>
      </c>
      <c r="C18" s="10" t="s">
        <v>149</v>
      </c>
      <c r="D18" s="10"/>
      <c r="E18" s="10"/>
      <c r="F18" s="38">
        <f>+'1.5'!I17+'1.5'!I27+'1.5'!I31+(+'1.3.1'!K36+'1.3.1'!K43+'1.3.1'!K51+'1.3.1'!K54+'1.3.1'!K55)*'1.5'!I53</f>
        <v>89985750.55377318</v>
      </c>
      <c r="G18" s="10"/>
      <c r="H18" s="10"/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 customHeight="1">
      <c r="B19" s="14">
        <f>B18+1</f>
        <v>2</v>
      </c>
      <c r="C19" s="10" t="s">
        <v>150</v>
      </c>
      <c r="D19" s="10"/>
      <c r="E19" s="10"/>
      <c r="F19" s="167">
        <f>E49</f>
        <v>-422899</v>
      </c>
      <c r="G19" s="10"/>
      <c r="H19" s="10"/>
      <c r="I19" s="10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 customHeight="1">
      <c r="B20" s="14">
        <f>1+B19</f>
        <v>3</v>
      </c>
      <c r="C20" s="10" t="s">
        <v>151</v>
      </c>
      <c r="D20" s="10"/>
      <c r="E20" s="10"/>
      <c r="F20" s="12">
        <f>F18+F19</f>
        <v>89562851.55377318</v>
      </c>
      <c r="G20" s="10"/>
      <c r="H20" s="10"/>
      <c r="I20" s="10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2.75" customHeight="1">
      <c r="B21" s="14"/>
      <c r="C21" s="10"/>
      <c r="D21" s="10"/>
      <c r="E21" s="10"/>
      <c r="F21" s="10" t="s">
        <v>38</v>
      </c>
      <c r="G21" s="10"/>
      <c r="H21" s="10"/>
      <c r="I21" s="10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2.75" customHeight="1">
      <c r="B22" s="14"/>
      <c r="C22" s="10"/>
      <c r="D22" s="10"/>
      <c r="E22" s="10"/>
      <c r="F22" s="10"/>
      <c r="G22" s="10"/>
      <c r="H22" s="10"/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2.75" customHeight="1">
      <c r="B23" s="14">
        <f>B20+1</f>
        <v>4</v>
      </c>
      <c r="C23" s="10" t="s">
        <v>152</v>
      </c>
      <c r="D23" s="10"/>
      <c r="E23" s="10"/>
      <c r="F23" s="20">
        <f>90267575-1902405*0.00183</f>
        <v>90264093.59885</v>
      </c>
      <c r="G23" s="10"/>
      <c r="H23" s="10"/>
      <c r="I23" s="10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2.75" customHeight="1" thickBot="1">
      <c r="B24" s="14"/>
      <c r="C24" s="10"/>
      <c r="D24" s="10"/>
      <c r="E24" s="10"/>
      <c r="F24" s="171"/>
      <c r="G24" s="10"/>
      <c r="H24" s="10"/>
      <c r="I24" s="10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2.75" customHeight="1" thickTop="1">
      <c r="B25" s="14"/>
      <c r="C25" s="10"/>
      <c r="D25" s="10"/>
      <c r="E25" s="10"/>
      <c r="F25" s="31"/>
      <c r="G25" s="10"/>
      <c r="H25" s="10"/>
      <c r="I25" s="10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2.75" customHeight="1">
      <c r="B26" s="14">
        <f>1+B23</f>
        <v>5</v>
      </c>
      <c r="C26" s="10" t="s">
        <v>307</v>
      </c>
      <c r="D26" s="10"/>
      <c r="E26" s="10"/>
      <c r="F26" s="12">
        <f>F20-F23</f>
        <v>-701242.0450768173</v>
      </c>
      <c r="G26" s="10"/>
      <c r="H26" s="10"/>
      <c r="I26" s="10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2.75" customHeight="1">
      <c r="B27" s="14"/>
      <c r="C27" s="10"/>
      <c r="D27" s="10"/>
      <c r="E27" s="10"/>
      <c r="F27" s="12"/>
      <c r="G27" s="10"/>
      <c r="H27" s="10"/>
      <c r="I27" s="10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 customHeight="1">
      <c r="B28" s="14"/>
      <c r="C28" s="10"/>
      <c r="D28" s="10"/>
      <c r="E28" s="10"/>
      <c r="F28" s="10"/>
      <c r="G28" s="10"/>
      <c r="H28" s="10"/>
      <c r="I28" s="10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 customHeight="1">
      <c r="B29" s="14" t="s">
        <v>153</v>
      </c>
      <c r="C29" s="10" t="s">
        <v>154</v>
      </c>
      <c r="D29" s="10"/>
      <c r="E29" s="10"/>
      <c r="F29" s="10"/>
      <c r="G29" s="10"/>
      <c r="H29" s="10"/>
      <c r="I29" s="10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2.75" customHeight="1">
      <c r="B30" s="14" t="s">
        <v>155</v>
      </c>
      <c r="C30" s="10" t="s">
        <v>156</v>
      </c>
      <c r="D30" s="15">
        <f>'1.6.1'!G18</f>
        <v>1902405</v>
      </c>
      <c r="E30" s="16">
        <f>'1.6.3'!E36</f>
        <v>0.18104</v>
      </c>
      <c r="F30" s="12">
        <f>D30*E30</f>
        <v>344411.4012</v>
      </c>
      <c r="G30" s="10"/>
      <c r="H30" s="10"/>
      <c r="I30" s="10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2.75" customHeight="1">
      <c r="B31" s="14" t="s">
        <v>157</v>
      </c>
      <c r="C31" s="10" t="s">
        <v>158</v>
      </c>
      <c r="D31" s="15">
        <f>D30</f>
        <v>1902405</v>
      </c>
      <c r="E31" s="16">
        <f>'1.6.3'!G36</f>
        <v>0.18104</v>
      </c>
      <c r="F31" s="12">
        <f>D30*E31</f>
        <v>344411.4012</v>
      </c>
      <c r="G31" s="11"/>
      <c r="H31" s="10"/>
      <c r="I31" s="10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 customHeight="1">
      <c r="B32" s="14" t="s">
        <v>159</v>
      </c>
      <c r="C32" s="10" t="s">
        <v>160</v>
      </c>
      <c r="D32" s="15">
        <f>'1.6.1'!E17</f>
        <v>0</v>
      </c>
      <c r="E32" s="16">
        <f>'1.6.3'!E34</f>
        <v>0.18104</v>
      </c>
      <c r="F32" s="12">
        <f>D32*E32</f>
        <v>0</v>
      </c>
      <c r="G32" s="10"/>
      <c r="H32" s="10"/>
      <c r="I32" s="10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 customHeight="1">
      <c r="B33" s="14" t="s">
        <v>161</v>
      </c>
      <c r="C33" s="10" t="s">
        <v>162</v>
      </c>
      <c r="D33" s="15">
        <f>D32</f>
        <v>0</v>
      </c>
      <c r="E33" s="16">
        <f>'1.6.3'!G34</f>
        <v>0.18104</v>
      </c>
      <c r="F33" s="12">
        <f>D32*E33</f>
        <v>0</v>
      </c>
      <c r="G33" s="10"/>
      <c r="H33" s="10"/>
      <c r="I33" s="10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2.75" customHeight="1">
      <c r="B34" s="14"/>
      <c r="C34" s="10"/>
      <c r="D34" s="10"/>
      <c r="E34" s="10"/>
      <c r="F34" s="10"/>
      <c r="G34" s="10"/>
      <c r="H34" s="10"/>
      <c r="I34" s="10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2.75" customHeight="1">
      <c r="B35" s="14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2.75" customHeight="1">
      <c r="B36" s="14">
        <f>2+B26</f>
        <v>7</v>
      </c>
      <c r="C36" s="10" t="s">
        <v>163</v>
      </c>
      <c r="D36" s="10"/>
      <c r="E36" s="10"/>
      <c r="F36" s="61">
        <f>((+F20-F31-F33)-(F23-F30-F32))/(F23-F30-F32)</f>
        <v>-0.007798537849983013</v>
      </c>
      <c r="G36" s="61"/>
      <c r="H36" s="10"/>
      <c r="I36" s="10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2.75" customHeight="1">
      <c r="B37" s="10"/>
      <c r="C37" s="10" t="s">
        <v>164</v>
      </c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 customHeight="1">
      <c r="B38" s="10"/>
      <c r="C38" s="10"/>
      <c r="D38" s="10"/>
      <c r="E38" s="10"/>
      <c r="F38" s="10"/>
      <c r="G38" s="10"/>
      <c r="H38" s="10"/>
      <c r="I38" s="10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2.75" customHeight="1">
      <c r="B39" s="10"/>
      <c r="C39" s="10"/>
      <c r="D39" s="10"/>
      <c r="E39" s="10"/>
      <c r="F39" s="10"/>
      <c r="G39" s="10"/>
      <c r="H39" s="10"/>
      <c r="I39" s="10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 customHeight="1">
      <c r="B40" s="10"/>
      <c r="C40" s="10"/>
      <c r="D40" s="10"/>
      <c r="E40" s="10"/>
      <c r="F40" s="10"/>
      <c r="G40" s="10"/>
      <c r="H40" s="10"/>
      <c r="I40" s="10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 customHeight="1">
      <c r="B41" s="10"/>
      <c r="C41" s="1"/>
      <c r="D41" s="10"/>
      <c r="E41" s="10"/>
      <c r="F41" s="10"/>
      <c r="G41" s="10"/>
      <c r="H41" s="10"/>
      <c r="I41" s="10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2.75" customHeight="1">
      <c r="B42" s="10"/>
      <c r="C42" s="1"/>
      <c r="D42" s="10"/>
      <c r="E42" s="10"/>
      <c r="F42" s="10"/>
      <c r="G42" s="10"/>
      <c r="H42" s="10"/>
      <c r="I42" s="10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2.75" customHeight="1">
      <c r="B43" s="10"/>
      <c r="C43" s="176"/>
      <c r="D43" s="176"/>
      <c r="E43" s="10"/>
      <c r="F43" s="10"/>
      <c r="G43" s="10"/>
      <c r="H43" s="10"/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2.75" customHeight="1">
      <c r="B44" s="10"/>
      <c r="C44" s="10"/>
      <c r="D44" s="10"/>
      <c r="E44" s="10"/>
      <c r="F44" s="10"/>
      <c r="G44" s="10"/>
      <c r="H44" s="10"/>
      <c r="I44" s="10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2.75" customHeight="1">
      <c r="B45" s="10"/>
      <c r="C45" s="88" t="s">
        <v>391</v>
      </c>
      <c r="D45" s="10"/>
      <c r="E45" s="10"/>
      <c r="F45" s="10"/>
      <c r="G45" s="10"/>
      <c r="H45" s="10"/>
      <c r="I45" s="10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2.75" customHeight="1">
      <c r="B46" s="10"/>
      <c r="C46" s="10" t="s">
        <v>38</v>
      </c>
      <c r="D46" s="10"/>
      <c r="E46" s="169" t="s">
        <v>308</v>
      </c>
      <c r="G46" s="10"/>
      <c r="H46" s="10"/>
      <c r="I46" s="10"/>
      <c r="J46" s="7"/>
      <c r="K46" s="7"/>
      <c r="L46" s="7"/>
      <c r="M46" s="1"/>
      <c r="N46" s="2"/>
      <c r="O46" s="2"/>
      <c r="P46" s="2"/>
      <c r="Q46" s="2"/>
      <c r="R46" s="2"/>
      <c r="S46" s="2"/>
    </row>
    <row r="47" spans="2:19" ht="12.75" customHeight="1">
      <c r="B47" s="10"/>
      <c r="C47" s="88" t="s">
        <v>217</v>
      </c>
      <c r="D47" s="10"/>
      <c r="E47" s="12">
        <v>2152270</v>
      </c>
      <c r="G47" s="10"/>
      <c r="H47" s="10"/>
      <c r="I47" s="10"/>
      <c r="J47" s="7"/>
      <c r="K47" s="7"/>
      <c r="L47" s="7"/>
      <c r="M47" s="1"/>
      <c r="N47" s="2"/>
      <c r="O47" s="2"/>
      <c r="P47" s="2"/>
      <c r="Q47" s="2"/>
      <c r="R47" s="2"/>
      <c r="S47" s="2"/>
    </row>
    <row r="48" spans="2:19" ht="12.75" customHeight="1">
      <c r="B48" s="10"/>
      <c r="C48" s="10" t="s">
        <v>218</v>
      </c>
      <c r="D48" s="10"/>
      <c r="E48" s="172">
        <v>-2575169</v>
      </c>
      <c r="G48" s="10"/>
      <c r="H48" s="19"/>
      <c r="I48" s="10"/>
      <c r="J48" s="7"/>
      <c r="K48" s="7"/>
      <c r="L48" s="7"/>
      <c r="M48" s="1"/>
      <c r="N48" s="2"/>
      <c r="O48" s="2"/>
      <c r="P48" s="2"/>
      <c r="Q48" s="2"/>
      <c r="R48" s="2"/>
      <c r="S48" s="2"/>
    </row>
    <row r="49" spans="2:19" ht="12.75" customHeight="1">
      <c r="B49" s="10"/>
      <c r="C49" s="10" t="s">
        <v>309</v>
      </c>
      <c r="D49" s="10"/>
      <c r="E49" s="12">
        <f>E47+E48</f>
        <v>-422899</v>
      </c>
      <c r="G49" s="10"/>
      <c r="H49" s="12"/>
      <c r="I49" s="10"/>
      <c r="J49" s="7"/>
      <c r="K49" s="7"/>
      <c r="L49" s="7"/>
      <c r="M49" s="1"/>
      <c r="N49" s="2"/>
      <c r="O49" s="2"/>
      <c r="P49" s="2"/>
      <c r="Q49" s="2"/>
      <c r="R49" s="2"/>
      <c r="S49" s="2"/>
    </row>
    <row r="50" spans="2:19" ht="12.75" customHeight="1">
      <c r="B50" s="10" t="s">
        <v>38</v>
      </c>
      <c r="C50" s="10" t="s">
        <v>38</v>
      </c>
      <c r="D50" s="10"/>
      <c r="E50" s="10"/>
      <c r="F50" s="12"/>
      <c r="G50" s="10"/>
      <c r="H50" s="10"/>
      <c r="I50" s="10"/>
      <c r="J50" s="7"/>
      <c r="K50" s="7"/>
      <c r="L50" s="7"/>
      <c r="M50" s="1"/>
      <c r="N50" s="2"/>
      <c r="O50" s="2"/>
      <c r="P50" s="2"/>
      <c r="Q50" s="2"/>
      <c r="R50" s="2"/>
      <c r="S50" s="2"/>
    </row>
    <row r="51" spans="2:19" ht="12.75" customHeight="1">
      <c r="B51" s="10"/>
      <c r="C51" s="87" t="s">
        <v>219</v>
      </c>
      <c r="D51" s="10"/>
      <c r="E51" s="10"/>
      <c r="F51" s="12"/>
      <c r="G51" s="10"/>
      <c r="H51" s="10"/>
      <c r="I51" s="10"/>
      <c r="J51" s="7"/>
      <c r="K51" s="7"/>
      <c r="L51" s="7"/>
      <c r="M51" s="1"/>
      <c r="N51" s="2"/>
      <c r="O51" s="2"/>
      <c r="P51" s="2"/>
      <c r="Q51" s="2"/>
      <c r="R51" s="2"/>
      <c r="S51" s="2"/>
    </row>
    <row r="52" spans="2:19" ht="10.5" customHeight="1">
      <c r="B52" s="10" t="s">
        <v>38</v>
      </c>
      <c r="C52" s="10"/>
      <c r="D52" s="10"/>
      <c r="E52" s="10"/>
      <c r="F52" s="10"/>
      <c r="G52" s="10"/>
      <c r="H52" s="10"/>
      <c r="I52" s="10"/>
      <c r="J52" s="7"/>
      <c r="K52" s="7"/>
      <c r="L52" s="7"/>
      <c r="M52" s="1"/>
      <c r="N52" s="2"/>
      <c r="O52" s="2"/>
      <c r="P52" s="2"/>
      <c r="Q52" s="2"/>
      <c r="R52" s="2"/>
      <c r="S52" s="2"/>
    </row>
    <row r="53" spans="2:19" ht="10.5" customHeight="1">
      <c r="B53" s="10"/>
      <c r="C53" s="10"/>
      <c r="D53" s="10"/>
      <c r="E53" s="12"/>
      <c r="F53" s="32"/>
      <c r="G53" s="10"/>
      <c r="H53" s="10"/>
      <c r="I53" s="10"/>
      <c r="J53" s="7"/>
      <c r="K53" s="7"/>
      <c r="L53" s="7"/>
      <c r="M53" s="1"/>
      <c r="N53" s="2"/>
      <c r="O53" s="2"/>
      <c r="P53" s="2"/>
      <c r="Q53" s="2"/>
      <c r="R53" s="2"/>
      <c r="S53" s="2"/>
    </row>
    <row r="54" spans="2:19" ht="10.5" customHeight="1">
      <c r="B54" s="10"/>
      <c r="C54" s="10"/>
      <c r="D54" s="10"/>
      <c r="E54" s="10"/>
      <c r="F54" s="37"/>
      <c r="G54" s="10"/>
      <c r="H54" s="10"/>
      <c r="I54" s="10"/>
      <c r="J54" s="7"/>
      <c r="K54" s="7"/>
      <c r="L54" s="7"/>
      <c r="M54" s="1"/>
      <c r="N54" s="2"/>
      <c r="O54" s="2"/>
      <c r="P54" s="2"/>
      <c r="Q54" s="2"/>
      <c r="R54" s="2"/>
      <c r="S54" s="2"/>
    </row>
    <row r="55" spans="2:19" ht="10.5" customHeight="1">
      <c r="B55" s="10"/>
      <c r="C55" s="10"/>
      <c r="D55" s="10"/>
      <c r="E55" s="15"/>
      <c r="F55" s="32"/>
      <c r="G55" s="10"/>
      <c r="H55" s="10"/>
      <c r="I55" s="10"/>
      <c r="J55" s="7"/>
      <c r="K55" s="7"/>
      <c r="L55" s="7"/>
      <c r="M55" s="1"/>
      <c r="N55" s="2"/>
      <c r="O55" s="2"/>
      <c r="P55" s="2"/>
      <c r="Q55" s="2"/>
      <c r="R55" s="2"/>
      <c r="S55" s="2"/>
    </row>
    <row r="56" spans="2:19" ht="10.5" customHeight="1">
      <c r="B56" s="2"/>
      <c r="C56" s="2"/>
      <c r="D56" s="2"/>
      <c r="E56" s="2"/>
      <c r="F56" s="2"/>
      <c r="G56" s="2"/>
      <c r="H56" s="2"/>
      <c r="I56" s="2"/>
      <c r="J56" s="7"/>
      <c r="K56" s="7"/>
      <c r="L56" s="7"/>
      <c r="M56" s="1"/>
      <c r="N56" s="2"/>
      <c r="O56" s="2"/>
      <c r="P56" s="2"/>
      <c r="Q56" s="2"/>
      <c r="R56" s="2"/>
      <c r="S56" s="2"/>
    </row>
    <row r="57" spans="2:19" ht="10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2"/>
      <c r="O57" s="2"/>
      <c r="P57" s="2"/>
      <c r="Q57" s="2"/>
      <c r="R57" s="2"/>
      <c r="S57" s="2"/>
    </row>
    <row r="58" spans="2:19" ht="10.5" customHeight="1">
      <c r="B58" s="2"/>
      <c r="C58" s="2"/>
      <c r="D58" s="2"/>
      <c r="E58" s="2"/>
      <c r="F58" s="2"/>
      <c r="G58" s="2"/>
      <c r="H58" s="2"/>
      <c r="I58" s="2"/>
      <c r="J58" s="7"/>
      <c r="K58" s="7"/>
      <c r="L58" s="7"/>
      <c r="M58" s="1"/>
      <c r="N58" s="2"/>
      <c r="O58" s="2"/>
      <c r="P58" s="2"/>
      <c r="Q58" s="2"/>
      <c r="R58" s="2"/>
      <c r="S58" s="2"/>
    </row>
    <row r="59" spans="2:19" ht="10.5" customHeight="1">
      <c r="B59" s="2"/>
      <c r="C59" s="62"/>
      <c r="D59" s="62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0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0.5" customHeight="1">
      <c r="B61" s="2"/>
      <c r="C61" s="62"/>
      <c r="D61" s="6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0.5" customHeight="1">
      <c r="B62" s="2"/>
      <c r="C62" s="62"/>
      <c r="D62" s="6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0.5" customHeight="1">
      <c r="B63" s="2"/>
      <c r="C63" s="41"/>
      <c r="D63" s="41"/>
      <c r="E63" s="4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0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0.5" customHeight="1">
      <c r="B65" s="2"/>
      <c r="C65" s="62"/>
      <c r="D65" s="62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0.5" customHeight="1">
      <c r="B66" s="2"/>
      <c r="C66" s="62"/>
      <c r="D66" s="6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0.5" customHeight="1">
      <c r="B67" s="2"/>
      <c r="C67" s="41"/>
      <c r="D67" s="4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0.5" customHeight="1">
      <c r="B68" s="2"/>
      <c r="C68" s="2"/>
      <c r="D68" s="2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0.5" customHeight="1">
      <c r="B69" s="2"/>
      <c r="C69" s="62"/>
      <c r="D69" s="62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0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0.5" customHeight="1">
      <c r="B71" s="2"/>
      <c r="C71" s="2"/>
      <c r="D71" s="2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0.5" customHeight="1">
      <c r="B72" s="2"/>
      <c r="C72" s="62"/>
      <c r="D72" s="62"/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0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0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0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0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0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0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0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0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0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0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0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0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0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0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0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0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0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0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0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0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0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0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0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0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0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</sheetData>
  <printOptions/>
  <pageMargins left="0.85" right="0.25" top="0.6" bottom="0.25" header="0.5" footer="0.5"/>
  <pageSetup fitToHeight="1" fitToWidth="1"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B1:S103"/>
  <sheetViews>
    <sheetView workbookViewId="0" topLeftCell="A1">
      <selection activeCell="J3" sqref="J3"/>
    </sheetView>
  </sheetViews>
  <sheetFormatPr defaultColWidth="9.8515625" defaultRowHeight="12"/>
  <cols>
    <col min="2" max="2" width="6.8515625" style="0" customWidth="1"/>
    <col min="3" max="3" width="12.140625" style="0" customWidth="1"/>
    <col min="4" max="4" width="11.421875" style="0" customWidth="1"/>
    <col min="5" max="5" width="16.8515625" style="0" customWidth="1"/>
    <col min="7" max="7" width="13.7109375" style="0" customWidth="1"/>
    <col min="8" max="9" width="7.8515625" style="0" customWidth="1"/>
    <col min="10" max="10" width="4.00390625" style="0" customWidth="1"/>
  </cols>
  <sheetData>
    <row r="1" spans="2:19" ht="12.75" customHeight="1">
      <c r="B1" s="10"/>
      <c r="C1" s="10"/>
      <c r="D1" s="10"/>
      <c r="E1" s="10"/>
      <c r="F1" s="10" t="s">
        <v>38</v>
      </c>
      <c r="G1" s="10"/>
      <c r="H1" s="10"/>
      <c r="I1" s="10"/>
      <c r="J1" s="11" t="s">
        <v>37</v>
      </c>
      <c r="K1" s="2"/>
      <c r="L1" s="2"/>
      <c r="M1" s="2"/>
      <c r="N1" s="2"/>
      <c r="O1" s="2"/>
      <c r="P1" s="2"/>
      <c r="Q1" s="2"/>
      <c r="R1" s="2"/>
      <c r="S1" s="2"/>
    </row>
    <row r="2" spans="2:19" ht="12.75" customHeight="1">
      <c r="B2" s="206" t="str">
        <f>'1.2'!A2</f>
        <v>Docket No. 06-057-01</v>
      </c>
      <c r="C2" s="207"/>
      <c r="D2" s="207"/>
      <c r="E2" s="207"/>
      <c r="F2" s="207"/>
      <c r="G2" s="207"/>
      <c r="H2" s="207"/>
      <c r="I2" s="207"/>
      <c r="J2" s="207"/>
      <c r="K2" s="2"/>
      <c r="L2" s="2"/>
      <c r="M2" s="2"/>
      <c r="N2" s="2"/>
      <c r="O2" s="2"/>
      <c r="P2" s="2"/>
      <c r="Q2" s="2"/>
      <c r="R2" s="2"/>
      <c r="S2" s="2"/>
    </row>
    <row r="3" spans="2:19" ht="12.75" customHeight="1">
      <c r="B3" s="10"/>
      <c r="C3" s="10"/>
      <c r="D3" s="10"/>
      <c r="E3" s="10"/>
      <c r="F3" s="10"/>
      <c r="G3" s="10"/>
      <c r="H3" s="10"/>
      <c r="I3" s="10"/>
      <c r="J3" s="11" t="s">
        <v>388</v>
      </c>
      <c r="K3" s="2"/>
      <c r="L3" s="2"/>
      <c r="M3" s="2"/>
      <c r="N3" s="2"/>
      <c r="O3" s="2"/>
      <c r="P3" s="2"/>
      <c r="Q3" s="2"/>
      <c r="R3" s="2"/>
      <c r="S3" s="2"/>
    </row>
    <row r="4" spans="2:19" ht="12.75" customHeight="1">
      <c r="B4" s="10"/>
      <c r="C4" s="10"/>
      <c r="D4" s="10"/>
      <c r="E4" s="10"/>
      <c r="F4" s="10"/>
      <c r="G4" s="10"/>
      <c r="H4" s="10" t="s">
        <v>38</v>
      </c>
      <c r="I4" s="10"/>
      <c r="J4" s="165" t="s">
        <v>320</v>
      </c>
      <c r="K4" s="2"/>
      <c r="L4" s="2"/>
      <c r="M4" s="2"/>
      <c r="N4" s="2"/>
      <c r="O4" s="2"/>
      <c r="P4" s="2"/>
      <c r="Q4" s="2"/>
      <c r="R4" s="2"/>
      <c r="S4" s="2"/>
    </row>
    <row r="5" spans="2:19" ht="12.75" customHeight="1">
      <c r="B5" s="10"/>
      <c r="C5" s="10"/>
      <c r="D5" s="10"/>
      <c r="E5" s="10"/>
      <c r="F5" s="10"/>
      <c r="G5" s="10"/>
      <c r="H5" s="10"/>
      <c r="I5" s="10"/>
      <c r="J5" s="11"/>
      <c r="K5" s="2"/>
      <c r="L5" s="2"/>
      <c r="M5" s="2"/>
      <c r="N5" s="2"/>
      <c r="O5" s="2"/>
      <c r="P5" s="2"/>
      <c r="Q5" s="2"/>
      <c r="R5" s="2"/>
      <c r="S5" s="2"/>
    </row>
    <row r="6" spans="2:19" ht="12.75" customHeight="1">
      <c r="B6" s="10"/>
      <c r="C6" s="10"/>
      <c r="D6" s="10"/>
      <c r="E6" s="10"/>
      <c r="F6" s="10"/>
      <c r="G6" s="10"/>
      <c r="H6" s="10"/>
      <c r="I6" s="10"/>
      <c r="J6" s="11"/>
      <c r="K6" s="2"/>
      <c r="L6" s="2"/>
      <c r="M6" s="2"/>
      <c r="N6" s="2"/>
      <c r="O6" s="2"/>
      <c r="P6" s="2"/>
      <c r="Q6" s="2"/>
      <c r="R6" s="2"/>
      <c r="S6" s="2"/>
    </row>
    <row r="7" spans="2:19" ht="12.75" customHeight="1">
      <c r="B7" s="10"/>
      <c r="C7" s="10"/>
      <c r="D7" s="10"/>
      <c r="E7" s="10"/>
      <c r="F7" s="10"/>
      <c r="G7" s="10"/>
      <c r="H7" s="10"/>
      <c r="I7" s="10"/>
      <c r="J7" s="11"/>
      <c r="K7" s="2"/>
      <c r="L7" s="2"/>
      <c r="M7" s="2"/>
      <c r="N7" s="2"/>
      <c r="O7" s="2"/>
      <c r="P7" s="2"/>
      <c r="Q7" s="2"/>
      <c r="R7" s="2"/>
      <c r="S7" s="2"/>
    </row>
    <row r="8" spans="2:19" ht="12.75" customHeight="1">
      <c r="B8" s="10"/>
      <c r="C8" s="10"/>
      <c r="D8" s="10"/>
      <c r="E8" s="10"/>
      <c r="F8" s="10"/>
      <c r="G8" s="10"/>
      <c r="H8" s="10"/>
      <c r="I8" s="10"/>
      <c r="J8" s="10"/>
      <c r="K8" s="2"/>
      <c r="L8" s="2"/>
      <c r="M8" s="2"/>
      <c r="N8" s="2"/>
      <c r="O8" s="2"/>
      <c r="P8" s="2"/>
      <c r="Q8" s="2"/>
      <c r="R8" s="2"/>
      <c r="S8" s="2"/>
    </row>
    <row r="9" spans="2:19" ht="12.75" customHeight="1">
      <c r="B9" s="10"/>
      <c r="C9" s="10"/>
      <c r="D9" s="10"/>
      <c r="E9" s="14"/>
      <c r="F9" s="10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</row>
    <row r="10" spans="2:19" ht="12.75" customHeight="1">
      <c r="B10" s="10"/>
      <c r="C10" s="10"/>
      <c r="D10" s="10"/>
      <c r="E10" s="85" t="s">
        <v>310</v>
      </c>
      <c r="F10" s="10"/>
      <c r="G10" s="10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  <c r="S10" s="2"/>
    </row>
    <row r="11" spans="2:19" ht="12.75" customHeight="1">
      <c r="B11" s="10"/>
      <c r="C11" s="10"/>
      <c r="D11" s="10"/>
      <c r="E11" s="85" t="s">
        <v>165</v>
      </c>
      <c r="F11" s="10"/>
      <c r="G11" s="10"/>
      <c r="H11" s="10"/>
      <c r="I11" s="10"/>
      <c r="J11" s="10"/>
      <c r="K11" s="2"/>
      <c r="L11" s="2"/>
      <c r="M11" s="2"/>
      <c r="N11" s="2"/>
      <c r="O11" s="2"/>
      <c r="P11" s="2"/>
      <c r="Q11" s="2"/>
      <c r="R11" s="2"/>
      <c r="S11" s="2"/>
    </row>
    <row r="12" spans="2:19" ht="12.75" customHeight="1">
      <c r="B12" s="10"/>
      <c r="C12" s="10"/>
      <c r="D12" s="10"/>
      <c r="E12" s="10"/>
      <c r="F12" s="10"/>
      <c r="G12" s="10"/>
      <c r="H12" s="10"/>
      <c r="I12" s="10"/>
      <c r="J12" s="10"/>
      <c r="K12" s="2"/>
      <c r="L12" s="2"/>
      <c r="M12" s="2"/>
      <c r="N12" s="2"/>
      <c r="O12" s="2"/>
      <c r="P12" s="2"/>
      <c r="Q12" s="2"/>
      <c r="R12" s="2"/>
      <c r="S12" s="2"/>
    </row>
    <row r="13" spans="2:19" ht="12.75" customHeight="1">
      <c r="B13" s="1"/>
      <c r="C13" s="1"/>
      <c r="D13" s="1"/>
      <c r="E13" s="1"/>
      <c r="F13" s="1"/>
      <c r="G13" s="1"/>
      <c r="H13" s="1"/>
      <c r="I13" s="10"/>
      <c r="J13" s="10"/>
      <c r="K13" s="2"/>
      <c r="L13" s="2"/>
      <c r="M13" s="2"/>
      <c r="N13" s="2"/>
      <c r="O13" s="2"/>
      <c r="P13" s="2"/>
      <c r="Q13" s="2"/>
      <c r="R13" s="2"/>
      <c r="S13" s="2"/>
    </row>
    <row r="14" spans="2:19" ht="12.75" customHeight="1">
      <c r="B14" s="1"/>
      <c r="C14" s="151" t="s">
        <v>221</v>
      </c>
      <c r="D14" s="151" t="s">
        <v>222</v>
      </c>
      <c r="E14" s="151" t="s">
        <v>223</v>
      </c>
      <c r="F14" s="146"/>
      <c r="G14" s="151" t="s">
        <v>224</v>
      </c>
      <c r="H14" s="1"/>
      <c r="I14" s="10"/>
      <c r="J14" s="10"/>
      <c r="K14" s="2"/>
      <c r="L14" s="2"/>
      <c r="M14" s="2"/>
      <c r="N14" s="2"/>
      <c r="O14" s="2"/>
      <c r="P14" s="2"/>
      <c r="Q14" s="2"/>
      <c r="R14" s="2"/>
      <c r="S14" s="2"/>
    </row>
    <row r="15" spans="2:19" ht="12.75" customHeight="1">
      <c r="B15" s="10"/>
      <c r="C15" s="10"/>
      <c r="D15" s="10"/>
      <c r="E15" s="11"/>
      <c r="F15" s="10" t="s">
        <v>315</v>
      </c>
      <c r="G15" s="11"/>
      <c r="H15" s="10"/>
      <c r="I15" s="10"/>
      <c r="J15" s="10"/>
      <c r="K15" s="2"/>
      <c r="L15" s="2"/>
      <c r="M15" s="2"/>
      <c r="N15" s="2"/>
      <c r="O15" s="2"/>
      <c r="P15" s="2"/>
      <c r="Q15" s="2"/>
      <c r="R15" s="2"/>
      <c r="S15" s="2"/>
    </row>
    <row r="16" spans="2:19" ht="12.75" customHeight="1" thickBot="1">
      <c r="B16" s="10"/>
      <c r="C16" s="175" t="s">
        <v>312</v>
      </c>
      <c r="D16" s="166" t="s">
        <v>313</v>
      </c>
      <c r="E16" s="164" t="s">
        <v>314</v>
      </c>
      <c r="F16" s="175" t="s">
        <v>38</v>
      </c>
      <c r="G16" s="164" t="s">
        <v>316</v>
      </c>
      <c r="H16" s="10"/>
      <c r="I16" s="10"/>
      <c r="J16" s="10"/>
      <c r="K16" s="63"/>
      <c r="L16" s="10"/>
      <c r="M16" s="19"/>
      <c r="N16" s="7"/>
      <c r="O16" s="6"/>
      <c r="P16" s="6"/>
      <c r="Q16" s="2"/>
      <c r="R16" s="2"/>
      <c r="S16" s="2"/>
    </row>
    <row r="17" spans="2:19" ht="12.75" customHeight="1">
      <c r="B17" s="10"/>
      <c r="C17" s="10"/>
      <c r="D17" s="10"/>
      <c r="E17" s="10"/>
      <c r="F17" s="10"/>
      <c r="G17" s="10" t="s">
        <v>38</v>
      </c>
      <c r="H17" s="10"/>
      <c r="I17" s="10"/>
      <c r="J17" s="10"/>
      <c r="K17" s="63"/>
      <c r="L17" s="64"/>
      <c r="M17" s="19"/>
      <c r="N17" s="7"/>
      <c r="O17" s="6"/>
      <c r="P17" s="6"/>
      <c r="Q17" s="2"/>
      <c r="R17" s="2"/>
      <c r="S17" s="2"/>
    </row>
    <row r="18" spans="2:19" ht="12.75" customHeight="1">
      <c r="B18" s="14">
        <v>1</v>
      </c>
      <c r="C18" s="10" t="s">
        <v>166</v>
      </c>
      <c r="D18" s="10" t="s">
        <v>167</v>
      </c>
      <c r="E18" s="78">
        <v>1.06812</v>
      </c>
      <c r="F18" s="10"/>
      <c r="G18" s="16">
        <f>ROUND(E18*ROUND(1+'1.6.2'!$F$36,7),5)</f>
        <v>1.05979</v>
      </c>
      <c r="H18" s="10"/>
      <c r="I18" s="10"/>
      <c r="J18" s="10"/>
      <c r="K18" s="63"/>
      <c r="L18" s="26"/>
      <c r="M18" s="78"/>
      <c r="N18" s="2"/>
      <c r="O18" s="2"/>
      <c r="P18" s="2"/>
      <c r="Q18" s="2"/>
      <c r="R18" s="2"/>
      <c r="S18" s="2"/>
    </row>
    <row r="19" spans="2:19" ht="12.75" customHeight="1">
      <c r="B19" s="14">
        <f>B18+1</f>
        <v>2</v>
      </c>
      <c r="C19" s="10"/>
      <c r="D19" s="10" t="s">
        <v>169</v>
      </c>
      <c r="E19" s="78">
        <v>0.5015000000000001</v>
      </c>
      <c r="F19" s="10"/>
      <c r="G19" s="16">
        <f>ROUND(E19*ROUND(1+'1.6.2'!$F$36,7),5)</f>
        <v>0.49759</v>
      </c>
      <c r="H19" s="10"/>
      <c r="I19" s="10"/>
      <c r="J19" s="10"/>
      <c r="K19" s="63"/>
      <c r="L19" s="26"/>
      <c r="M19" s="78"/>
      <c r="N19" s="7"/>
      <c r="O19" s="6"/>
      <c r="P19" s="6"/>
      <c r="Q19" s="2"/>
      <c r="R19" s="2"/>
      <c r="S19" s="2"/>
    </row>
    <row r="20" spans="2:19" ht="12.75" customHeight="1">
      <c r="B20" s="14" t="s">
        <v>38</v>
      </c>
      <c r="C20" s="10"/>
      <c r="D20" s="10"/>
      <c r="E20" s="23"/>
      <c r="F20" s="10"/>
      <c r="G20" s="16"/>
      <c r="H20" s="10"/>
      <c r="I20" s="10"/>
      <c r="J20" s="10"/>
      <c r="K20" s="63"/>
      <c r="L20" s="26"/>
      <c r="M20" s="10"/>
      <c r="N20" s="2"/>
      <c r="O20" s="2"/>
      <c r="P20" s="2"/>
      <c r="Q20" s="2"/>
      <c r="R20" s="2"/>
      <c r="S20" s="2"/>
    </row>
    <row r="21" spans="2:19" ht="12.75" customHeight="1">
      <c r="B21" s="14">
        <f>B19+1</f>
        <v>3</v>
      </c>
      <c r="C21" s="10" t="s">
        <v>170</v>
      </c>
      <c r="D21" s="10" t="s">
        <v>167</v>
      </c>
      <c r="E21" s="23">
        <f>E18</f>
        <v>1.06812</v>
      </c>
      <c r="F21" s="10"/>
      <c r="G21" s="16">
        <f>ROUND(E21*ROUND(1+'1.6.2'!$F$36,7),5)</f>
        <v>1.05979</v>
      </c>
      <c r="H21" s="10"/>
      <c r="I21" s="10"/>
      <c r="J21" s="10"/>
      <c r="K21" s="63"/>
      <c r="L21" s="26"/>
      <c r="M21" s="78"/>
      <c r="N21" s="7"/>
      <c r="O21" s="6"/>
      <c r="P21" s="6"/>
      <c r="Q21" s="2"/>
      <c r="R21" s="2"/>
      <c r="S21" s="2"/>
    </row>
    <row r="22" spans="2:19" ht="12.75" customHeight="1">
      <c r="B22" s="14">
        <f>B21+1</f>
        <v>4</v>
      </c>
      <c r="C22" s="10"/>
      <c r="D22" s="10" t="s">
        <v>169</v>
      </c>
      <c r="E22" s="23">
        <f>E19</f>
        <v>0.5015000000000001</v>
      </c>
      <c r="F22" s="10"/>
      <c r="G22" s="16">
        <f>ROUND(E22*ROUND(1+'1.6.2'!$F$36,7),5)</f>
        <v>0.49759</v>
      </c>
      <c r="H22" s="10"/>
      <c r="I22" s="10"/>
      <c r="J22" s="10"/>
      <c r="K22" s="63"/>
      <c r="L22" s="64"/>
      <c r="M22" s="78"/>
      <c r="N22" s="7"/>
      <c r="O22" s="6"/>
      <c r="P22" s="6"/>
      <c r="Q22" s="2"/>
      <c r="R22" s="2"/>
      <c r="S22" s="2"/>
    </row>
    <row r="23" spans="2:19" ht="12.75" customHeight="1">
      <c r="B23" s="14"/>
      <c r="C23" s="10"/>
      <c r="D23" s="10"/>
      <c r="E23" s="23"/>
      <c r="F23" s="10"/>
      <c r="G23" s="16"/>
      <c r="H23" s="10"/>
      <c r="I23" s="10"/>
      <c r="J23" s="10"/>
      <c r="K23" s="63"/>
      <c r="L23" s="26"/>
      <c r="M23" s="10"/>
      <c r="N23" s="2"/>
      <c r="O23" s="2"/>
      <c r="P23" s="2"/>
      <c r="Q23" s="2"/>
      <c r="R23" s="2"/>
      <c r="S23" s="2"/>
    </row>
    <row r="24" spans="2:19" ht="12.75" customHeight="1">
      <c r="B24" s="14">
        <f>B22+1</f>
        <v>5</v>
      </c>
      <c r="C24" s="10" t="s">
        <v>171</v>
      </c>
      <c r="D24" s="10" t="s">
        <v>167</v>
      </c>
      <c r="E24" s="78">
        <v>1.0403</v>
      </c>
      <c r="F24" s="10"/>
      <c r="G24" s="16">
        <f>ROUND(E24*ROUND(1+'1.6.2'!$F$36,7),5)</f>
        <v>1.03219</v>
      </c>
      <c r="H24" s="10"/>
      <c r="I24" s="10"/>
      <c r="J24" s="10"/>
      <c r="K24" s="63"/>
      <c r="L24" s="26"/>
      <c r="M24" s="78"/>
      <c r="N24" s="7"/>
      <c r="O24" s="6"/>
      <c r="P24" s="6"/>
      <c r="Q24" s="2"/>
      <c r="R24" s="2"/>
      <c r="S24" s="2"/>
    </row>
    <row r="25" spans="2:19" ht="12.75" customHeight="1">
      <c r="B25" s="14">
        <f>B24+1</f>
        <v>6</v>
      </c>
      <c r="C25" s="10"/>
      <c r="D25" s="10" t="s">
        <v>169</v>
      </c>
      <c r="E25" s="78">
        <v>0.50148</v>
      </c>
      <c r="F25" s="10"/>
      <c r="G25" s="16">
        <f>ROUND(E25*ROUND(1+'1.6.2'!$F$36,7),5)</f>
        <v>0.49757</v>
      </c>
      <c r="H25" s="10"/>
      <c r="I25" s="10"/>
      <c r="J25" s="10"/>
      <c r="K25" s="63"/>
      <c r="L25" s="64"/>
      <c r="M25" s="78"/>
      <c r="N25" s="7"/>
      <c r="O25" s="6"/>
      <c r="P25" s="6"/>
      <c r="Q25" s="2"/>
      <c r="R25" s="2"/>
      <c r="S25" s="2"/>
    </row>
    <row r="26" spans="2:19" ht="12.75" customHeight="1">
      <c r="B26" s="14"/>
      <c r="C26" s="10"/>
      <c r="D26" s="10"/>
      <c r="E26" s="23"/>
      <c r="F26" s="10"/>
      <c r="G26" s="16"/>
      <c r="H26" s="10"/>
      <c r="I26" s="10"/>
      <c r="J26" s="10"/>
      <c r="K26" s="63"/>
      <c r="L26" s="10"/>
      <c r="M26" s="19"/>
      <c r="N26" s="2"/>
      <c r="O26" s="2"/>
      <c r="P26" s="2"/>
      <c r="Q26" s="2"/>
      <c r="R26" s="2"/>
      <c r="S26" s="2"/>
    </row>
    <row r="27" spans="2:19" ht="12.75" customHeight="1">
      <c r="B27" s="14">
        <f>B25+1</f>
        <v>7</v>
      </c>
      <c r="C27" s="10" t="s">
        <v>172</v>
      </c>
      <c r="D27" s="10"/>
      <c r="E27" s="94">
        <v>10.12</v>
      </c>
      <c r="F27" s="10"/>
      <c r="G27" s="37">
        <f>ROUND(E27*ROUND(1+'1.6.2'!$F$36,7),2)</f>
        <v>10.04</v>
      </c>
      <c r="H27" s="10"/>
      <c r="I27" s="10"/>
      <c r="J27" s="10"/>
      <c r="K27" s="63"/>
      <c r="L27" s="10"/>
      <c r="M27" s="19"/>
      <c r="N27" s="7"/>
      <c r="O27" s="6"/>
      <c r="P27" s="6"/>
      <c r="Q27" s="2"/>
      <c r="R27" s="2"/>
      <c r="S27" s="2"/>
    </row>
    <row r="28" spans="2:19" ht="12.75" customHeight="1">
      <c r="B28" s="14">
        <f>B27+1</f>
        <v>8</v>
      </c>
      <c r="C28" s="10"/>
      <c r="D28" s="10"/>
      <c r="E28" s="95">
        <v>0.47618</v>
      </c>
      <c r="F28" s="10"/>
      <c r="G28" s="16">
        <f>ROUND(E28*ROUND(1+'1.6.2'!$F$36,7),5)</f>
        <v>0.47247</v>
      </c>
      <c r="H28" s="10"/>
      <c r="I28" s="10"/>
      <c r="J28" s="10"/>
      <c r="K28" s="63"/>
      <c r="L28" s="10"/>
      <c r="M28" s="10"/>
      <c r="N28" s="2"/>
      <c r="O28" s="2"/>
      <c r="P28" s="2"/>
      <c r="Q28" s="2"/>
      <c r="R28" s="2"/>
      <c r="S28" s="2"/>
    </row>
    <row r="29" spans="2:19" ht="12.75" customHeight="1">
      <c r="B29" s="14"/>
      <c r="C29" s="10"/>
      <c r="D29" s="10"/>
      <c r="E29" s="23"/>
      <c r="F29" s="10"/>
      <c r="G29" s="16"/>
      <c r="H29" s="10"/>
      <c r="I29" s="10"/>
      <c r="J29" s="10"/>
      <c r="K29" s="63"/>
      <c r="L29" s="10"/>
      <c r="M29" s="19"/>
      <c r="N29" s="7"/>
      <c r="O29" s="2"/>
      <c r="P29" s="6"/>
      <c r="Q29" s="2"/>
      <c r="R29" s="2"/>
      <c r="S29" s="2"/>
    </row>
    <row r="30" spans="2:19" ht="12.75" customHeight="1">
      <c r="B30" s="14">
        <f>B28+1</f>
        <v>9</v>
      </c>
      <c r="C30" s="10" t="s">
        <v>173</v>
      </c>
      <c r="D30" s="10"/>
      <c r="E30" s="78">
        <v>0.72775</v>
      </c>
      <c r="F30" s="10"/>
      <c r="G30" s="16">
        <f>ROUND(E30*ROUND(1+'1.6.2'!$F$36,7),5)</f>
        <v>0.72207</v>
      </c>
      <c r="H30" s="10"/>
      <c r="I30" s="10"/>
      <c r="J30" s="10"/>
      <c r="K30" s="63"/>
      <c r="L30" s="10"/>
      <c r="M30" s="78"/>
      <c r="N30" s="2"/>
      <c r="O30" s="2"/>
      <c r="P30" s="2"/>
      <c r="Q30" s="2"/>
      <c r="R30" s="2"/>
      <c r="S30" s="2"/>
    </row>
    <row r="31" spans="2:19" ht="12.75" customHeight="1">
      <c r="B31" s="14" t="s">
        <v>38</v>
      </c>
      <c r="C31" s="10"/>
      <c r="D31" s="10"/>
      <c r="E31" s="19"/>
      <c r="F31" s="10"/>
      <c r="G31" s="16"/>
      <c r="H31" s="10"/>
      <c r="I31" s="10"/>
      <c r="J31" s="10"/>
      <c r="K31" s="63"/>
      <c r="L31" s="10"/>
      <c r="M31" s="19"/>
      <c r="N31" s="2"/>
      <c r="O31" s="2"/>
      <c r="P31" s="2"/>
      <c r="Q31" s="2"/>
      <c r="R31" s="2"/>
      <c r="S31" s="2"/>
    </row>
    <row r="32" spans="2:19" ht="12.75" customHeight="1">
      <c r="B32" s="14">
        <f>B30+1</f>
        <v>10</v>
      </c>
      <c r="C32" s="10" t="s">
        <v>174</v>
      </c>
      <c r="D32" s="10"/>
      <c r="E32" s="78">
        <v>0.77078</v>
      </c>
      <c r="F32" s="10"/>
      <c r="G32" s="16">
        <f>ROUND(E32*ROUND(1+'1.6.2'!$F$36,7),5)</f>
        <v>0.76477</v>
      </c>
      <c r="H32" s="10"/>
      <c r="I32" s="10"/>
      <c r="J32" s="10"/>
      <c r="K32" s="63"/>
      <c r="L32" s="10"/>
      <c r="M32" s="78"/>
      <c r="N32" s="2"/>
      <c r="O32" s="2"/>
      <c r="P32" s="2"/>
      <c r="Q32" s="2"/>
      <c r="R32" s="2"/>
      <c r="S32" s="2"/>
    </row>
    <row r="33" spans="2:19" ht="12.75" customHeight="1">
      <c r="B33" s="14"/>
      <c r="C33" s="10"/>
      <c r="D33" s="10"/>
      <c r="E33" s="23"/>
      <c r="F33" s="10"/>
      <c r="G33" s="16"/>
      <c r="H33" s="10"/>
      <c r="I33" s="10"/>
      <c r="J33" s="10"/>
      <c r="K33" s="63"/>
      <c r="L33" s="10"/>
      <c r="M33" s="30"/>
      <c r="N33" s="7"/>
      <c r="O33" s="6"/>
      <c r="P33" s="6"/>
      <c r="Q33" s="2"/>
      <c r="R33" s="2"/>
      <c r="S33" s="2"/>
    </row>
    <row r="34" spans="2:19" ht="12.75" customHeight="1">
      <c r="B34" s="14">
        <f>B32+1</f>
        <v>11</v>
      </c>
      <c r="C34" s="10" t="s">
        <v>175</v>
      </c>
      <c r="D34" s="10"/>
      <c r="E34" s="23">
        <f>ROUND((0.17652+0.0018)/0.985,5)</f>
        <v>0.18104</v>
      </c>
      <c r="F34" s="10"/>
      <c r="G34" s="23">
        <f>ROUND((0.17652+0.0018)/0.985,5)</f>
        <v>0.18104</v>
      </c>
      <c r="H34" s="10"/>
      <c r="I34" s="10"/>
      <c r="J34" s="10"/>
      <c r="K34" s="63"/>
      <c r="L34" s="2"/>
      <c r="M34" s="2"/>
      <c r="N34" s="2"/>
      <c r="O34" s="2"/>
      <c r="P34" s="2"/>
      <c r="Q34" s="2"/>
      <c r="R34" s="2"/>
      <c r="S34" s="2"/>
    </row>
    <row r="35" spans="2:19" ht="12.75" customHeight="1">
      <c r="B35" s="14"/>
      <c r="C35" s="10"/>
      <c r="D35" s="10"/>
      <c r="E35" s="23"/>
      <c r="F35" s="10"/>
      <c r="G35" s="16"/>
      <c r="H35" s="10"/>
      <c r="I35" s="10"/>
      <c r="J35" s="10"/>
      <c r="K35" s="63"/>
      <c r="L35" s="2"/>
      <c r="M35" s="2"/>
      <c r="N35" s="6"/>
      <c r="O35" s="6"/>
      <c r="P35" s="6"/>
      <c r="Q35" s="2"/>
      <c r="R35" s="2"/>
      <c r="S35" s="2"/>
    </row>
    <row r="36" spans="2:19" ht="12.75" customHeight="1">
      <c r="B36" s="14">
        <f>B34+1</f>
        <v>12</v>
      </c>
      <c r="C36" s="10" t="s">
        <v>176</v>
      </c>
      <c r="D36" s="10"/>
      <c r="E36" s="23">
        <f>ROUND((0.17652+0.0018)/0.985,5)</f>
        <v>0.18104</v>
      </c>
      <c r="F36" s="10"/>
      <c r="G36" s="23">
        <f>ROUND((0.17652+0.0018)/0.985,5)</f>
        <v>0.18104</v>
      </c>
      <c r="H36" s="10"/>
      <c r="I36" s="10"/>
      <c r="J36" s="10"/>
      <c r="K36" s="63"/>
      <c r="L36" s="47"/>
      <c r="M36" s="47"/>
      <c r="N36" s="2"/>
      <c r="O36" s="2"/>
      <c r="P36" s="2"/>
      <c r="Q36" s="2"/>
      <c r="R36" s="2"/>
      <c r="S36" s="2"/>
    </row>
    <row r="37" spans="2:19" ht="12.75" customHeight="1">
      <c r="B37" s="14"/>
      <c r="C37" s="10"/>
      <c r="D37" s="10"/>
      <c r="E37" s="23"/>
      <c r="F37" s="10"/>
      <c r="G37" s="16"/>
      <c r="H37" s="10"/>
      <c r="I37" s="10"/>
      <c r="J37" s="10"/>
      <c r="K37" s="63"/>
      <c r="L37" s="2"/>
      <c r="M37" s="2"/>
      <c r="N37" s="2"/>
      <c r="O37" s="6"/>
      <c r="P37" s="2"/>
      <c r="Q37" s="2"/>
      <c r="R37" s="2"/>
      <c r="S37" s="2"/>
    </row>
    <row r="38" spans="2:19" ht="12.75" customHeight="1">
      <c r="B38" s="14">
        <f>B36+1</f>
        <v>13</v>
      </c>
      <c r="C38" s="10" t="s">
        <v>177</v>
      </c>
      <c r="D38" s="10"/>
      <c r="E38" s="23">
        <f>E34</f>
        <v>0.18104</v>
      </c>
      <c r="F38" s="10"/>
      <c r="G38" s="16">
        <f>G34</f>
        <v>0.18104</v>
      </c>
      <c r="H38" s="10"/>
      <c r="I38" s="10"/>
      <c r="J38" s="10"/>
      <c r="K38" s="63"/>
      <c r="L38" s="2"/>
      <c r="M38" s="2"/>
      <c r="N38" s="2"/>
      <c r="O38" s="2"/>
      <c r="P38" s="2"/>
      <c r="Q38" s="2"/>
      <c r="R38" s="2"/>
      <c r="S38" s="2"/>
    </row>
    <row r="39" spans="2:19" ht="12.75" customHeight="1">
      <c r="B39" s="14"/>
      <c r="C39" s="10"/>
      <c r="D39" s="10"/>
      <c r="E39" s="23"/>
      <c r="F39" s="10"/>
      <c r="G39" s="16"/>
      <c r="H39" s="10"/>
      <c r="I39" s="10"/>
      <c r="J39" s="10"/>
      <c r="K39" s="63"/>
      <c r="L39" s="2"/>
      <c r="M39" s="2"/>
      <c r="N39" s="2"/>
      <c r="O39" s="2"/>
      <c r="P39" s="6"/>
      <c r="Q39" s="2"/>
      <c r="R39" s="2"/>
      <c r="S39" s="2"/>
    </row>
    <row r="40" spans="2:19" ht="12.75" customHeight="1">
      <c r="B40" s="14">
        <f>B38+1</f>
        <v>14</v>
      </c>
      <c r="C40" s="10" t="s">
        <v>178</v>
      </c>
      <c r="D40" s="10"/>
      <c r="E40" s="23">
        <f>E36</f>
        <v>0.18104</v>
      </c>
      <c r="F40" s="10"/>
      <c r="G40" s="16">
        <f>G36</f>
        <v>0.18104</v>
      </c>
      <c r="H40" s="10"/>
      <c r="I40" s="10"/>
      <c r="J40" s="10"/>
      <c r="K40" s="63"/>
      <c r="L40" s="2"/>
      <c r="M40" s="2"/>
      <c r="N40" s="2"/>
      <c r="O40" s="2"/>
      <c r="P40" s="2"/>
      <c r="Q40" s="2"/>
      <c r="R40" s="2"/>
      <c r="S40" s="2"/>
    </row>
    <row r="41" spans="2:19" ht="12.75" customHeight="1">
      <c r="B41" s="14"/>
      <c r="C41" s="10"/>
      <c r="D41" s="10"/>
      <c r="E41" s="30"/>
      <c r="F41" s="10"/>
      <c r="G41" s="10"/>
      <c r="H41" s="10"/>
      <c r="I41" s="10"/>
      <c r="J41" s="10"/>
      <c r="K41" s="63"/>
      <c r="L41" s="2"/>
      <c r="M41" s="2"/>
      <c r="N41" s="2"/>
      <c r="O41" s="2"/>
      <c r="P41" s="2"/>
      <c r="Q41" s="2"/>
      <c r="R41" s="2"/>
      <c r="S41" s="2"/>
    </row>
    <row r="42" spans="2:19" ht="12.75" customHeight="1">
      <c r="B42" s="14">
        <f>B40+1</f>
        <v>15</v>
      </c>
      <c r="C42" s="10" t="s">
        <v>179</v>
      </c>
      <c r="D42" s="10"/>
      <c r="E42" s="78">
        <v>1.06812</v>
      </c>
      <c r="F42" s="10"/>
      <c r="G42" s="16">
        <f>ROUND(E42*ROUND(1+'1.6.2'!$F$36,7),5)</f>
        <v>1.05979</v>
      </c>
      <c r="H42" s="10"/>
      <c r="I42" s="10"/>
      <c r="J42" s="10"/>
      <c r="K42" s="63"/>
      <c r="L42" s="2"/>
      <c r="M42" s="78"/>
      <c r="N42" s="2"/>
      <c r="O42" s="2"/>
      <c r="P42" s="2"/>
      <c r="Q42" s="2"/>
      <c r="R42" s="2"/>
      <c r="S42" s="2"/>
    </row>
    <row r="43" spans="2:19" ht="12.75" customHeight="1">
      <c r="B43" s="14"/>
      <c r="C43" s="10"/>
      <c r="D43" s="10"/>
      <c r="E43" s="2"/>
      <c r="F43" s="10"/>
      <c r="G43" s="16"/>
      <c r="H43" s="10"/>
      <c r="I43" s="10"/>
      <c r="J43" s="10"/>
      <c r="K43" s="63"/>
      <c r="L43" s="2"/>
      <c r="M43" s="2"/>
      <c r="N43" s="2"/>
      <c r="O43" s="2"/>
      <c r="P43" s="2"/>
      <c r="Q43" s="2"/>
      <c r="R43" s="2"/>
      <c r="S43" s="2"/>
    </row>
    <row r="44" spans="2:19" ht="12.75" customHeight="1">
      <c r="B44" s="14">
        <f>B42+1</f>
        <v>16</v>
      </c>
      <c r="C44" s="10" t="s">
        <v>180</v>
      </c>
      <c r="D44" s="10"/>
      <c r="E44" s="78">
        <v>5.5365899999999995</v>
      </c>
      <c r="F44" s="10"/>
      <c r="G44" s="16">
        <f>ROUND(E44*ROUND(1+'1.6.2'!$F$36,7),5)</f>
        <v>5.49341</v>
      </c>
      <c r="H44" s="10"/>
      <c r="I44" s="10"/>
      <c r="J44" s="10"/>
      <c r="K44" s="63"/>
      <c r="L44" s="2"/>
      <c r="M44" s="78"/>
      <c r="N44" s="2"/>
      <c r="O44" s="2"/>
      <c r="P44" s="2"/>
      <c r="Q44" s="2"/>
      <c r="R44" s="2"/>
      <c r="S44" s="2"/>
    </row>
    <row r="45" spans="2:19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63"/>
      <c r="L45" s="2"/>
      <c r="M45" s="2"/>
      <c r="N45" s="2"/>
      <c r="O45" s="2"/>
      <c r="P45" s="2"/>
      <c r="Q45" s="2"/>
      <c r="R45" s="2"/>
      <c r="S45" s="2"/>
    </row>
    <row r="46" spans="2:19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63"/>
      <c r="L46" s="2"/>
      <c r="M46" s="2"/>
      <c r="N46" s="2"/>
      <c r="O46" s="6"/>
      <c r="P46" s="6"/>
      <c r="Q46" s="2"/>
      <c r="R46" s="2"/>
      <c r="S46" s="2"/>
    </row>
    <row r="47" spans="2:19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2"/>
      <c r="L47" s="2"/>
      <c r="M47" s="2"/>
      <c r="N47" s="2"/>
      <c r="O47" s="2"/>
      <c r="P47" s="2"/>
      <c r="Q47" s="2"/>
      <c r="R47" s="2"/>
      <c r="S47" s="2"/>
    </row>
    <row r="48" spans="2:19" ht="12.75" customHeight="1">
      <c r="B48" s="10"/>
      <c r="C48" s="10"/>
      <c r="D48" s="10"/>
      <c r="E48" s="65"/>
      <c r="F48" s="10"/>
      <c r="G48" s="10"/>
      <c r="H48" s="10"/>
      <c r="I48" s="10"/>
      <c r="J48" s="10"/>
      <c r="K48" s="2"/>
      <c r="L48" s="2"/>
      <c r="M48" s="2"/>
      <c r="N48" s="2"/>
      <c r="O48" s="2"/>
      <c r="P48" s="2"/>
      <c r="Q48" s="2"/>
      <c r="R48" s="2"/>
      <c r="S48" s="2"/>
    </row>
    <row r="49" spans="2:19" ht="12.75" customHeight="1">
      <c r="B49" s="10"/>
      <c r="C49" s="176"/>
      <c r="D49" s="176"/>
      <c r="E49" s="177"/>
      <c r="F49" s="176"/>
      <c r="G49" s="10"/>
      <c r="H49" s="10"/>
      <c r="I49" s="10"/>
      <c r="J49" s="10"/>
      <c r="K49" s="2"/>
      <c r="L49" s="2"/>
      <c r="M49" s="2"/>
      <c r="N49" s="2"/>
      <c r="O49" s="2"/>
      <c r="P49" s="2"/>
      <c r="Q49" s="2"/>
      <c r="R49" s="2"/>
      <c r="S49" s="2"/>
    </row>
    <row r="50" spans="2:19" ht="12.75" customHeight="1">
      <c r="B50" s="10"/>
      <c r="C50" s="10"/>
      <c r="D50" s="10"/>
      <c r="E50" s="10"/>
      <c r="F50" s="10"/>
      <c r="G50" s="10"/>
      <c r="H50" s="10"/>
      <c r="I50" s="10"/>
      <c r="J50" s="10"/>
      <c r="K50" s="2"/>
      <c r="L50" s="2"/>
      <c r="M50" s="2"/>
      <c r="N50" s="2"/>
      <c r="O50" s="2"/>
      <c r="P50" s="2"/>
      <c r="Q50" s="2"/>
      <c r="R50" s="2"/>
      <c r="S50" s="2"/>
    </row>
    <row r="51" spans="2:19" ht="12.75" customHeight="1">
      <c r="B51" s="10"/>
      <c r="C51" s="10" t="s">
        <v>181</v>
      </c>
      <c r="D51" s="10"/>
      <c r="E51" s="10"/>
      <c r="F51" s="10"/>
      <c r="G51" s="10"/>
      <c r="H51" s="10"/>
      <c r="I51" s="10"/>
      <c r="J51" s="10"/>
      <c r="K51" s="2"/>
      <c r="L51" s="2"/>
      <c r="M51" s="2"/>
      <c r="N51" s="2"/>
      <c r="O51" s="2"/>
      <c r="P51" s="2"/>
      <c r="Q51" s="2"/>
      <c r="R51" s="2"/>
      <c r="S51" s="2"/>
    </row>
    <row r="52" spans="2:19" ht="12.75" customHeight="1">
      <c r="B52" s="10"/>
      <c r="C52" s="10"/>
      <c r="D52" s="10"/>
      <c r="E52" s="10"/>
      <c r="F52" s="10"/>
      <c r="G52" s="10"/>
      <c r="H52" s="10"/>
      <c r="I52" s="10"/>
      <c r="J52" s="10"/>
      <c r="K52" s="2"/>
      <c r="L52" s="2"/>
      <c r="M52" s="2"/>
      <c r="N52" s="2"/>
      <c r="O52" s="2"/>
      <c r="P52" s="2"/>
      <c r="Q52" s="2"/>
      <c r="R52" s="2"/>
      <c r="S52" s="2"/>
    </row>
    <row r="53" spans="2:19" ht="12.75" customHeight="1">
      <c r="B53" s="10"/>
      <c r="C53" s="88" t="s">
        <v>392</v>
      </c>
      <c r="D53" s="10"/>
      <c r="E53" s="10"/>
      <c r="F53" s="10"/>
      <c r="G53" s="10"/>
      <c r="H53" s="10"/>
      <c r="I53" s="10"/>
      <c r="J53" s="10"/>
      <c r="K53" s="2"/>
      <c r="L53" s="2"/>
      <c r="M53" s="2"/>
      <c r="N53" s="2"/>
      <c r="O53" s="2"/>
      <c r="P53" s="2"/>
      <c r="Q53" s="2"/>
      <c r="R53" s="2"/>
      <c r="S53" s="2"/>
    </row>
    <row r="54" spans="2:19" ht="12.75" customHeight="1">
      <c r="B54" s="10"/>
      <c r="C54" s="10"/>
      <c r="D54" s="10" t="s">
        <v>182</v>
      </c>
      <c r="E54" s="10"/>
      <c r="F54" s="10"/>
      <c r="G54" s="10"/>
      <c r="H54" s="10"/>
      <c r="I54" s="10"/>
      <c r="J54" s="10"/>
      <c r="K54" s="2"/>
      <c r="L54" s="2"/>
      <c r="M54" s="2"/>
      <c r="N54" s="2"/>
      <c r="O54" s="2"/>
      <c r="P54" s="2"/>
      <c r="Q54" s="2"/>
      <c r="R54" s="2"/>
      <c r="S54" s="2"/>
    </row>
    <row r="55" spans="2:19" ht="12" customHeight="1">
      <c r="B55" s="1"/>
      <c r="C55" s="1"/>
      <c r="D55" s="1"/>
      <c r="E55" s="1"/>
      <c r="F55" s="1"/>
      <c r="G55" s="1"/>
      <c r="H55" s="1"/>
      <c r="I55" s="10"/>
      <c r="J55" s="10"/>
      <c r="K55" s="2"/>
      <c r="L55" s="2"/>
      <c r="M55" s="2"/>
      <c r="N55" s="2"/>
      <c r="O55" s="2"/>
      <c r="P55" s="2"/>
      <c r="Q55" s="2"/>
      <c r="R55" s="2"/>
      <c r="S55" s="2"/>
    </row>
    <row r="56" spans="2:19" ht="12" customHeight="1">
      <c r="B56" s="1"/>
      <c r="C56" s="1"/>
      <c r="D56" s="1"/>
      <c r="E56" s="1"/>
      <c r="F56" s="1"/>
      <c r="G56" s="1"/>
      <c r="H56" s="1"/>
      <c r="I56" s="10"/>
      <c r="J56" s="10"/>
      <c r="K56" s="2"/>
      <c r="L56" s="2"/>
      <c r="M56" s="2"/>
      <c r="N56" s="2"/>
      <c r="O56" s="2"/>
      <c r="P56" s="2"/>
      <c r="Q56" s="2"/>
      <c r="R56" s="2"/>
      <c r="S56" s="2"/>
    </row>
    <row r="57" spans="2:19" ht="10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0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0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0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0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0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0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0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0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0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0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0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0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0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0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0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0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0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0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0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0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0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0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0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0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0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0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0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0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0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0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0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0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0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0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0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0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0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0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0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0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0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0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0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1">
    <mergeCell ref="B2:J2"/>
  </mergeCells>
  <printOptions/>
  <pageMargins left="1.25" right="0.25" top="0.6" bottom="0.25" header="0.5" footer="0.5"/>
  <pageSetup fitToHeight="1" fitToWidth="1"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66"/>
  <sheetViews>
    <sheetView workbookViewId="0" topLeftCell="A13">
      <selection activeCell="F52" sqref="F52"/>
    </sheetView>
  </sheetViews>
  <sheetFormatPr defaultColWidth="9.140625" defaultRowHeight="12"/>
  <cols>
    <col min="1" max="1" width="5.00390625" style="0" customWidth="1"/>
    <col min="2" max="2" width="33.28125" style="0" customWidth="1"/>
    <col min="3" max="3" width="14.00390625" style="0" customWidth="1"/>
    <col min="4" max="4" width="12.7109375" style="0" customWidth="1"/>
    <col min="5" max="5" width="13.140625" style="0" customWidth="1"/>
    <col min="6" max="6" width="14.7109375" style="0" customWidth="1"/>
    <col min="7" max="7" width="15.140625" style="0" customWidth="1"/>
    <col min="8" max="8" width="5.00390625" style="0" customWidth="1"/>
    <col min="9" max="9" width="12.421875" style="0" customWidth="1"/>
    <col min="10" max="11" width="10.140625" style="0" bestFit="1" customWidth="1"/>
  </cols>
  <sheetData>
    <row r="1" ht="12.75">
      <c r="I1" s="11" t="s">
        <v>37</v>
      </c>
    </row>
    <row r="2" ht="12.75">
      <c r="I2" s="98" t="str">
        <f>'1.2'!A2</f>
        <v>Docket No. 06-057-01</v>
      </c>
    </row>
    <row r="3" ht="12.75">
      <c r="I3" s="11" t="s">
        <v>388</v>
      </c>
    </row>
    <row r="4" ht="12.75">
      <c r="I4" s="11" t="s">
        <v>347</v>
      </c>
    </row>
    <row r="5" ht="12.75">
      <c r="I5" s="11"/>
    </row>
    <row r="6" ht="12.75">
      <c r="I6" s="11"/>
    </row>
    <row r="10" spans="3:5" ht="14.25">
      <c r="C10" s="195" t="s">
        <v>322</v>
      </c>
      <c r="E10" s="85"/>
    </row>
    <row r="13" spans="1:6" ht="12.75">
      <c r="A13" s="1"/>
      <c r="B13" s="151" t="s">
        <v>221</v>
      </c>
      <c r="C13" s="151" t="s">
        <v>222</v>
      </c>
      <c r="D13" s="151" t="s">
        <v>223</v>
      </c>
      <c r="E13" s="151" t="s">
        <v>224</v>
      </c>
      <c r="F13" s="151" t="s">
        <v>229</v>
      </c>
    </row>
    <row r="14" spans="1:6" ht="12.75">
      <c r="A14" s="10"/>
      <c r="B14" s="10"/>
      <c r="C14" s="10"/>
      <c r="D14" s="11"/>
      <c r="E14" s="14" t="s">
        <v>324</v>
      </c>
      <c r="F14" s="14" t="s">
        <v>203</v>
      </c>
    </row>
    <row r="15" spans="1:6" ht="13.5" thickBot="1">
      <c r="A15" s="10"/>
      <c r="B15" s="175" t="s">
        <v>323</v>
      </c>
      <c r="C15" s="166" t="s">
        <v>281</v>
      </c>
      <c r="D15" s="166" t="s">
        <v>203</v>
      </c>
      <c r="E15" s="166" t="s">
        <v>331</v>
      </c>
      <c r="F15" s="166" t="s">
        <v>365</v>
      </c>
    </row>
    <row r="16" spans="1:6" ht="12.75">
      <c r="A16" s="10"/>
      <c r="B16" s="10"/>
      <c r="C16" s="10"/>
      <c r="D16" s="10"/>
      <c r="E16" s="10"/>
      <c r="F16" s="10" t="s">
        <v>38</v>
      </c>
    </row>
    <row r="17" spans="1:6" ht="12.75">
      <c r="A17" s="14">
        <v>1</v>
      </c>
      <c r="B17" s="10" t="s">
        <v>326</v>
      </c>
      <c r="C17" s="12">
        <v>4000000</v>
      </c>
      <c r="D17" s="12">
        <f>ROUND(C17*'1.5'!I53,0)</f>
        <v>3854733</v>
      </c>
      <c r="E17" s="44">
        <v>0.9</v>
      </c>
      <c r="F17" s="12">
        <f>ROUND(D17*E17,0)</f>
        <v>3469260</v>
      </c>
    </row>
    <row r="18" spans="1:6" ht="12.75">
      <c r="A18" s="14"/>
      <c r="B18" s="10"/>
      <c r="D18" s="78"/>
      <c r="E18" s="44"/>
      <c r="F18" s="16"/>
    </row>
    <row r="19" spans="1:6" ht="13.5" thickBot="1">
      <c r="A19" s="14">
        <f>A17+1</f>
        <v>2</v>
      </c>
      <c r="B19" s="10" t="s">
        <v>349</v>
      </c>
      <c r="C19" s="139">
        <f>373566.7*'1.4.2'!G29</f>
        <v>2056464.574404539</v>
      </c>
      <c r="D19" s="139">
        <f>ROUND((C19)*'1.5'!I53,0)</f>
        <v>1981781</v>
      </c>
      <c r="E19" s="182">
        <v>1</v>
      </c>
      <c r="F19" s="139">
        <f>ROUND(D19*E19,0)</f>
        <v>1981781</v>
      </c>
    </row>
    <row r="20" spans="1:6" ht="12.75">
      <c r="A20" s="14" t="s">
        <v>38</v>
      </c>
      <c r="B20" s="10"/>
      <c r="C20" s="12"/>
      <c r="D20" s="12"/>
      <c r="E20" s="44"/>
      <c r="F20" s="16"/>
    </row>
    <row r="21" spans="1:6" ht="12.75">
      <c r="A21" s="14">
        <f>A19+1</f>
        <v>3</v>
      </c>
      <c r="B21" s="10" t="s">
        <v>327</v>
      </c>
      <c r="C21" s="12">
        <f>SUM(C17:C20)</f>
        <v>6056464.57440454</v>
      </c>
      <c r="D21" s="12">
        <f>SUM(D17:D20)</f>
        <v>5836514</v>
      </c>
      <c r="E21" s="10"/>
      <c r="F21" s="12">
        <f>SUM(F17:F20)</f>
        <v>5451041</v>
      </c>
    </row>
    <row r="22" spans="1:6" ht="12.75">
      <c r="A22" s="14"/>
      <c r="B22" s="10"/>
      <c r="C22" s="12"/>
      <c r="D22" s="12"/>
      <c r="E22" s="10"/>
      <c r="F22" s="12"/>
    </row>
    <row r="23" spans="1:6" ht="12.75">
      <c r="A23" s="14">
        <f>A21+1</f>
        <v>4</v>
      </c>
      <c r="B23" s="10" t="s">
        <v>350</v>
      </c>
      <c r="C23" s="10"/>
      <c r="D23" s="78"/>
      <c r="E23" s="10"/>
      <c r="F23" s="12">
        <v>-500000</v>
      </c>
    </row>
    <row r="24" ht="12" thickBot="1">
      <c r="F24" s="184"/>
    </row>
    <row r="25" spans="1:6" ht="13.5" thickTop="1">
      <c r="A25" s="14">
        <f>A23+1</f>
        <v>5</v>
      </c>
      <c r="B25" s="88" t="s">
        <v>351</v>
      </c>
      <c r="C25" s="10"/>
      <c r="D25" s="78"/>
      <c r="E25" s="10"/>
      <c r="F25" s="12">
        <f>F21+F23</f>
        <v>4951041</v>
      </c>
    </row>
    <row r="26" spans="1:6" ht="13.5" thickBot="1">
      <c r="A26" s="14"/>
      <c r="B26" s="175"/>
      <c r="C26" s="175"/>
      <c r="D26" s="78"/>
      <c r="E26" s="10"/>
      <c r="F26" s="16"/>
    </row>
    <row r="27" spans="1:6" ht="12.75">
      <c r="A27" s="151"/>
      <c r="B27" s="88"/>
      <c r="C27" s="126"/>
      <c r="D27" s="78"/>
      <c r="E27" s="10"/>
      <c r="F27" s="16"/>
    </row>
    <row r="28" spans="1:7" ht="12.75">
      <c r="A28" s="151" t="s">
        <v>332</v>
      </c>
      <c r="B28" s="10" t="s">
        <v>366</v>
      </c>
      <c r="C28" s="10"/>
      <c r="D28" s="95"/>
      <c r="E28" s="10"/>
      <c r="F28" s="16">
        <f>'1.4.2'!G29</f>
        <v>5.50494617</v>
      </c>
      <c r="G28" s="203" t="s">
        <v>168</v>
      </c>
    </row>
    <row r="29" spans="1:6" ht="12.75">
      <c r="A29" s="151" t="s">
        <v>333</v>
      </c>
      <c r="B29" s="88" t="s">
        <v>352</v>
      </c>
      <c r="C29" s="126"/>
      <c r="D29" s="78"/>
      <c r="E29" s="10"/>
      <c r="F29" s="37"/>
    </row>
    <row r="30" spans="1:6" ht="12.75">
      <c r="A30" s="14"/>
      <c r="B30" s="88" t="s">
        <v>353</v>
      </c>
      <c r="C30" s="10"/>
      <c r="D30" s="94"/>
      <c r="E30" s="10"/>
      <c r="F30" s="37"/>
    </row>
    <row r="31" spans="1:6" ht="12.75">
      <c r="A31" s="14"/>
      <c r="B31" s="10"/>
      <c r="C31" s="10"/>
      <c r="D31" s="94"/>
      <c r="E31" s="10"/>
      <c r="F31" s="37"/>
    </row>
    <row r="33" spans="1:6" ht="12.75">
      <c r="A33" s="14"/>
      <c r="B33" s="10"/>
      <c r="C33" s="10"/>
      <c r="D33" s="23"/>
      <c r="E33" s="10"/>
      <c r="F33" s="16"/>
    </row>
    <row r="34" spans="1:6" ht="14.25">
      <c r="A34" s="14"/>
      <c r="B34" s="10"/>
      <c r="C34" s="195" t="s">
        <v>345</v>
      </c>
      <c r="E34" s="10"/>
      <c r="F34" s="16"/>
    </row>
    <row r="35" spans="1:6" ht="12.75">
      <c r="A35" s="14"/>
      <c r="B35" s="10"/>
      <c r="C35" s="10"/>
      <c r="D35" s="19"/>
      <c r="E35" s="10"/>
      <c r="F35" s="16"/>
    </row>
    <row r="36" spans="1:9" ht="12.75">
      <c r="A36" s="14"/>
      <c r="B36" s="151" t="s">
        <v>221</v>
      </c>
      <c r="C36" s="151" t="s">
        <v>222</v>
      </c>
      <c r="D36" s="151" t="s">
        <v>223</v>
      </c>
      <c r="E36" s="151" t="s">
        <v>224</v>
      </c>
      <c r="F36" s="151" t="s">
        <v>229</v>
      </c>
      <c r="G36" s="151" t="s">
        <v>230</v>
      </c>
      <c r="H36" s="151"/>
      <c r="I36" s="151" t="s">
        <v>346</v>
      </c>
    </row>
    <row r="37" spans="1:9" ht="12.75">
      <c r="A37" s="14"/>
      <c r="B37" s="10"/>
      <c r="C37" s="10"/>
      <c r="D37" s="23"/>
      <c r="E37" s="10"/>
      <c r="F37" s="198" t="s">
        <v>343</v>
      </c>
      <c r="G37" s="146"/>
      <c r="H37" s="146"/>
      <c r="I37" s="142" t="s">
        <v>51</v>
      </c>
    </row>
    <row r="38" spans="1:9" ht="12.75">
      <c r="A38" s="122"/>
      <c r="B38" s="146"/>
      <c r="C38" s="146"/>
      <c r="D38" s="146"/>
      <c r="E38" s="199"/>
      <c r="F38" s="142" t="s">
        <v>344</v>
      </c>
      <c r="G38" s="142" t="s">
        <v>201</v>
      </c>
      <c r="H38" s="142"/>
      <c r="I38" s="142" t="s">
        <v>201</v>
      </c>
    </row>
    <row r="39" spans="1:9" ht="13.5" thickBot="1">
      <c r="A39" s="122"/>
      <c r="B39" s="200" t="s">
        <v>334</v>
      </c>
      <c r="C39" s="200" t="s">
        <v>354</v>
      </c>
      <c r="D39" s="200" t="s">
        <v>202</v>
      </c>
      <c r="E39" s="200" t="s">
        <v>355</v>
      </c>
      <c r="F39" s="200" t="s">
        <v>46</v>
      </c>
      <c r="G39" s="200" t="s">
        <v>46</v>
      </c>
      <c r="H39" s="200"/>
      <c r="I39" s="200" t="s">
        <v>46</v>
      </c>
    </row>
    <row r="40" ht="11.25">
      <c r="A40" s="122"/>
    </row>
    <row r="41" spans="1:9" ht="12.75">
      <c r="A41" s="147">
        <f>A25+1</f>
        <v>6</v>
      </c>
      <c r="B41" s="146" t="s">
        <v>335</v>
      </c>
      <c r="C41" s="185">
        <v>0.953653</v>
      </c>
      <c r="D41" s="186">
        <f>C41*D$58</f>
        <v>4721575.102773</v>
      </c>
      <c r="E41" s="187">
        <v>90210534</v>
      </c>
      <c r="F41" s="188">
        <f>ROUND(D41/E41,5)</f>
        <v>0.05234</v>
      </c>
      <c r="G41" s="188">
        <f>'1.6.1'!F41</f>
        <v>6.86511</v>
      </c>
      <c r="H41" s="202" t="s">
        <v>356</v>
      </c>
      <c r="I41" s="188">
        <f>F41+G41</f>
        <v>6.91745</v>
      </c>
    </row>
    <row r="42" spans="1:9" ht="12.75">
      <c r="A42" s="147"/>
      <c r="B42" s="146"/>
      <c r="C42" s="185"/>
      <c r="D42" s="186"/>
      <c r="E42" s="187"/>
      <c r="F42" s="188"/>
      <c r="G42" s="188"/>
      <c r="H42" s="188"/>
      <c r="I42" s="188"/>
    </row>
    <row r="43" spans="1:9" ht="12.75">
      <c r="A43" s="147">
        <f>A41+1</f>
        <v>7</v>
      </c>
      <c r="B43" s="146" t="s">
        <v>336</v>
      </c>
      <c r="C43" s="185">
        <v>0.014842</v>
      </c>
      <c r="D43" s="186">
        <f>C43*D$58</f>
        <v>73483.350522</v>
      </c>
      <c r="E43" s="187">
        <v>7234391</v>
      </c>
      <c r="F43" s="188">
        <f>ROUND(D43/E43,5)</f>
        <v>0.01016</v>
      </c>
      <c r="G43" s="188">
        <f>G41</f>
        <v>6.86511</v>
      </c>
      <c r="H43" s="202" t="s">
        <v>356</v>
      </c>
      <c r="I43" s="188">
        <f>F43+G43</f>
        <v>6.8752699999999995</v>
      </c>
    </row>
    <row r="44" spans="1:8" ht="12.75">
      <c r="A44" s="147"/>
      <c r="B44" s="146"/>
      <c r="C44" s="185"/>
      <c r="D44" s="186"/>
      <c r="E44" s="146"/>
      <c r="F44" s="146"/>
      <c r="G44" s="188"/>
      <c r="H44" s="188"/>
    </row>
    <row r="45" spans="1:9" ht="12.75">
      <c r="A45" s="147">
        <f>A43+1</f>
        <v>8</v>
      </c>
      <c r="B45" s="146" t="s">
        <v>337</v>
      </c>
      <c r="C45" s="185">
        <v>0.000803</v>
      </c>
      <c r="D45" s="186">
        <f>C45*D$58</f>
        <v>3975.685923</v>
      </c>
      <c r="E45" s="187">
        <v>0</v>
      </c>
      <c r="F45" s="188">
        <f>F43</f>
        <v>0.01016</v>
      </c>
      <c r="G45" s="188">
        <f>G41*1.5</f>
        <v>10.297664999999999</v>
      </c>
      <c r="H45" s="202" t="s">
        <v>356</v>
      </c>
      <c r="I45" s="188">
        <f>F45+G45</f>
        <v>10.307825</v>
      </c>
    </row>
    <row r="46" spans="1:8" ht="12.75">
      <c r="A46" s="147"/>
      <c r="B46" s="146"/>
      <c r="C46" s="185"/>
      <c r="D46" s="186"/>
      <c r="E46" s="187"/>
      <c r="F46" s="188"/>
      <c r="G46" s="188"/>
      <c r="H46" s="188"/>
    </row>
    <row r="47" spans="1:9" ht="12.75">
      <c r="A47" s="147">
        <f>A45+1</f>
        <v>9</v>
      </c>
      <c r="B47" s="146" t="s">
        <v>338</v>
      </c>
      <c r="C47" s="185"/>
      <c r="D47" s="186"/>
      <c r="E47" s="187"/>
      <c r="F47" s="188">
        <f>F43</f>
        <v>0.01016</v>
      </c>
      <c r="G47" s="188">
        <f>G41</f>
        <v>6.86511</v>
      </c>
      <c r="H47" s="202" t="s">
        <v>356</v>
      </c>
      <c r="I47" s="188">
        <f>F47+G47</f>
        <v>6.8752699999999995</v>
      </c>
    </row>
    <row r="48" spans="1:8" ht="12.75">
      <c r="A48" s="147"/>
      <c r="B48" s="146"/>
      <c r="C48" s="185"/>
      <c r="D48" s="186"/>
      <c r="E48" s="187"/>
      <c r="F48" s="188"/>
      <c r="G48" s="188"/>
      <c r="H48" s="188"/>
    </row>
    <row r="49" spans="1:9" ht="12.75">
      <c r="A49" s="147">
        <f>A47+1</f>
        <v>10</v>
      </c>
      <c r="B49" s="146" t="s">
        <v>174</v>
      </c>
      <c r="C49" s="185"/>
      <c r="D49" s="186"/>
      <c r="E49" s="187"/>
      <c r="F49" s="188">
        <f>F43</f>
        <v>0.01016</v>
      </c>
      <c r="G49" s="188">
        <f>G41</f>
        <v>6.86511</v>
      </c>
      <c r="H49" s="202" t="s">
        <v>356</v>
      </c>
      <c r="I49" s="188">
        <f>F49+G49</f>
        <v>6.8752699999999995</v>
      </c>
    </row>
    <row r="50" spans="1:6" ht="12.75">
      <c r="A50" s="147"/>
      <c r="B50" s="146"/>
      <c r="C50" s="185"/>
      <c r="D50" s="186"/>
      <c r="E50" s="146"/>
      <c r="F50" s="146"/>
    </row>
    <row r="51" spans="1:11" ht="12.75">
      <c r="A51" s="147">
        <f>A49+1</f>
        <v>11</v>
      </c>
      <c r="B51" s="146" t="s">
        <v>339</v>
      </c>
      <c r="C51" s="185">
        <v>0.004356</v>
      </c>
      <c r="D51" s="186">
        <f>C51*D$58</f>
        <v>21566.734596</v>
      </c>
      <c r="E51" s="187">
        <v>1902405</v>
      </c>
      <c r="F51" s="188">
        <f>ROUND(D51/E51,5)</f>
        <v>0.01134</v>
      </c>
      <c r="G51" s="188" t="s">
        <v>358</v>
      </c>
      <c r="I51" s="188">
        <f>F51</f>
        <v>0.01134</v>
      </c>
      <c r="K51" s="204"/>
    </row>
    <row r="52" spans="1:6" ht="12.75">
      <c r="A52" s="147"/>
      <c r="B52" s="146"/>
      <c r="C52" s="185"/>
      <c r="D52" s="186"/>
      <c r="E52" s="146"/>
      <c r="F52" s="146"/>
    </row>
    <row r="53" spans="1:11" ht="12.75">
      <c r="A53" s="147">
        <f>A51+1</f>
        <v>12</v>
      </c>
      <c r="B53" s="146" t="s">
        <v>340</v>
      </c>
      <c r="C53" s="185">
        <v>0.00931</v>
      </c>
      <c r="D53" s="186">
        <f>C53*D$58</f>
        <v>46094.19171000001</v>
      </c>
      <c r="E53" s="187">
        <v>6833002</v>
      </c>
      <c r="F53" s="188">
        <f>ROUND(D53/E53,5)</f>
        <v>0.00675</v>
      </c>
      <c r="G53" s="188">
        <v>0.00718</v>
      </c>
      <c r="H53" s="202" t="s">
        <v>357</v>
      </c>
      <c r="I53" s="188">
        <f>F53+G53</f>
        <v>0.01393</v>
      </c>
      <c r="J53" s="204"/>
      <c r="K53" s="204"/>
    </row>
    <row r="54" spans="1:6" ht="12.75">
      <c r="A54" s="147"/>
      <c r="B54" s="146"/>
      <c r="C54" s="185"/>
      <c r="D54" s="186"/>
      <c r="E54" s="187"/>
      <c r="F54" s="146"/>
    </row>
    <row r="55" spans="1:11" ht="12.75">
      <c r="A55" s="147">
        <f>A53+1</f>
        <v>13</v>
      </c>
      <c r="B55" s="146" t="s">
        <v>341</v>
      </c>
      <c r="C55" s="185">
        <v>0.017036</v>
      </c>
      <c r="D55" s="186">
        <f>C55*D$58</f>
        <v>84345.934476</v>
      </c>
      <c r="E55" s="187">
        <v>19354630</v>
      </c>
      <c r="F55" s="188">
        <f>ROUND(D55/E55,5)</f>
        <v>0.00436</v>
      </c>
      <c r="G55" s="188">
        <v>0.00464</v>
      </c>
      <c r="H55" s="202" t="s">
        <v>357</v>
      </c>
      <c r="I55" s="188">
        <f>F55+G55</f>
        <v>0.009000000000000001</v>
      </c>
      <c r="J55" s="204"/>
      <c r="K55" s="204"/>
    </row>
    <row r="56" spans="1:9" ht="13.5" thickBot="1">
      <c r="A56" s="147"/>
      <c r="B56" s="146"/>
      <c r="C56" s="191"/>
      <c r="D56" s="192"/>
      <c r="E56" s="193"/>
      <c r="F56" s="194"/>
      <c r="G56" s="194"/>
      <c r="H56" s="194"/>
      <c r="I56" s="194"/>
    </row>
    <row r="57" spans="1:6" ht="13.5" thickTop="1">
      <c r="A57" s="147"/>
      <c r="B57" s="146"/>
      <c r="C57" s="189"/>
      <c r="D57" s="186"/>
      <c r="E57" s="190"/>
      <c r="F57" s="146"/>
    </row>
    <row r="58" spans="1:6" ht="12.75">
      <c r="A58" s="147">
        <f>A55+1</f>
        <v>14</v>
      </c>
      <c r="B58" s="146" t="s">
        <v>342</v>
      </c>
      <c r="C58" s="189">
        <f>SUM(C41:C55)</f>
        <v>1</v>
      </c>
      <c r="D58" s="19">
        <f>F25</f>
        <v>4951041</v>
      </c>
      <c r="E58" s="187">
        <f>SUM(E41:E55)</f>
        <v>125534962</v>
      </c>
      <c r="F58" s="146"/>
    </row>
    <row r="61" spans="2:3" ht="13.5" thickBot="1">
      <c r="B61" s="175"/>
      <c r="C61" s="175"/>
    </row>
    <row r="63" spans="1:2" ht="12.75">
      <c r="A63" s="147" t="s">
        <v>359</v>
      </c>
      <c r="B63" s="146" t="s">
        <v>361</v>
      </c>
    </row>
    <row r="64" spans="1:2" ht="12.75">
      <c r="A64" s="147" t="s">
        <v>360</v>
      </c>
      <c r="B64" s="146" t="s">
        <v>362</v>
      </c>
    </row>
    <row r="65" spans="1:2" ht="12.75">
      <c r="A65" s="147" t="s">
        <v>356</v>
      </c>
      <c r="B65" s="146" t="s">
        <v>363</v>
      </c>
    </row>
    <row r="66" spans="1:2" ht="12.75">
      <c r="A66" s="147" t="s">
        <v>357</v>
      </c>
      <c r="B66" s="146" t="s">
        <v>364</v>
      </c>
    </row>
  </sheetData>
  <printOptions/>
  <pageMargins left="0.79" right="0.25" top="0.41" bottom="0.65" header="0.21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R95"/>
  <sheetViews>
    <sheetView tabSelected="1" workbookViewId="0" topLeftCell="A1">
      <selection activeCell="H42" sqref="H42"/>
    </sheetView>
  </sheetViews>
  <sheetFormatPr defaultColWidth="9.8515625" defaultRowHeight="12"/>
  <cols>
    <col min="1" max="1" width="6.7109375" style="0" customWidth="1"/>
    <col min="2" max="2" width="13.7109375" style="0" customWidth="1"/>
    <col min="3" max="3" width="10.421875" style="0" customWidth="1"/>
    <col min="4" max="4" width="16.00390625" style="0" customWidth="1"/>
    <col min="5" max="5" width="16.8515625" style="0" customWidth="1"/>
    <col min="6" max="6" width="15.00390625" style="0" customWidth="1"/>
    <col min="8" max="8" width="3.8515625" style="0" customWidth="1"/>
    <col min="10" max="10" width="2.8515625" style="0" customWidth="1"/>
    <col min="11" max="11" width="8.8515625" style="0" customWidth="1"/>
  </cols>
  <sheetData>
    <row r="1" spans="1:18" ht="12.75" customHeight="1">
      <c r="A1" s="10"/>
      <c r="B1" s="10" t="s">
        <v>38</v>
      </c>
      <c r="C1" s="10"/>
      <c r="D1" s="10"/>
      <c r="E1" s="10"/>
      <c r="F1" s="10"/>
      <c r="G1" s="10"/>
      <c r="H1" s="10"/>
      <c r="I1" s="10"/>
      <c r="J1" s="11" t="s">
        <v>37</v>
      </c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206" t="str">
        <f>'1.2'!A2</f>
        <v>Docket No. 06-057-01</v>
      </c>
      <c r="B2" s="207"/>
      <c r="C2" s="207"/>
      <c r="D2" s="207"/>
      <c r="E2" s="207"/>
      <c r="F2" s="207"/>
      <c r="G2" s="207"/>
      <c r="H2" s="207"/>
      <c r="I2" s="207"/>
      <c r="J2" s="207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393</v>
      </c>
      <c r="K3" s="2"/>
      <c r="L3" s="2"/>
      <c r="M3" s="2"/>
      <c r="N3" s="2"/>
      <c r="O3" s="2"/>
      <c r="P3" s="2"/>
      <c r="Q3" s="2"/>
      <c r="R3" s="2"/>
    </row>
    <row r="4" spans="1:1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"/>
      <c r="L4" s="2"/>
      <c r="M4" s="2"/>
      <c r="N4" s="2"/>
      <c r="O4" s="2"/>
      <c r="P4" s="2"/>
      <c r="Q4" s="2"/>
      <c r="R4" s="2"/>
    </row>
    <row r="5" spans="1:18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  <c r="L5" s="2"/>
      <c r="M5" s="2"/>
      <c r="N5" s="2"/>
      <c r="O5" s="2"/>
      <c r="P5" s="2"/>
      <c r="Q5" s="2"/>
      <c r="R5" s="2"/>
    </row>
    <row r="6" spans="1:18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"/>
      <c r="L6" s="2"/>
      <c r="M6" s="2"/>
      <c r="N6" s="2"/>
      <c r="O6" s="2"/>
      <c r="P6" s="2"/>
      <c r="Q6" s="2"/>
      <c r="R6" s="2"/>
    </row>
    <row r="7" spans="1:18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2"/>
      <c r="L8" s="2"/>
      <c r="M8" s="2"/>
      <c r="N8" s="2"/>
      <c r="O8" s="2"/>
      <c r="P8" s="2"/>
      <c r="Q8" s="2"/>
      <c r="R8" s="2"/>
    </row>
    <row r="9" spans="1:18" ht="12.75" customHeight="1">
      <c r="A9" s="10"/>
      <c r="B9" s="10"/>
      <c r="C9" s="10"/>
      <c r="D9" s="174" t="s">
        <v>317</v>
      </c>
      <c r="F9" s="10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</row>
    <row r="10" spans="1:18" ht="12.75" customHeight="1">
      <c r="A10" s="10"/>
      <c r="B10" s="10"/>
      <c r="C10" s="10"/>
      <c r="D10" s="181" t="s">
        <v>318</v>
      </c>
      <c r="F10" s="10"/>
      <c r="G10" s="10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</row>
    <row r="11" spans="1:18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2"/>
      <c r="L11" s="2"/>
      <c r="M11" s="2"/>
      <c r="N11" s="2"/>
      <c r="O11" s="2"/>
      <c r="P11" s="2"/>
      <c r="Q11" s="2"/>
      <c r="R11" s="2"/>
    </row>
    <row r="12" spans="1:18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2"/>
      <c r="L12" s="2"/>
      <c r="M12" s="2"/>
      <c r="N12" s="2"/>
      <c r="O12" s="2"/>
      <c r="P12" s="2"/>
      <c r="Q12" s="2"/>
      <c r="R12" s="2"/>
    </row>
    <row r="13" spans="1:18" ht="12.75" customHeight="1">
      <c r="A13" s="10"/>
      <c r="B13" s="151" t="s">
        <v>221</v>
      </c>
      <c r="C13" s="151" t="s">
        <v>222</v>
      </c>
      <c r="D13" s="151" t="s">
        <v>223</v>
      </c>
      <c r="E13" s="151" t="s">
        <v>224</v>
      </c>
      <c r="F13" s="151" t="s">
        <v>229</v>
      </c>
      <c r="G13" s="151" t="s">
        <v>230</v>
      </c>
      <c r="H13" s="10"/>
      <c r="I13" s="10"/>
      <c r="J13" s="10"/>
      <c r="K13" s="2"/>
      <c r="L13" s="2"/>
      <c r="M13" s="2"/>
      <c r="N13" s="2"/>
      <c r="O13" s="2"/>
      <c r="P13" s="2"/>
      <c r="Q13" s="2"/>
      <c r="R13" s="2"/>
    </row>
    <row r="14" spans="1:18" ht="12.75" customHeight="1">
      <c r="A14" s="10"/>
      <c r="B14" s="10"/>
      <c r="C14" s="10"/>
      <c r="D14" s="10"/>
      <c r="E14" s="14" t="s">
        <v>183</v>
      </c>
      <c r="F14" s="14" t="s">
        <v>186</v>
      </c>
      <c r="G14" s="10"/>
      <c r="H14" s="10"/>
      <c r="I14" s="10"/>
      <c r="J14" s="10"/>
      <c r="K14" s="2"/>
      <c r="L14" s="2"/>
      <c r="M14" s="2"/>
      <c r="N14" s="2"/>
      <c r="O14" s="2"/>
      <c r="P14" s="2"/>
      <c r="Q14" s="2"/>
      <c r="R14" s="2"/>
    </row>
    <row r="15" spans="1:18" ht="12.75" customHeight="1">
      <c r="A15" s="10"/>
      <c r="B15" s="14" t="s">
        <v>46</v>
      </c>
      <c r="C15" s="10"/>
      <c r="D15" s="14" t="s">
        <v>184</v>
      </c>
      <c r="E15" s="14" t="s">
        <v>185</v>
      </c>
      <c r="F15" s="14" t="s">
        <v>311</v>
      </c>
      <c r="G15" s="10"/>
      <c r="H15" s="10"/>
      <c r="I15" s="10"/>
      <c r="J15" s="10"/>
      <c r="K15" s="2"/>
      <c r="L15" s="2"/>
      <c r="M15" s="2"/>
      <c r="N15" s="2"/>
      <c r="O15" s="2"/>
      <c r="P15" s="2" t="s">
        <v>206</v>
      </c>
      <c r="Q15" s="2"/>
      <c r="R15" s="2" t="s">
        <v>207</v>
      </c>
    </row>
    <row r="16" spans="1:18" ht="12.75" customHeight="1" thickBot="1">
      <c r="A16" s="10"/>
      <c r="B16" s="166" t="s">
        <v>187</v>
      </c>
      <c r="C16" s="166" t="s">
        <v>188</v>
      </c>
      <c r="D16" s="166" t="s">
        <v>189</v>
      </c>
      <c r="E16" s="178" t="s">
        <v>210</v>
      </c>
      <c r="F16" s="166" t="s">
        <v>46</v>
      </c>
      <c r="G16" s="166" t="s">
        <v>190</v>
      </c>
      <c r="H16" s="10"/>
      <c r="I16" s="10"/>
      <c r="J16" s="10"/>
      <c r="K16" s="2"/>
      <c r="L16" s="2"/>
      <c r="M16" s="2"/>
      <c r="N16" s="2"/>
      <c r="O16" s="2"/>
      <c r="P16" s="2"/>
      <c r="Q16" s="2"/>
      <c r="R16" s="2"/>
    </row>
    <row r="17" spans="1:18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2"/>
      <c r="L17" s="2"/>
      <c r="M17" s="2"/>
      <c r="N17" s="2"/>
      <c r="O17" s="2"/>
      <c r="P17" s="2"/>
      <c r="Q17" s="2"/>
      <c r="R17" s="2"/>
    </row>
    <row r="18" spans="1:18" ht="12.75" customHeight="1">
      <c r="A18" s="10">
        <v>1</v>
      </c>
      <c r="B18" s="14" t="s">
        <v>166</v>
      </c>
      <c r="C18" s="10" t="s">
        <v>75</v>
      </c>
      <c r="D18" s="84">
        <v>18.8</v>
      </c>
      <c r="E18" s="67">
        <f>ROUND((+D18*F$52)+5,2)</f>
        <v>211.13</v>
      </c>
      <c r="F18" s="67">
        <f>ROUND((+D18*F$47)+5,2)</f>
        <v>194.1</v>
      </c>
      <c r="G18" s="67">
        <f aca="true" t="shared" si="0" ref="G18:G29">F18-E18</f>
        <v>-17.03</v>
      </c>
      <c r="H18" s="10"/>
      <c r="I18" s="10"/>
      <c r="J18" s="10"/>
      <c r="K18" s="2"/>
      <c r="L18" s="2"/>
      <c r="M18" s="2"/>
      <c r="N18" s="2"/>
      <c r="O18" s="2"/>
      <c r="P18" s="66">
        <v>18.8</v>
      </c>
      <c r="Q18" s="2">
        <f>ROUND(P18/$P$32*$Q$32,1)</f>
        <v>14.7</v>
      </c>
      <c r="R18" s="2">
        <v>14.8</v>
      </c>
    </row>
    <row r="19" spans="1:18" ht="12.75" customHeight="1">
      <c r="A19" s="10">
        <f>A18+1</f>
        <v>2</v>
      </c>
      <c r="B19" s="10"/>
      <c r="C19" s="10" t="s">
        <v>76</v>
      </c>
      <c r="D19" s="84">
        <v>16.5</v>
      </c>
      <c r="E19" s="67">
        <f>ROUND((+D19*F$52)+5,2)</f>
        <v>185.91</v>
      </c>
      <c r="F19" s="67">
        <f>ROUND((+D19*F$47)+5,2)</f>
        <v>170.96</v>
      </c>
      <c r="G19" s="68">
        <f t="shared" si="0"/>
        <v>-14.949999999999989</v>
      </c>
      <c r="H19" s="10"/>
      <c r="I19" s="10"/>
      <c r="J19" s="10"/>
      <c r="K19" s="2"/>
      <c r="L19" s="2"/>
      <c r="M19" s="2"/>
      <c r="N19" s="2"/>
      <c r="O19" s="2"/>
      <c r="P19" s="66">
        <v>16.5</v>
      </c>
      <c r="Q19" s="2">
        <f aca="true" t="shared" si="1" ref="Q19:Q29">ROUND(P19/$P$32*$Q$32,1)</f>
        <v>12.9</v>
      </c>
      <c r="R19" s="2">
        <v>12.9</v>
      </c>
    </row>
    <row r="20" spans="1:18" ht="12.75" customHeight="1">
      <c r="A20" s="10">
        <f aca="true" t="shared" si="2" ref="A20:A29">A19+1</f>
        <v>3</v>
      </c>
      <c r="B20" s="10"/>
      <c r="C20" s="10" t="s">
        <v>77</v>
      </c>
      <c r="D20" s="84">
        <v>15</v>
      </c>
      <c r="E20" s="67">
        <f>ROUND((+D20*F$52)+5,2)</f>
        <v>169.47</v>
      </c>
      <c r="F20" s="67">
        <f>ROUND((+D20*F$47)+5,2)</f>
        <v>155.88</v>
      </c>
      <c r="G20" s="68">
        <f t="shared" si="0"/>
        <v>-13.590000000000003</v>
      </c>
      <c r="H20" s="10"/>
      <c r="I20" s="10"/>
      <c r="J20" s="10"/>
      <c r="K20" s="2"/>
      <c r="L20" s="2"/>
      <c r="M20" s="2"/>
      <c r="N20" s="2"/>
      <c r="O20" s="2"/>
      <c r="P20" s="66">
        <v>15</v>
      </c>
      <c r="Q20" s="2">
        <f t="shared" si="1"/>
        <v>11.7</v>
      </c>
      <c r="R20" s="2">
        <v>11.7</v>
      </c>
    </row>
    <row r="21" spans="1:18" ht="12.75" customHeight="1">
      <c r="A21" s="10">
        <f t="shared" si="2"/>
        <v>4</v>
      </c>
      <c r="B21" s="10"/>
      <c r="C21" s="10" t="s">
        <v>78</v>
      </c>
      <c r="D21" s="84">
        <v>11.2</v>
      </c>
      <c r="E21" s="67">
        <f aca="true" t="shared" si="3" ref="E21:E27">ROUND((+D21*F$54)+5,2)</f>
        <v>117.78</v>
      </c>
      <c r="F21" s="67">
        <f aca="true" t="shared" si="4" ref="F21:F27">ROUND((+D21*F$49)+5,2)</f>
        <v>107.68</v>
      </c>
      <c r="G21" s="68">
        <f t="shared" si="0"/>
        <v>-10.099999999999994</v>
      </c>
      <c r="H21" s="10"/>
      <c r="I21" s="10"/>
      <c r="J21" s="10"/>
      <c r="K21" s="2"/>
      <c r="L21" s="2"/>
      <c r="M21" s="2"/>
      <c r="N21" s="2"/>
      <c r="O21" s="2"/>
      <c r="P21" s="66">
        <v>11.2</v>
      </c>
      <c r="Q21" s="2">
        <f t="shared" si="1"/>
        <v>8.8</v>
      </c>
      <c r="R21" s="2">
        <v>8.8</v>
      </c>
    </row>
    <row r="22" spans="1:18" ht="12.75" customHeight="1">
      <c r="A22" s="10">
        <f t="shared" si="2"/>
        <v>5</v>
      </c>
      <c r="B22" s="10"/>
      <c r="C22" s="10" t="s">
        <v>79</v>
      </c>
      <c r="D22" s="84">
        <v>7.6</v>
      </c>
      <c r="E22" s="67">
        <f t="shared" si="3"/>
        <v>81.53</v>
      </c>
      <c r="F22" s="67">
        <f t="shared" si="4"/>
        <v>74.68</v>
      </c>
      <c r="G22" s="68">
        <f t="shared" si="0"/>
        <v>-6.849999999999994</v>
      </c>
      <c r="H22" s="10"/>
      <c r="I22" s="10"/>
      <c r="J22" s="10"/>
      <c r="K22" s="2"/>
      <c r="L22" s="2"/>
      <c r="M22" s="2"/>
      <c r="N22" s="2"/>
      <c r="O22" s="2"/>
      <c r="P22" s="66">
        <v>7.6</v>
      </c>
      <c r="Q22" s="2">
        <f t="shared" si="1"/>
        <v>5.9</v>
      </c>
      <c r="R22" s="2">
        <v>5.9</v>
      </c>
    </row>
    <row r="23" spans="1:18" ht="12.75" customHeight="1">
      <c r="A23" s="10">
        <f t="shared" si="2"/>
        <v>6</v>
      </c>
      <c r="B23" s="10"/>
      <c r="C23" s="10" t="s">
        <v>68</v>
      </c>
      <c r="D23" s="84">
        <v>4.4</v>
      </c>
      <c r="E23" s="67">
        <f t="shared" si="3"/>
        <v>49.31</v>
      </c>
      <c r="F23" s="67">
        <f t="shared" si="4"/>
        <v>45.34</v>
      </c>
      <c r="G23" s="68">
        <f t="shared" si="0"/>
        <v>-3.969999999999999</v>
      </c>
      <c r="H23" s="10"/>
      <c r="I23" s="10"/>
      <c r="J23" s="10"/>
      <c r="K23" s="2"/>
      <c r="L23" s="2"/>
      <c r="M23" s="2"/>
      <c r="N23" s="2"/>
      <c r="O23" s="2"/>
      <c r="P23" s="66">
        <v>4.4</v>
      </c>
      <c r="Q23" s="2">
        <f t="shared" si="1"/>
        <v>3.4</v>
      </c>
      <c r="R23" s="2">
        <v>3.4</v>
      </c>
    </row>
    <row r="24" spans="1:18" ht="12.75" customHeight="1">
      <c r="A24" s="10">
        <f t="shared" si="2"/>
        <v>7</v>
      </c>
      <c r="B24" s="10"/>
      <c r="C24" s="10" t="s">
        <v>69</v>
      </c>
      <c r="D24" s="84">
        <v>2.8</v>
      </c>
      <c r="E24" s="67">
        <f t="shared" si="3"/>
        <v>33.19</v>
      </c>
      <c r="F24" s="67">
        <f t="shared" si="4"/>
        <v>30.67</v>
      </c>
      <c r="G24" s="68">
        <f t="shared" si="0"/>
        <v>-2.519999999999996</v>
      </c>
      <c r="H24" s="10"/>
      <c r="I24" s="10"/>
      <c r="J24" s="10"/>
      <c r="K24" s="2"/>
      <c r="L24" s="2"/>
      <c r="M24" s="2"/>
      <c r="N24" s="2"/>
      <c r="O24" s="2"/>
      <c r="P24" s="66">
        <v>2.8</v>
      </c>
      <c r="Q24" s="2">
        <f t="shared" si="1"/>
        <v>2.2</v>
      </c>
      <c r="R24" s="2">
        <v>2.2</v>
      </c>
    </row>
    <row r="25" spans="1:18" ht="12.75" customHeight="1">
      <c r="A25" s="10">
        <f t="shared" si="2"/>
        <v>8</v>
      </c>
      <c r="B25" s="10"/>
      <c r="C25" s="10" t="s">
        <v>70</v>
      </c>
      <c r="D25" s="84">
        <v>2.6</v>
      </c>
      <c r="E25" s="67">
        <f t="shared" si="3"/>
        <v>31.18</v>
      </c>
      <c r="F25" s="67">
        <f t="shared" si="4"/>
        <v>28.84</v>
      </c>
      <c r="G25" s="68">
        <f t="shared" si="0"/>
        <v>-2.34</v>
      </c>
      <c r="H25" s="10"/>
      <c r="I25" s="10"/>
      <c r="J25" s="10"/>
      <c r="K25" s="2"/>
      <c r="L25" s="2"/>
      <c r="M25" s="2"/>
      <c r="N25" s="2"/>
      <c r="O25" s="2"/>
      <c r="P25" s="66">
        <v>2.6</v>
      </c>
      <c r="Q25" s="2">
        <f t="shared" si="1"/>
        <v>2</v>
      </c>
      <c r="R25" s="2">
        <v>2</v>
      </c>
    </row>
    <row r="26" spans="1:18" ht="12.75" customHeight="1">
      <c r="A26" s="10">
        <f t="shared" si="2"/>
        <v>9</v>
      </c>
      <c r="B26" s="10"/>
      <c r="C26" s="10" t="s">
        <v>71</v>
      </c>
      <c r="D26" s="84">
        <v>3.1</v>
      </c>
      <c r="E26" s="67">
        <f t="shared" si="3"/>
        <v>36.22</v>
      </c>
      <c r="F26" s="67">
        <f t="shared" si="4"/>
        <v>33.42</v>
      </c>
      <c r="G26" s="68">
        <f t="shared" si="0"/>
        <v>-2.799999999999997</v>
      </c>
      <c r="H26" s="10"/>
      <c r="I26" s="10"/>
      <c r="J26" s="10"/>
      <c r="K26" s="2"/>
      <c r="L26" s="2"/>
      <c r="M26" s="2"/>
      <c r="N26" s="2"/>
      <c r="O26" s="2"/>
      <c r="P26" s="66">
        <v>3.1</v>
      </c>
      <c r="Q26" s="2">
        <f t="shared" si="1"/>
        <v>2.4</v>
      </c>
      <c r="R26" s="2">
        <v>2.4</v>
      </c>
    </row>
    <row r="27" spans="1:18" ht="12.75" customHeight="1">
      <c r="A27" s="10">
        <f t="shared" si="2"/>
        <v>10</v>
      </c>
      <c r="B27" s="10"/>
      <c r="C27" s="10" t="s">
        <v>72</v>
      </c>
      <c r="D27" s="84">
        <v>5.8</v>
      </c>
      <c r="E27" s="67">
        <f t="shared" si="3"/>
        <v>63.4</v>
      </c>
      <c r="F27" s="67">
        <f t="shared" si="4"/>
        <v>58.17</v>
      </c>
      <c r="G27" s="68">
        <f t="shared" si="0"/>
        <v>-5.229999999999997</v>
      </c>
      <c r="H27" s="10"/>
      <c r="I27" s="10"/>
      <c r="J27" s="10"/>
      <c r="K27" s="2"/>
      <c r="L27" s="2"/>
      <c r="M27" s="2"/>
      <c r="N27" s="2"/>
      <c r="O27" s="2"/>
      <c r="P27" s="66">
        <v>5.8</v>
      </c>
      <c r="Q27" s="2">
        <f t="shared" si="1"/>
        <v>4.5</v>
      </c>
      <c r="R27" s="2">
        <v>4.5</v>
      </c>
    </row>
    <row r="28" spans="1:18" ht="12.75" customHeight="1">
      <c r="A28" s="10">
        <f t="shared" si="2"/>
        <v>11</v>
      </c>
      <c r="B28" s="10"/>
      <c r="C28" s="10" t="s">
        <v>73</v>
      </c>
      <c r="D28" s="84">
        <v>10.9</v>
      </c>
      <c r="E28" s="67">
        <f>ROUND((+D28*F$52)+5,2)</f>
        <v>124.51</v>
      </c>
      <c r="F28" s="67">
        <f>ROUND((+D28*F$47)+5,2)</f>
        <v>114.64</v>
      </c>
      <c r="G28" s="68">
        <f t="shared" si="0"/>
        <v>-9.870000000000005</v>
      </c>
      <c r="H28" s="10"/>
      <c r="I28" s="10"/>
      <c r="J28" s="10"/>
      <c r="K28" s="2"/>
      <c r="L28" s="2"/>
      <c r="M28" s="2"/>
      <c r="N28" s="2"/>
      <c r="O28" s="2"/>
      <c r="P28" s="66">
        <v>10.9</v>
      </c>
      <c r="Q28" s="2">
        <f t="shared" si="1"/>
        <v>8.5</v>
      </c>
      <c r="R28" s="2">
        <v>8.5</v>
      </c>
    </row>
    <row r="29" spans="1:18" ht="12.75" customHeight="1">
      <c r="A29" s="10">
        <f t="shared" si="2"/>
        <v>12</v>
      </c>
      <c r="B29" s="10"/>
      <c r="C29" s="10" t="s">
        <v>74</v>
      </c>
      <c r="D29" s="84">
        <v>16.3</v>
      </c>
      <c r="E29" s="67">
        <f>ROUND((+D29*F$52)+5,2)</f>
        <v>183.72</v>
      </c>
      <c r="F29" s="67">
        <f>ROUND((+D29*F$47)+5,2)</f>
        <v>168.95</v>
      </c>
      <c r="G29" s="68">
        <f t="shared" si="0"/>
        <v>-14.77000000000001</v>
      </c>
      <c r="H29" s="10"/>
      <c r="I29" s="10"/>
      <c r="J29" s="10"/>
      <c r="K29" s="2"/>
      <c r="L29" s="2"/>
      <c r="M29" s="2"/>
      <c r="N29" s="2"/>
      <c r="O29" s="2"/>
      <c r="P29" s="66">
        <v>16.3</v>
      </c>
      <c r="Q29" s="2">
        <f t="shared" si="1"/>
        <v>12.8</v>
      </c>
      <c r="R29" s="2">
        <v>12.9</v>
      </c>
    </row>
    <row r="30" spans="1:17" ht="12.75" customHeight="1" thickBot="1">
      <c r="A30" s="10"/>
      <c r="B30" s="10"/>
      <c r="C30" s="10"/>
      <c r="D30" s="179"/>
      <c r="E30" s="179"/>
      <c r="F30" s="179"/>
      <c r="G30" s="179"/>
      <c r="H30" s="10"/>
      <c r="I30" s="10"/>
      <c r="J30" s="10"/>
      <c r="K30" s="2"/>
      <c r="L30" s="2"/>
      <c r="M30" s="2"/>
      <c r="N30" s="2"/>
      <c r="O30" s="2"/>
      <c r="P30" s="68" t="s">
        <v>85</v>
      </c>
      <c r="Q30" s="2"/>
    </row>
    <row r="31" spans="1:18" ht="12.75" customHeight="1" thickTop="1">
      <c r="A31" s="10"/>
      <c r="B31" s="10"/>
      <c r="C31" s="10"/>
      <c r="D31" s="123"/>
      <c r="E31" s="123"/>
      <c r="F31" s="123"/>
      <c r="G31" s="180" t="s">
        <v>38</v>
      </c>
      <c r="H31" s="10"/>
      <c r="I31" s="10"/>
      <c r="J31" s="10"/>
      <c r="K31" s="2"/>
      <c r="L31" s="2"/>
      <c r="M31" s="2"/>
      <c r="N31" s="2"/>
      <c r="O31" s="2"/>
      <c r="P31" s="14"/>
      <c r="Q31" s="2"/>
      <c r="R31" s="2"/>
    </row>
    <row r="32" spans="1:18" ht="12.75" customHeight="1">
      <c r="A32" s="10">
        <f>A29+1</f>
        <v>13</v>
      </c>
      <c r="B32" s="10"/>
      <c r="C32" s="10" t="s">
        <v>51</v>
      </c>
      <c r="D32" s="31">
        <f>SUM(D18:D29)</f>
        <v>114.99999999999999</v>
      </c>
      <c r="E32" s="67">
        <f>SUM(E18:E29)</f>
        <v>1287.35</v>
      </c>
      <c r="F32" s="67">
        <f>SUM(F18:F29)</f>
        <v>1183.3300000000002</v>
      </c>
      <c r="G32" s="67">
        <f>F32-E32</f>
        <v>-104.01999999999975</v>
      </c>
      <c r="H32" s="10"/>
      <c r="I32" s="10"/>
      <c r="J32" s="10"/>
      <c r="K32" s="2"/>
      <c r="L32" s="2"/>
      <c r="M32" s="2"/>
      <c r="N32" s="2"/>
      <c r="O32" s="2"/>
      <c r="P32" s="17">
        <f>SUM(P18:P29)</f>
        <v>114.99999999999999</v>
      </c>
      <c r="Q32" s="2">
        <v>90</v>
      </c>
      <c r="R32" s="2">
        <f>SUM(R18:R29)</f>
        <v>90.00000000000001</v>
      </c>
    </row>
    <row r="33" spans="1:18" ht="12.75" customHeight="1">
      <c r="A33" s="10"/>
      <c r="B33" s="10"/>
      <c r="C33" s="10"/>
      <c r="D33" s="10"/>
      <c r="E33" s="37"/>
      <c r="F33" s="10"/>
      <c r="G33" s="10"/>
      <c r="H33" s="10"/>
      <c r="I33" s="10"/>
      <c r="J33" s="10"/>
      <c r="K33" s="2"/>
      <c r="L33" s="2"/>
      <c r="M33" s="2"/>
      <c r="N33" s="2"/>
      <c r="O33" s="2"/>
      <c r="P33" s="2"/>
      <c r="Q33" s="2"/>
      <c r="R33" s="2"/>
    </row>
    <row r="34" spans="1:18" ht="12.75" customHeight="1">
      <c r="A34" s="10"/>
      <c r="B34" s="10"/>
      <c r="C34" s="10"/>
      <c r="D34" s="10"/>
      <c r="E34" s="37"/>
      <c r="F34" s="10"/>
      <c r="G34" s="10"/>
      <c r="H34" s="10"/>
      <c r="I34" s="10"/>
      <c r="J34" s="10"/>
      <c r="K34" s="2"/>
      <c r="L34" s="2"/>
      <c r="M34" s="2"/>
      <c r="N34" s="2"/>
      <c r="O34" s="2"/>
      <c r="P34" s="2"/>
      <c r="Q34" s="2"/>
      <c r="R34" s="2"/>
    </row>
    <row r="35" spans="1:18" ht="12.75" customHeight="1">
      <c r="A35" s="10"/>
      <c r="B35" s="10"/>
      <c r="C35" s="10"/>
      <c r="D35" s="10"/>
      <c r="E35" s="37"/>
      <c r="F35" s="10"/>
      <c r="G35" s="10"/>
      <c r="H35" s="10"/>
      <c r="I35" s="10"/>
      <c r="J35" s="10"/>
      <c r="K35" s="2"/>
      <c r="L35" s="2"/>
      <c r="M35" s="2"/>
      <c r="N35" s="2"/>
      <c r="O35" s="2"/>
      <c r="P35" s="2"/>
      <c r="Q35" s="2"/>
      <c r="R35" s="2"/>
    </row>
    <row r="36" spans="1:18" ht="12.75" customHeight="1">
      <c r="A36" s="10"/>
      <c r="B36" s="10" t="s">
        <v>38</v>
      </c>
      <c r="C36" s="10"/>
      <c r="D36" s="10"/>
      <c r="E36" s="10"/>
      <c r="F36" s="10" t="s">
        <v>191</v>
      </c>
      <c r="G36" s="68">
        <f>ROUND(G32/E32*100,4)</f>
        <v>-8.0802</v>
      </c>
      <c r="H36" s="10" t="s">
        <v>192</v>
      </c>
      <c r="I36" s="10"/>
      <c r="J36" s="10"/>
      <c r="K36" s="2"/>
      <c r="L36" s="2"/>
      <c r="M36" s="2"/>
      <c r="N36" s="2"/>
      <c r="O36" s="2"/>
      <c r="P36" s="2"/>
      <c r="Q36" s="2"/>
      <c r="R36" s="2"/>
    </row>
    <row r="37" spans="1:18" ht="10.5" customHeight="1">
      <c r="A37" s="2"/>
      <c r="B37" s="2"/>
      <c r="C37" s="2"/>
      <c r="D37" s="2"/>
      <c r="E37" s="2"/>
      <c r="F37" s="2"/>
      <c r="G37" s="6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0.5" customHeight="1">
      <c r="A38" s="2"/>
      <c r="B38" s="2"/>
      <c r="C38" s="2"/>
      <c r="D38" s="2"/>
      <c r="E38" s="2"/>
      <c r="F38" s="2"/>
      <c r="G38" s="6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0.5" customHeight="1">
      <c r="A39" s="2"/>
      <c r="B39" s="2"/>
      <c r="C39" s="2"/>
      <c r="D39" s="2"/>
      <c r="E39" s="2"/>
      <c r="F39" s="2"/>
      <c r="G39" s="6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customHeight="1">
      <c r="A40" s="2"/>
      <c r="B40" s="2"/>
      <c r="C40" s="2"/>
      <c r="D40" s="2"/>
      <c r="E40" s="2"/>
      <c r="F40" s="2"/>
      <c r="G40" s="6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0.5" customHeight="1">
      <c r="A41" s="1"/>
      <c r="B41" s="1"/>
      <c r="C41" s="1"/>
      <c r="D41" s="1"/>
      <c r="E41" s="1"/>
      <c r="F41" s="1"/>
      <c r="G41" s="6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.5" customHeight="1">
      <c r="A42" s="1"/>
      <c r="B42" s="1"/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0.5" customHeight="1">
      <c r="A43" s="1"/>
      <c r="B43" s="1"/>
      <c r="C43" s="1"/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.5" customHeight="1">
      <c r="A44" s="1"/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0.5" customHeight="1">
      <c r="A45" s="1"/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0.5" customHeight="1">
      <c r="A46" s="1"/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0.5" customHeight="1">
      <c r="A47" s="2" t="s">
        <v>193</v>
      </c>
      <c r="B47" s="70"/>
      <c r="C47" s="2"/>
      <c r="D47" s="2"/>
      <c r="E47" s="2"/>
      <c r="F47" s="63">
        <v>10.058369999999998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0.5" customHeight="1">
      <c r="A48" s="2" t="s">
        <v>194</v>
      </c>
      <c r="B48" s="70"/>
      <c r="C48" s="2"/>
      <c r="D48" s="2"/>
      <c r="E48" s="2"/>
      <c r="F48" s="63">
        <v>8.841259999999998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0.5" customHeight="1">
      <c r="A49" s="2" t="s">
        <v>195</v>
      </c>
      <c r="B49" s="70"/>
      <c r="C49" s="2"/>
      <c r="D49" s="2"/>
      <c r="E49" s="2"/>
      <c r="F49" s="63">
        <v>9.167839999999998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0.5" customHeight="1">
      <c r="A50" s="2" t="s">
        <v>196</v>
      </c>
      <c r="B50" s="70"/>
      <c r="C50" s="2"/>
      <c r="D50" s="2"/>
      <c r="E50" s="2"/>
      <c r="F50" s="63">
        <v>8.065719999999999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0.5" customHeight="1">
      <c r="A51" s="2" t="s">
        <v>38</v>
      </c>
      <c r="B51" s="70"/>
      <c r="C51" s="2"/>
      <c r="D51" s="2"/>
      <c r="E51" s="2"/>
      <c r="F51" s="7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0.5" customHeight="1">
      <c r="A52" s="2" t="s">
        <v>197</v>
      </c>
      <c r="B52" s="70"/>
      <c r="C52" s="2"/>
      <c r="D52" s="2"/>
      <c r="E52" s="2"/>
      <c r="F52" s="71">
        <v>10.96449</v>
      </c>
      <c r="G52" s="6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0.5" customHeight="1">
      <c r="A53" s="2" t="s">
        <v>198</v>
      </c>
      <c r="B53" s="70"/>
      <c r="C53" s="2"/>
      <c r="D53" s="2"/>
      <c r="E53" s="2"/>
      <c r="F53" s="71">
        <v>9.74738</v>
      </c>
      <c r="G53" s="6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0.5" customHeight="1">
      <c r="A54" s="2" t="s">
        <v>199</v>
      </c>
      <c r="B54" s="70"/>
      <c r="C54" s="2"/>
      <c r="D54" s="2"/>
      <c r="E54" s="2"/>
      <c r="F54" s="71">
        <v>10.06954</v>
      </c>
      <c r="G54" s="6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0.5" customHeight="1">
      <c r="A55" s="2" t="s">
        <v>200</v>
      </c>
      <c r="B55" s="70"/>
      <c r="C55" s="2"/>
      <c r="D55" s="2"/>
      <c r="E55" s="2"/>
      <c r="F55" s="71">
        <v>8.967419999999999</v>
      </c>
      <c r="G55" s="6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0.5" customHeight="1">
      <c r="A63" s="2"/>
      <c r="B63" s="2"/>
      <c r="C63" s="2"/>
      <c r="D63" s="2"/>
      <c r="E63" s="41"/>
      <c r="F63" s="41"/>
      <c r="G63" s="41"/>
      <c r="H63" s="41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0.5" customHeight="1">
      <c r="A66" s="2"/>
      <c r="B66" s="2"/>
      <c r="C66" s="2"/>
      <c r="D66" s="72"/>
      <c r="E66" s="73"/>
      <c r="F66" s="73"/>
      <c r="G66" s="73"/>
      <c r="H66" s="74"/>
      <c r="I66" s="75"/>
      <c r="J66" s="2"/>
      <c r="K66" s="2"/>
      <c r="L66" s="2"/>
      <c r="M66" s="2"/>
      <c r="N66" s="2"/>
      <c r="O66" s="2"/>
      <c r="P66" s="2"/>
      <c r="Q66" s="2"/>
      <c r="R66" s="2"/>
    </row>
    <row r="67" spans="1:18" ht="10.5" customHeight="1">
      <c r="A67" s="2"/>
      <c r="B67" s="2"/>
      <c r="C67" s="2"/>
      <c r="D67" s="72"/>
      <c r="E67" s="73"/>
      <c r="F67" s="73"/>
      <c r="G67" s="73"/>
      <c r="H67" s="74"/>
      <c r="I67" s="75"/>
      <c r="J67" s="2"/>
      <c r="K67" s="2"/>
      <c r="L67" s="2"/>
      <c r="M67" s="2"/>
      <c r="N67" s="2"/>
      <c r="O67" s="2"/>
      <c r="P67" s="2"/>
      <c r="Q67" s="2"/>
      <c r="R67" s="2"/>
    </row>
    <row r="68" spans="1:18" ht="10.5" customHeight="1">
      <c r="A68" s="2"/>
      <c r="B68" s="2"/>
      <c r="C68" s="2"/>
      <c r="D68" s="72"/>
      <c r="E68" s="73"/>
      <c r="F68" s="73"/>
      <c r="G68" s="73"/>
      <c r="H68" s="74"/>
      <c r="I68" s="75"/>
      <c r="J68" s="2"/>
      <c r="K68" s="2"/>
      <c r="L68" s="2"/>
      <c r="M68" s="2"/>
      <c r="N68" s="2"/>
      <c r="O68" s="2"/>
      <c r="P68" s="2"/>
      <c r="Q68" s="2"/>
      <c r="R68" s="2"/>
    </row>
    <row r="69" spans="1:18" ht="10.5" customHeight="1">
      <c r="A69" s="2"/>
      <c r="B69" s="2"/>
      <c r="C69" s="2"/>
      <c r="D69" s="72"/>
      <c r="E69" s="73"/>
      <c r="F69" s="73"/>
      <c r="G69" s="73"/>
      <c r="H69" s="74"/>
      <c r="I69" s="75"/>
      <c r="J69" s="2"/>
      <c r="K69" s="2"/>
      <c r="L69" s="2"/>
      <c r="M69" s="2"/>
      <c r="N69" s="2"/>
      <c r="O69" s="2"/>
      <c r="P69" s="2"/>
      <c r="Q69" s="2"/>
      <c r="R69" s="2"/>
    </row>
    <row r="70" spans="1:18" ht="10.5" customHeight="1">
      <c r="A70" s="2"/>
      <c r="B70" s="2"/>
      <c r="C70" s="2"/>
      <c r="D70" s="72"/>
      <c r="E70" s="73"/>
      <c r="F70" s="73"/>
      <c r="G70" s="73"/>
      <c r="H70" s="74"/>
      <c r="I70" s="75"/>
      <c r="J70" s="2"/>
      <c r="K70" s="2"/>
      <c r="L70" s="2"/>
      <c r="M70" s="2"/>
      <c r="N70" s="2"/>
      <c r="O70" s="2"/>
      <c r="P70" s="2"/>
      <c r="Q70" s="2"/>
      <c r="R70" s="2"/>
    </row>
    <row r="71" spans="1:18" ht="10.5" customHeight="1">
      <c r="A71" s="2"/>
      <c r="B71" s="2"/>
      <c r="C71" s="2"/>
      <c r="D71" s="72"/>
      <c r="E71" s="73"/>
      <c r="F71" s="73"/>
      <c r="G71" s="73"/>
      <c r="H71" s="74"/>
      <c r="I71" s="75"/>
      <c r="J71" s="2"/>
      <c r="K71" s="2"/>
      <c r="L71" s="2"/>
      <c r="M71" s="2"/>
      <c r="N71" s="2"/>
      <c r="O71" s="2"/>
      <c r="P71" s="2"/>
      <c r="Q71" s="2"/>
      <c r="R71" s="2"/>
    </row>
    <row r="72" spans="1:18" ht="10.5" customHeight="1">
      <c r="A72" s="2"/>
      <c r="B72" s="2"/>
      <c r="C72" s="2"/>
      <c r="D72" s="72"/>
      <c r="E72" s="73"/>
      <c r="F72" s="73"/>
      <c r="G72" s="73"/>
      <c r="H72" s="74"/>
      <c r="I72" s="75"/>
      <c r="J72" s="2"/>
      <c r="K72" s="2"/>
      <c r="L72" s="2"/>
      <c r="M72" s="2"/>
      <c r="N72" s="2"/>
      <c r="O72" s="2"/>
      <c r="P72" s="2"/>
      <c r="Q72" s="2"/>
      <c r="R72" s="2"/>
    </row>
    <row r="73" spans="1:18" ht="10.5" customHeight="1">
      <c r="A73" s="2"/>
      <c r="B73" s="2"/>
      <c r="C73" s="2"/>
      <c r="D73" s="72"/>
      <c r="E73" s="73"/>
      <c r="F73" s="73"/>
      <c r="G73" s="73"/>
      <c r="H73" s="74"/>
      <c r="I73" s="75"/>
      <c r="J73" s="2"/>
      <c r="K73" s="2"/>
      <c r="L73" s="2"/>
      <c r="M73" s="2"/>
      <c r="N73" s="2"/>
      <c r="O73" s="2"/>
      <c r="P73" s="2"/>
      <c r="Q73" s="2"/>
      <c r="R73" s="2"/>
    </row>
    <row r="74" spans="1:18" ht="10.5" customHeight="1">
      <c r="A74" s="2"/>
      <c r="B74" s="2"/>
      <c r="C74" s="2"/>
      <c r="D74" s="72"/>
      <c r="E74" s="73"/>
      <c r="F74" s="73"/>
      <c r="G74" s="73"/>
      <c r="H74" s="74"/>
      <c r="I74" s="75"/>
      <c r="J74" s="2"/>
      <c r="K74" s="2"/>
      <c r="L74" s="2"/>
      <c r="M74" s="2"/>
      <c r="N74" s="2"/>
      <c r="O74" s="2"/>
      <c r="P74" s="2"/>
      <c r="Q74" s="2"/>
      <c r="R74" s="2"/>
    </row>
    <row r="75" spans="1:18" ht="10.5" customHeight="1">
      <c r="A75" s="2"/>
      <c r="B75" s="2"/>
      <c r="C75" s="2"/>
      <c r="D75" s="72"/>
      <c r="E75" s="73"/>
      <c r="F75" s="73"/>
      <c r="G75" s="73"/>
      <c r="H75" s="74"/>
      <c r="I75" s="75"/>
      <c r="J75" s="2"/>
      <c r="K75" s="2"/>
      <c r="L75" s="2"/>
      <c r="M75" s="2"/>
      <c r="N75" s="2"/>
      <c r="O75" s="2"/>
      <c r="P75" s="2"/>
      <c r="Q75" s="2"/>
      <c r="R75" s="2"/>
    </row>
    <row r="76" spans="1:18" ht="10.5" customHeight="1">
      <c r="A76" s="2"/>
      <c r="B76" s="2"/>
      <c r="C76" s="2"/>
      <c r="D76" s="72"/>
      <c r="E76" s="73"/>
      <c r="F76" s="73"/>
      <c r="G76" s="73"/>
      <c r="H76" s="74"/>
      <c r="I76" s="75"/>
      <c r="J76" s="2"/>
      <c r="K76" s="2"/>
      <c r="L76" s="2"/>
      <c r="M76" s="2"/>
      <c r="N76" s="2"/>
      <c r="O76" s="2"/>
      <c r="P76" s="2"/>
      <c r="Q76" s="2"/>
      <c r="R76" s="2"/>
    </row>
    <row r="77" spans="1:18" ht="10.5" customHeight="1">
      <c r="A77" s="2"/>
      <c r="B77" s="2"/>
      <c r="C77" s="2"/>
      <c r="D77" s="72"/>
      <c r="E77" s="73"/>
      <c r="F77" s="73"/>
      <c r="G77" s="73"/>
      <c r="H77" s="74"/>
      <c r="I77" s="75"/>
      <c r="J77" s="2"/>
      <c r="K77" s="2"/>
      <c r="L77" s="2"/>
      <c r="M77" s="2"/>
      <c r="N77" s="2"/>
      <c r="O77" s="2"/>
      <c r="P77" s="2"/>
      <c r="Q77" s="2"/>
      <c r="R77" s="2"/>
    </row>
    <row r="78" spans="1:18" ht="10.5" customHeight="1">
      <c r="A78" s="2"/>
      <c r="B78" s="2"/>
      <c r="C78" s="2"/>
      <c r="D78" s="76"/>
      <c r="E78" s="73"/>
      <c r="F78" s="73"/>
      <c r="G78" s="73"/>
      <c r="H78" s="73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0.5" customHeight="1">
      <c r="A79" s="2"/>
      <c r="B79" s="2"/>
      <c r="C79" s="2"/>
      <c r="D79" s="41"/>
      <c r="E79" s="73"/>
      <c r="F79" s="73"/>
      <c r="G79" s="2"/>
      <c r="H79" s="75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0.5" customHeight="1">
      <c r="A80" s="2"/>
      <c r="B80" s="2"/>
      <c r="C80" s="2"/>
      <c r="D80" s="77"/>
      <c r="E80" s="73"/>
      <c r="F80" s="73"/>
      <c r="G80" s="73"/>
      <c r="H80" s="74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mergeCells count="1">
    <mergeCell ref="A2:J2"/>
  </mergeCells>
  <printOptions/>
  <pageMargins left="1.25" right="0.25" top="0.6" bottom="0.25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R95"/>
  <sheetViews>
    <sheetView workbookViewId="0" topLeftCell="A1">
      <selection activeCell="G24" sqref="G24"/>
    </sheetView>
  </sheetViews>
  <sheetFormatPr defaultColWidth="9.8515625" defaultRowHeight="12"/>
  <cols>
    <col min="1" max="1" width="2.8515625" style="0" customWidth="1"/>
    <col min="2" max="2" width="26.421875" style="0" customWidth="1"/>
    <col min="3" max="3" width="14.00390625" style="0" customWidth="1"/>
    <col min="4" max="4" width="3.8515625" style="0" customWidth="1"/>
    <col min="5" max="5" width="12.7109375" style="0" customWidth="1"/>
    <col min="6" max="6" width="3.28125" style="0" customWidth="1"/>
    <col min="7" max="7" width="15.00390625" style="0" bestFit="1" customWidth="1"/>
    <col min="8" max="8" width="11.8515625" style="0" customWidth="1"/>
    <col min="9" max="9" width="2.8515625" style="0" customWidth="1"/>
  </cols>
  <sheetData>
    <row r="1" spans="1:18" ht="12" customHeight="1">
      <c r="A1" s="10"/>
      <c r="B1" s="10"/>
      <c r="C1" s="10"/>
      <c r="D1" s="10"/>
      <c r="E1" s="10"/>
      <c r="F1" s="10"/>
      <c r="G1" s="10"/>
      <c r="H1" s="10"/>
      <c r="I1" s="11" t="s">
        <v>37</v>
      </c>
      <c r="J1" s="2"/>
      <c r="K1" s="2"/>
      <c r="L1" s="2"/>
      <c r="M1" s="2"/>
      <c r="N1" s="2"/>
      <c r="O1" s="2"/>
      <c r="P1" s="2"/>
      <c r="Q1" s="2"/>
      <c r="R1" s="2"/>
    </row>
    <row r="2" spans="1:18" ht="12" customHeight="1">
      <c r="A2" s="206" t="str">
        <f>"Docket No. 06-057-"&amp;+Mac!A1</f>
        <v>Docket No. 06-057-01</v>
      </c>
      <c r="B2" s="207"/>
      <c r="C2" s="207"/>
      <c r="D2" s="207"/>
      <c r="E2" s="207"/>
      <c r="F2" s="207"/>
      <c r="G2" s="207"/>
      <c r="H2" s="207"/>
      <c r="I2" s="207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10"/>
      <c r="B3" s="10"/>
      <c r="C3" s="10"/>
      <c r="D3" s="10"/>
      <c r="E3" s="10"/>
      <c r="F3" s="10"/>
      <c r="G3" s="10"/>
      <c r="H3" s="12"/>
      <c r="I3" s="13" t="s">
        <v>369</v>
      </c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10"/>
      <c r="B4" s="10"/>
      <c r="C4" s="10"/>
      <c r="D4" s="10"/>
      <c r="E4" s="10"/>
      <c r="F4" s="10"/>
      <c r="G4" s="10"/>
      <c r="H4" s="10"/>
      <c r="I4" s="10"/>
      <c r="J4" s="2"/>
      <c r="K4" s="2"/>
      <c r="L4" s="2"/>
      <c r="M4" s="2"/>
      <c r="N4" s="2"/>
      <c r="O4" s="2"/>
      <c r="P4" s="2"/>
      <c r="Q4" s="2"/>
      <c r="R4" s="2"/>
    </row>
    <row r="5" spans="1:18" ht="10.5" customHeight="1">
      <c r="A5" s="10"/>
      <c r="B5" s="10"/>
      <c r="C5" s="10"/>
      <c r="D5" s="10"/>
      <c r="E5" s="10"/>
      <c r="F5" s="10"/>
      <c r="G5" s="10"/>
      <c r="H5" s="10"/>
      <c r="I5" s="10"/>
      <c r="J5" s="2"/>
      <c r="K5" s="2"/>
      <c r="L5" s="2"/>
      <c r="M5" s="2"/>
      <c r="N5" s="2"/>
      <c r="O5" s="2"/>
      <c r="P5" s="2"/>
      <c r="Q5" s="2"/>
      <c r="R5" s="2"/>
    </row>
    <row r="6" spans="1:18" ht="10.5" customHeight="1">
      <c r="A6" s="10"/>
      <c r="B6" s="10"/>
      <c r="C6" s="10"/>
      <c r="D6" s="10"/>
      <c r="E6" s="10"/>
      <c r="F6" s="10"/>
      <c r="G6" s="10"/>
      <c r="H6" s="10"/>
      <c r="I6" s="10"/>
      <c r="J6" s="2"/>
      <c r="K6" s="2"/>
      <c r="L6" s="2"/>
      <c r="M6" s="2"/>
      <c r="N6" s="2"/>
      <c r="O6" s="2"/>
      <c r="P6" s="2"/>
      <c r="Q6" s="2"/>
      <c r="R6" s="2"/>
    </row>
    <row r="7" spans="1:18" ht="10.5" customHeight="1">
      <c r="A7" s="10"/>
      <c r="B7" s="10"/>
      <c r="C7" s="10"/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/>
      <c r="P7" s="2"/>
      <c r="Q7" s="2"/>
      <c r="R7" s="2"/>
    </row>
    <row r="8" spans="1:18" ht="10.5" customHeight="1">
      <c r="A8" s="10"/>
      <c r="B8" s="10"/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  <c r="O8" s="2"/>
      <c r="P8" s="2"/>
      <c r="Q8" s="2"/>
      <c r="R8" s="2"/>
    </row>
    <row r="9" spans="1:18" ht="10.5" customHeight="1">
      <c r="A9" s="10"/>
      <c r="B9" s="10"/>
      <c r="C9" s="10"/>
      <c r="D9" s="10"/>
      <c r="E9" s="10"/>
      <c r="F9" s="10"/>
      <c r="G9" s="10"/>
      <c r="H9" s="10"/>
      <c r="I9" s="10"/>
      <c r="J9" s="2"/>
      <c r="K9" s="2"/>
      <c r="L9" s="2"/>
      <c r="M9" s="2"/>
      <c r="N9" s="2"/>
      <c r="O9" s="2"/>
      <c r="P9" s="2"/>
      <c r="Q9" s="2"/>
      <c r="R9" s="2"/>
    </row>
    <row r="10" spans="1:18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2"/>
      <c r="K10" s="2"/>
      <c r="L10" s="2"/>
      <c r="M10" s="2"/>
      <c r="N10" s="2"/>
      <c r="O10" s="2"/>
      <c r="P10" s="2"/>
      <c r="Q10" s="2"/>
      <c r="R10" s="2"/>
    </row>
    <row r="11" spans="1:18" ht="10.5" customHeight="1">
      <c r="A11" s="10"/>
      <c r="B11" s="10"/>
      <c r="C11" s="10"/>
      <c r="D11" s="10"/>
      <c r="E11" s="10"/>
      <c r="F11" s="10"/>
      <c r="G11" s="10"/>
      <c r="H11" s="10"/>
      <c r="I11" s="10"/>
      <c r="J11" s="2"/>
      <c r="K11" s="2"/>
      <c r="L11" s="2"/>
      <c r="M11" s="2"/>
      <c r="N11" s="2"/>
      <c r="O11" s="2"/>
      <c r="P11" s="2"/>
      <c r="Q11" s="2"/>
      <c r="R11" s="2"/>
    </row>
    <row r="12" spans="1:18" ht="10.5" customHeight="1">
      <c r="A12" s="10"/>
      <c r="B12" s="10"/>
      <c r="C12" s="10"/>
      <c r="D12" s="14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</row>
    <row r="13" spans="1:18" ht="10.5" customHeight="1">
      <c r="A13" s="10"/>
      <c r="B13" s="10" t="s">
        <v>38</v>
      </c>
      <c r="D13" s="99"/>
      <c r="E13" s="10"/>
      <c r="F13" s="10"/>
      <c r="G13" s="10"/>
      <c r="H13" s="10"/>
      <c r="I13" s="10"/>
      <c r="J13" s="2"/>
      <c r="K13" s="2"/>
      <c r="L13" s="2"/>
      <c r="M13" s="2"/>
      <c r="N13" s="2"/>
      <c r="O13" s="2"/>
      <c r="P13" s="2"/>
      <c r="Q13" s="2"/>
      <c r="R13" s="2"/>
    </row>
    <row r="14" spans="1:18" ht="10.5" customHeight="1">
      <c r="A14" s="10"/>
      <c r="B14" s="10"/>
      <c r="C14" s="10"/>
      <c r="D14" s="99" t="s">
        <v>220</v>
      </c>
      <c r="E14" s="10"/>
      <c r="F14" s="10"/>
      <c r="G14" s="10"/>
      <c r="H14" s="10"/>
      <c r="I14" s="10"/>
      <c r="J14" s="2"/>
      <c r="K14" s="2"/>
      <c r="L14" s="2"/>
      <c r="M14" s="2"/>
      <c r="N14" s="2"/>
      <c r="O14" s="2"/>
      <c r="P14" s="2"/>
      <c r="Q14" s="2"/>
      <c r="R14" s="2"/>
    </row>
    <row r="15" spans="1:18" ht="10.5" customHeight="1">
      <c r="A15" s="10"/>
      <c r="B15" s="10"/>
      <c r="C15" s="10"/>
      <c r="D15" s="10"/>
      <c r="E15" s="10"/>
      <c r="F15" s="10"/>
      <c r="G15" s="10"/>
      <c r="H15" s="10"/>
      <c r="I15" s="10"/>
      <c r="J15" s="2"/>
      <c r="K15" s="2"/>
      <c r="L15" s="2"/>
      <c r="M15" s="2"/>
      <c r="N15" s="2"/>
      <c r="O15" s="2"/>
      <c r="P15" s="2"/>
      <c r="Q15" s="2"/>
      <c r="R15" s="2"/>
    </row>
    <row r="16" spans="1:18" ht="10.5" customHeight="1">
      <c r="A16" s="10"/>
      <c r="B16" s="10"/>
      <c r="C16" s="10"/>
      <c r="D16" s="15"/>
      <c r="E16" s="10"/>
      <c r="F16" s="10"/>
      <c r="G16" s="10"/>
      <c r="H16" s="10"/>
      <c r="I16" s="10"/>
      <c r="J16" s="2"/>
      <c r="K16" s="2"/>
      <c r="L16" s="2"/>
      <c r="M16" s="2"/>
      <c r="N16" s="2"/>
      <c r="O16" s="2"/>
      <c r="P16" s="2"/>
      <c r="Q16" s="2"/>
      <c r="R16" s="2"/>
    </row>
    <row r="17" spans="1:18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2"/>
      <c r="K17" s="2"/>
      <c r="L17" s="2"/>
      <c r="M17" s="2"/>
      <c r="N17" s="2"/>
      <c r="O17" s="2"/>
      <c r="P17" s="2"/>
      <c r="Q17" s="2"/>
      <c r="R17" s="2"/>
    </row>
    <row r="18" spans="1:18" ht="10.5" customHeight="1">
      <c r="A18" s="10" t="s">
        <v>38</v>
      </c>
      <c r="B18" s="10"/>
      <c r="C18" s="10"/>
      <c r="D18" s="10"/>
      <c r="E18" s="10"/>
      <c r="F18" s="10"/>
      <c r="G18" s="10"/>
      <c r="H18" s="10"/>
      <c r="I18" s="10"/>
      <c r="J18" s="2"/>
      <c r="K18" s="2"/>
      <c r="L18" s="2"/>
      <c r="M18" s="2"/>
      <c r="N18" s="2"/>
      <c r="O18" s="2"/>
      <c r="P18" s="2"/>
      <c r="Q18" s="2"/>
      <c r="R18" s="2"/>
    </row>
    <row r="19" spans="1:18" ht="10.5" customHeight="1">
      <c r="A19" s="101"/>
      <c r="B19" s="151" t="s">
        <v>221</v>
      </c>
      <c r="C19" s="151" t="s">
        <v>222</v>
      </c>
      <c r="D19" s="146"/>
      <c r="E19" s="151" t="s">
        <v>223</v>
      </c>
      <c r="F19" s="146"/>
      <c r="G19" s="151" t="s">
        <v>224</v>
      </c>
      <c r="H19" s="10"/>
      <c r="I19" s="10"/>
      <c r="J19" s="2"/>
      <c r="K19" s="2"/>
      <c r="L19" s="2"/>
      <c r="M19" s="2"/>
      <c r="N19" s="2"/>
      <c r="O19" s="2"/>
      <c r="P19" s="2"/>
      <c r="Q19" s="2"/>
      <c r="R19" s="2"/>
    </row>
    <row r="20" spans="1:18" ht="12" customHeight="1">
      <c r="A20" s="102"/>
      <c r="B20" s="10"/>
      <c r="C20" s="10"/>
      <c r="D20" s="146"/>
      <c r="E20" s="14" t="s">
        <v>202</v>
      </c>
      <c r="F20" s="146"/>
      <c r="G20" s="10"/>
      <c r="H20" s="10"/>
      <c r="I20" s="10"/>
      <c r="J20" s="2"/>
      <c r="K20" s="2"/>
      <c r="L20" s="2"/>
      <c r="M20" s="2"/>
      <c r="N20" s="2"/>
      <c r="O20" s="2"/>
      <c r="P20" s="2"/>
      <c r="Q20" s="2"/>
      <c r="R20" s="2"/>
    </row>
    <row r="21" spans="1:18" ht="12" customHeight="1" thickBot="1">
      <c r="A21" s="102"/>
      <c r="B21" s="154" t="s">
        <v>225</v>
      </c>
      <c r="C21" s="196" t="s">
        <v>39</v>
      </c>
      <c r="D21" s="196"/>
      <c r="E21" s="197" t="s">
        <v>226</v>
      </c>
      <c r="F21" s="196"/>
      <c r="G21" s="196" t="s">
        <v>47</v>
      </c>
      <c r="H21" s="10"/>
      <c r="I21" s="10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>
      <c r="A22" s="10" t="s">
        <v>38</v>
      </c>
      <c r="B22" s="10"/>
      <c r="C22" s="10"/>
      <c r="D22" s="10"/>
      <c r="E22" s="10"/>
      <c r="F22" s="10"/>
      <c r="G22" s="10"/>
      <c r="H22" s="10"/>
      <c r="I22" s="10"/>
      <c r="J22" s="2"/>
      <c r="K22" s="2"/>
      <c r="L22" s="2"/>
      <c r="M22" s="2"/>
      <c r="N22" s="2"/>
      <c r="O22" s="2"/>
      <c r="P22" s="2"/>
      <c r="Q22" s="2"/>
      <c r="R22" s="2"/>
    </row>
    <row r="23" spans="1:18" ht="12" customHeight="1">
      <c r="A23" s="10">
        <v>1</v>
      </c>
      <c r="B23" s="10" t="s">
        <v>208</v>
      </c>
      <c r="C23" s="10"/>
      <c r="D23" s="10"/>
      <c r="E23" s="10"/>
      <c r="F23" s="10"/>
      <c r="G23" s="12">
        <v>171774253</v>
      </c>
      <c r="H23" s="10"/>
      <c r="I23" s="10"/>
      <c r="J23" s="2"/>
      <c r="K23" s="2"/>
      <c r="L23" s="2"/>
      <c r="M23" s="2"/>
      <c r="N23" s="2"/>
      <c r="O23" s="2"/>
      <c r="P23" s="2"/>
      <c r="Q23" s="2"/>
      <c r="R23" s="2"/>
    </row>
    <row r="24" spans="1:18" ht="12" customHeight="1">
      <c r="A24" s="10">
        <f>A23+1</f>
        <v>2</v>
      </c>
      <c r="B24" s="10" t="s">
        <v>209</v>
      </c>
      <c r="C24" s="10"/>
      <c r="D24" s="10"/>
      <c r="E24" s="10"/>
      <c r="F24" s="10"/>
      <c r="G24" s="205">
        <v>2000000</v>
      </c>
      <c r="H24" s="10"/>
      <c r="I24" s="10"/>
      <c r="J24" s="2"/>
      <c r="K24" s="2"/>
      <c r="L24" s="2"/>
      <c r="M24" s="2"/>
      <c r="N24" s="2"/>
      <c r="O24" s="2"/>
      <c r="P24" s="2"/>
      <c r="Q24" s="2"/>
      <c r="R24" s="2"/>
    </row>
    <row r="25" spans="1:18" ht="12" customHeight="1">
      <c r="A25" s="10">
        <f>A24+1</f>
        <v>3</v>
      </c>
      <c r="B25" s="10" t="s">
        <v>227</v>
      </c>
      <c r="C25" s="19">
        <v>21952900</v>
      </c>
      <c r="D25" s="10"/>
      <c r="E25" s="16">
        <f>G25/C25</f>
        <v>7.915776639988339</v>
      </c>
      <c r="F25" s="10"/>
      <c r="G25" s="20">
        <f>G23+G24</f>
        <v>173774253</v>
      </c>
      <c r="H25" s="10"/>
      <c r="I25" s="10"/>
      <c r="J25" s="2"/>
      <c r="K25" s="2"/>
      <c r="L25" s="2"/>
      <c r="M25" s="2"/>
      <c r="N25" s="2"/>
      <c r="O25" s="2"/>
      <c r="P25" s="2"/>
      <c r="Q25" s="2"/>
      <c r="R25" s="2"/>
    </row>
    <row r="26" spans="1:18" ht="12" customHeight="1">
      <c r="A26" s="10"/>
      <c r="B26" s="10"/>
      <c r="C26" s="10"/>
      <c r="D26" s="10"/>
      <c r="E26" s="10"/>
      <c r="F26" s="10"/>
      <c r="G26" s="10"/>
      <c r="H26" s="10"/>
      <c r="I26" s="10"/>
      <c r="J26" s="2"/>
      <c r="K26" s="2"/>
      <c r="L26" s="2"/>
      <c r="M26" s="2"/>
      <c r="N26" s="2"/>
      <c r="O26" s="2"/>
      <c r="P26" s="2"/>
      <c r="Q26" s="2"/>
      <c r="R26" s="2"/>
    </row>
    <row r="27" spans="1:18" ht="12" customHeight="1">
      <c r="A27" s="10">
        <f>A25+1</f>
        <v>4</v>
      </c>
      <c r="B27" s="10" t="s">
        <v>40</v>
      </c>
      <c r="C27" s="19">
        <v>3917985</v>
      </c>
      <c r="D27" s="10"/>
      <c r="E27" s="16">
        <f>G27/C27</f>
        <v>7.927743980643111</v>
      </c>
      <c r="F27" s="10"/>
      <c r="G27" s="20">
        <v>31060782</v>
      </c>
      <c r="H27" s="10"/>
      <c r="I27" s="10"/>
      <c r="J27" s="2"/>
      <c r="K27" s="2"/>
      <c r="L27" s="2"/>
      <c r="M27" s="2"/>
      <c r="N27" s="2"/>
      <c r="O27" s="2"/>
      <c r="P27" s="2"/>
      <c r="Q27" s="2"/>
      <c r="R27" s="2"/>
    </row>
    <row r="28" spans="1:18" ht="12" customHeight="1">
      <c r="A28" s="10"/>
      <c r="B28" s="10"/>
      <c r="C28" s="10"/>
      <c r="D28" s="10"/>
      <c r="E28" s="10"/>
      <c r="F28" s="10"/>
      <c r="G28" s="10"/>
      <c r="H28" s="10"/>
      <c r="I28" s="10"/>
      <c r="J28" s="2"/>
      <c r="K28" s="2"/>
      <c r="L28" s="2"/>
      <c r="M28" s="2"/>
      <c r="N28" s="2"/>
      <c r="O28" s="2"/>
      <c r="P28" s="2"/>
      <c r="Q28" s="2"/>
      <c r="R28" s="2"/>
    </row>
    <row r="29" spans="1:18" ht="12" customHeight="1">
      <c r="A29" s="10">
        <f>A27+1</f>
        <v>5</v>
      </c>
      <c r="B29" s="10" t="s">
        <v>41</v>
      </c>
      <c r="C29" s="19">
        <v>28513252</v>
      </c>
      <c r="D29" s="10"/>
      <c r="E29" s="16">
        <f>G29/C29</f>
        <v>10.116572146874022</v>
      </c>
      <c r="F29" s="10"/>
      <c r="G29" s="20">
        <v>288456371</v>
      </c>
      <c r="H29" s="10"/>
      <c r="I29" s="10"/>
      <c r="J29" s="2"/>
      <c r="K29" s="2"/>
      <c r="L29" s="2"/>
      <c r="M29" s="2"/>
      <c r="N29" s="2"/>
      <c r="O29" s="2"/>
      <c r="P29" s="2"/>
      <c r="Q29" s="2"/>
      <c r="R29" s="2"/>
    </row>
    <row r="30" spans="1:18" ht="12" customHeight="1" thickBot="1">
      <c r="A30" s="10"/>
      <c r="B30" s="10"/>
      <c r="C30" s="10"/>
      <c r="D30" s="10"/>
      <c r="E30" s="10"/>
      <c r="F30" s="10"/>
      <c r="G30" s="104"/>
      <c r="H30" s="10"/>
      <c r="I30" s="10"/>
      <c r="J30" s="2"/>
      <c r="K30" s="2"/>
      <c r="L30" s="2"/>
      <c r="M30" s="2"/>
      <c r="N30" s="2"/>
      <c r="O30" s="2"/>
      <c r="P30" s="2"/>
      <c r="Q30" s="2"/>
      <c r="R30" s="2"/>
    </row>
    <row r="31" spans="1:18" ht="12" customHeight="1" thickTop="1">
      <c r="A31" s="10" t="s">
        <v>38</v>
      </c>
      <c r="B31" s="10"/>
      <c r="C31" s="10"/>
      <c r="D31" s="10"/>
      <c r="E31" s="10"/>
      <c r="F31" s="10"/>
      <c r="G31" s="10"/>
      <c r="H31" s="10"/>
      <c r="I31" s="10"/>
      <c r="J31" s="2"/>
      <c r="K31" s="2"/>
      <c r="L31" s="2"/>
      <c r="M31" s="2"/>
      <c r="N31" s="2"/>
      <c r="O31" s="2"/>
      <c r="P31" s="2"/>
      <c r="Q31" s="2"/>
      <c r="R31" s="2"/>
    </row>
    <row r="32" spans="1:18" ht="12" customHeight="1">
      <c r="A32" s="10">
        <f>A29+1</f>
        <v>6</v>
      </c>
      <c r="B32" s="10" t="s">
        <v>42</v>
      </c>
      <c r="C32" s="15">
        <f>C25+C27+C29</f>
        <v>54384137</v>
      </c>
      <c r="D32" s="10"/>
      <c r="E32" s="16">
        <f>G32/C32</f>
        <v>9.07050167956145</v>
      </c>
      <c r="F32" s="10"/>
      <c r="G32" s="12">
        <f>G25+G27+G29</f>
        <v>493291406</v>
      </c>
      <c r="H32" s="10"/>
      <c r="I32" s="10"/>
      <c r="J32" s="2"/>
      <c r="K32" s="2"/>
      <c r="L32" s="2"/>
      <c r="M32" s="2"/>
      <c r="N32" s="2"/>
      <c r="O32" s="2"/>
      <c r="P32" s="2"/>
      <c r="Q32" s="2"/>
      <c r="R32" s="2"/>
    </row>
    <row r="33" spans="1:18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mergeCells count="1">
    <mergeCell ref="A2:I2"/>
  </mergeCells>
  <printOptions/>
  <pageMargins left="1.83" right="0.25" top="0.6" bottom="0.25" header="0.5" footer="0.5"/>
  <pageSetup fitToHeight="1" fitToWidth="1" horizontalDpi="1200" verticalDpi="1200" orientation="portrait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B1:S87"/>
  <sheetViews>
    <sheetView workbookViewId="0" topLeftCell="A10">
      <selection activeCell="D12" sqref="D12"/>
    </sheetView>
  </sheetViews>
  <sheetFormatPr defaultColWidth="9.8515625" defaultRowHeight="12"/>
  <cols>
    <col min="1" max="1" width="6.00390625" style="0" customWidth="1"/>
    <col min="2" max="2" width="3.8515625" style="0" customWidth="1"/>
    <col min="3" max="3" width="16.28125" style="0" customWidth="1"/>
    <col min="4" max="4" width="14.00390625" style="0" customWidth="1"/>
    <col min="5" max="5" width="16.421875" style="0" customWidth="1"/>
    <col min="6" max="6" width="2.8515625" style="0" customWidth="1"/>
    <col min="7" max="7" width="4.7109375" style="0" customWidth="1"/>
    <col min="8" max="8" width="2.8515625" style="0" customWidth="1"/>
    <col min="9" max="9" width="14.140625" style="0" customWidth="1"/>
    <col min="10" max="10" width="8.140625" style="0" customWidth="1"/>
    <col min="11" max="12" width="13.8515625" style="0" bestFit="1" customWidth="1"/>
    <col min="13" max="13" width="2.8515625" style="0" customWidth="1"/>
    <col min="15" max="15" width="13.421875" style="0" bestFit="1" customWidth="1"/>
  </cols>
  <sheetData>
    <row r="1" spans="2:19" ht="12" customHeight="1">
      <c r="B1" s="10"/>
      <c r="C1" s="10"/>
      <c r="D1" s="10"/>
      <c r="E1" s="15"/>
      <c r="F1" s="10"/>
      <c r="G1" s="10"/>
      <c r="H1" s="10"/>
      <c r="I1" s="16"/>
      <c r="J1" s="10"/>
      <c r="K1" s="10"/>
      <c r="L1" s="10"/>
      <c r="M1" s="11" t="s">
        <v>37</v>
      </c>
      <c r="N1" s="2"/>
      <c r="O1" s="2"/>
      <c r="P1" s="2"/>
      <c r="Q1" s="2"/>
      <c r="R1" s="2"/>
      <c r="S1" s="2"/>
    </row>
    <row r="2" spans="2:19" ht="12" customHeight="1">
      <c r="B2" s="206" t="str">
        <f>'1.2'!A2</f>
        <v>Docket No. 06-057-01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"/>
      <c r="O2" s="2"/>
      <c r="P2" s="2"/>
      <c r="Q2" s="2"/>
      <c r="R2" s="2"/>
      <c r="S2" s="2"/>
    </row>
    <row r="3" spans="2:19" ht="12" customHeight="1">
      <c r="B3" s="10"/>
      <c r="C3" s="10"/>
      <c r="D3" s="10"/>
      <c r="E3" s="15"/>
      <c r="F3" s="10"/>
      <c r="G3" s="10"/>
      <c r="H3" s="10"/>
      <c r="I3" s="16"/>
      <c r="J3" s="10"/>
      <c r="K3" s="10"/>
      <c r="L3" s="10"/>
      <c r="M3" s="13" t="s">
        <v>370</v>
      </c>
      <c r="N3" s="2"/>
      <c r="O3" s="2"/>
      <c r="P3" s="2"/>
      <c r="Q3" s="2"/>
      <c r="R3" s="2"/>
      <c r="S3" s="2"/>
    </row>
    <row r="4" spans="2:19" ht="12" customHeight="1">
      <c r="B4" s="10"/>
      <c r="C4" s="10"/>
      <c r="D4" s="10"/>
      <c r="E4" s="15"/>
      <c r="F4" s="10"/>
      <c r="G4" s="10"/>
      <c r="H4" s="10"/>
      <c r="I4" s="16"/>
      <c r="J4" s="10"/>
      <c r="K4" s="15"/>
      <c r="L4" s="10"/>
      <c r="M4" s="13" t="s">
        <v>43</v>
      </c>
      <c r="N4" s="2"/>
      <c r="O4" s="2"/>
      <c r="P4" s="2"/>
      <c r="Q4" s="2"/>
      <c r="R4" s="2"/>
      <c r="S4" s="2"/>
    </row>
    <row r="5" spans="2:19" ht="12" customHeight="1">
      <c r="B5" s="10"/>
      <c r="C5" s="10"/>
      <c r="D5" s="10"/>
      <c r="E5" s="15"/>
      <c r="F5" s="10"/>
      <c r="G5" s="10"/>
      <c r="H5" s="10"/>
      <c r="I5" s="16"/>
      <c r="J5" s="10"/>
      <c r="K5" s="15"/>
      <c r="L5" s="10"/>
      <c r="M5" s="13"/>
      <c r="N5" s="2"/>
      <c r="O5" s="2"/>
      <c r="P5" s="2"/>
      <c r="Q5" s="2"/>
      <c r="R5" s="2"/>
      <c r="S5" s="2"/>
    </row>
    <row r="6" spans="2:19" ht="1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2"/>
      <c r="M6" s="10"/>
      <c r="N6" s="2"/>
      <c r="O6" s="2"/>
      <c r="P6" s="2"/>
      <c r="Q6" s="2"/>
      <c r="R6" s="2"/>
      <c r="S6" s="2"/>
    </row>
    <row r="7" spans="2:19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2"/>
      <c r="M7" s="10"/>
      <c r="N7" s="2"/>
      <c r="O7" s="2"/>
      <c r="P7" s="2"/>
      <c r="Q7" s="2"/>
      <c r="R7" s="2"/>
      <c r="S7" s="2"/>
    </row>
    <row r="8" spans="2:19" ht="12" customHeight="1">
      <c r="B8" s="10"/>
      <c r="C8" s="10"/>
      <c r="D8" s="10"/>
      <c r="E8" s="10"/>
      <c r="F8" s="10"/>
      <c r="G8" s="17"/>
      <c r="H8" s="10"/>
      <c r="I8" s="16"/>
      <c r="J8" s="10"/>
      <c r="K8" s="15"/>
      <c r="L8" s="12"/>
      <c r="M8" s="10"/>
      <c r="N8" s="2"/>
      <c r="O8" s="2"/>
      <c r="P8" s="2"/>
      <c r="Q8" s="2"/>
      <c r="R8" s="2"/>
      <c r="S8" s="2"/>
    </row>
    <row r="9" spans="2:19" ht="12" customHeight="1">
      <c r="B9" s="10"/>
      <c r="C9" s="10"/>
      <c r="D9" s="10"/>
      <c r="E9" s="15"/>
      <c r="F9" s="10"/>
      <c r="G9" s="85" t="s">
        <v>245</v>
      </c>
      <c r="H9" s="10"/>
      <c r="I9" s="16"/>
      <c r="J9" s="10"/>
      <c r="K9" s="15"/>
      <c r="L9" s="12"/>
      <c r="M9" s="10"/>
      <c r="N9" s="2"/>
      <c r="O9" s="2"/>
      <c r="P9" s="2"/>
      <c r="Q9" s="2"/>
      <c r="R9" s="2"/>
      <c r="S9" s="2"/>
    </row>
    <row r="10" spans="2:19" ht="12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0"/>
      <c r="N10" s="2"/>
      <c r="O10" s="2"/>
      <c r="P10" s="2"/>
      <c r="Q10" s="2"/>
      <c r="R10" s="2"/>
      <c r="S10" s="2"/>
    </row>
    <row r="11" spans="2:19" ht="1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2"/>
      <c r="P11" s="2"/>
      <c r="Q11" s="2"/>
      <c r="R11" s="2"/>
      <c r="S11" s="2"/>
    </row>
    <row r="12" spans="2:19" ht="12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0"/>
      <c r="M12" s="10"/>
      <c r="N12" s="7"/>
      <c r="O12" s="2"/>
      <c r="P12" s="2"/>
      <c r="Q12" s="2"/>
      <c r="R12" s="2"/>
      <c r="S12" s="2"/>
    </row>
    <row r="13" spans="2:19" ht="12" customHeight="1">
      <c r="B13" s="1"/>
      <c r="D13" s="106"/>
      <c r="E13" s="106"/>
      <c r="F13" s="106"/>
      <c r="G13" s="106"/>
      <c r="H13" s="106"/>
      <c r="I13" s="106"/>
      <c r="J13" s="106"/>
      <c r="K13" s="106"/>
      <c r="L13" s="10"/>
      <c r="M13" s="10"/>
      <c r="N13" s="7"/>
      <c r="O13" s="2"/>
      <c r="P13" s="2"/>
      <c r="Q13" s="2"/>
      <c r="R13" s="2"/>
      <c r="S13" s="2"/>
    </row>
    <row r="14" spans="2:19" ht="12" customHeight="1">
      <c r="B14" s="10"/>
      <c r="C14" s="107" t="s">
        <v>221</v>
      </c>
      <c r="D14" s="108"/>
      <c r="E14" s="109" t="s">
        <v>222</v>
      </c>
      <c r="F14" s="108"/>
      <c r="G14" s="109" t="s">
        <v>223</v>
      </c>
      <c r="H14" s="108"/>
      <c r="I14" s="109" t="s">
        <v>224</v>
      </c>
      <c r="J14" s="106"/>
      <c r="K14" s="109" t="s">
        <v>229</v>
      </c>
      <c r="L14" s="109" t="s">
        <v>230</v>
      </c>
      <c r="M14" s="10"/>
      <c r="N14" s="7"/>
      <c r="O14" s="2"/>
      <c r="P14" s="2"/>
      <c r="Q14" s="2"/>
      <c r="R14" s="2"/>
      <c r="S14" s="2"/>
    </row>
    <row r="15" spans="2:19" ht="12" customHeight="1" thickBot="1">
      <c r="B15" s="10"/>
      <c r="C15" s="110"/>
      <c r="D15" s="110"/>
      <c r="E15" s="111" t="s">
        <v>39</v>
      </c>
      <c r="F15" s="112"/>
      <c r="G15" s="113" t="s">
        <v>64</v>
      </c>
      <c r="H15" s="112"/>
      <c r="I15" s="114" t="s">
        <v>46</v>
      </c>
      <c r="J15" s="112"/>
      <c r="K15" s="115"/>
      <c r="L15" s="111" t="s">
        <v>231</v>
      </c>
      <c r="M15" s="10"/>
      <c r="N15" s="2"/>
      <c r="O15" s="2"/>
      <c r="P15" s="2"/>
      <c r="Q15" s="2"/>
      <c r="R15" s="2"/>
      <c r="S15" s="2"/>
    </row>
    <row r="16" spans="2:19" ht="13.5" customHeight="1" thickTop="1">
      <c r="B16" s="10"/>
      <c r="C16" s="96" t="s">
        <v>44</v>
      </c>
      <c r="D16" s="124"/>
      <c r="E16" s="125"/>
      <c r="F16" s="126"/>
      <c r="G16" s="127"/>
      <c r="H16" s="126"/>
      <c r="I16" s="128"/>
      <c r="J16" s="126"/>
      <c r="K16" s="129"/>
      <c r="L16" s="125"/>
      <c r="M16" s="10"/>
      <c r="N16" s="2"/>
      <c r="O16" s="2"/>
      <c r="P16" s="2"/>
      <c r="Q16" s="2"/>
      <c r="R16" s="2"/>
      <c r="S16" s="2"/>
    </row>
    <row r="17" spans="2:19" ht="12" customHeight="1">
      <c r="B17" s="10"/>
      <c r="C17" s="96"/>
      <c r="D17" s="124"/>
      <c r="E17" s="125"/>
      <c r="F17" s="126"/>
      <c r="G17" s="127"/>
      <c r="H17" s="126"/>
      <c r="I17" s="128"/>
      <c r="J17" s="126"/>
      <c r="K17" s="129"/>
      <c r="L17" s="125"/>
      <c r="M17" s="10"/>
      <c r="N17" s="2"/>
      <c r="O17" s="2"/>
      <c r="P17" s="2"/>
      <c r="Q17" s="2"/>
      <c r="R17" s="2"/>
      <c r="S17" s="2"/>
    </row>
    <row r="18" spans="2:19" ht="12" customHeight="1">
      <c r="B18" s="10"/>
      <c r="C18" s="96" t="s">
        <v>45</v>
      </c>
      <c r="D18" s="21"/>
      <c r="E18" s="108"/>
      <c r="F18" s="108"/>
      <c r="G18" s="108"/>
      <c r="H18" s="108"/>
      <c r="I18" s="108"/>
      <c r="J18" s="108"/>
      <c r="K18" s="108"/>
      <c r="L18" s="10"/>
      <c r="M18" s="10"/>
      <c r="N18" s="2"/>
      <c r="O18" s="2"/>
      <c r="P18" s="2"/>
      <c r="Q18" s="2"/>
      <c r="R18" s="2"/>
      <c r="S18" s="2"/>
    </row>
    <row r="19" spans="2:19" ht="12" customHeight="1">
      <c r="B19" s="14">
        <v>1</v>
      </c>
      <c r="C19" s="10" t="s">
        <v>233</v>
      </c>
      <c r="D19" s="10"/>
      <c r="E19" s="15">
        <f>798902+50000+52000</f>
        <v>900902</v>
      </c>
      <c r="F19" s="11" t="s">
        <v>48</v>
      </c>
      <c r="G19" s="10">
        <v>12</v>
      </c>
      <c r="H19" s="14" t="s">
        <v>49</v>
      </c>
      <c r="I19" s="23">
        <v>5.28804</v>
      </c>
      <c r="J19" s="11" t="s">
        <v>228</v>
      </c>
      <c r="K19" s="12">
        <f>ROUND(E19*G19*I19,0)</f>
        <v>57168070</v>
      </c>
      <c r="L19" s="10"/>
      <c r="M19" s="10"/>
      <c r="N19" s="2"/>
      <c r="O19" s="2"/>
      <c r="P19" s="2"/>
      <c r="Q19" s="2"/>
      <c r="R19" s="2"/>
      <c r="S19" s="2"/>
    </row>
    <row r="20" spans="2:19" ht="12" customHeight="1">
      <c r="B20" s="14">
        <f>B19+1</f>
        <v>2</v>
      </c>
      <c r="C20" s="10" t="s">
        <v>234</v>
      </c>
      <c r="D20" s="10"/>
      <c r="E20" s="15">
        <v>50000</v>
      </c>
      <c r="F20" s="11" t="s">
        <v>48</v>
      </c>
      <c r="G20" s="10">
        <v>3</v>
      </c>
      <c r="H20" s="14" t="s">
        <v>49</v>
      </c>
      <c r="I20" s="16">
        <f>I19</f>
        <v>5.28804</v>
      </c>
      <c r="J20" s="11" t="s">
        <v>228</v>
      </c>
      <c r="K20" s="24">
        <f>E20*G20*I20</f>
        <v>793206</v>
      </c>
      <c r="L20" s="10"/>
      <c r="M20" s="10"/>
      <c r="N20" s="2"/>
      <c r="O20" s="2"/>
      <c r="P20" s="2"/>
      <c r="Q20" s="2"/>
      <c r="R20" s="2"/>
      <c r="S20" s="2"/>
    </row>
    <row r="21" spans="2:19" ht="12" customHeight="1">
      <c r="B21" s="14">
        <f>B20+1</f>
        <v>3</v>
      </c>
      <c r="C21" s="10" t="s">
        <v>235</v>
      </c>
      <c r="D21" s="10"/>
      <c r="E21" s="15">
        <v>203542</v>
      </c>
      <c r="F21" s="11" t="s">
        <v>48</v>
      </c>
      <c r="G21" s="10">
        <v>12</v>
      </c>
      <c r="H21" s="14" t="s">
        <v>49</v>
      </c>
      <c r="I21" s="23">
        <v>0.86753</v>
      </c>
      <c r="J21" s="11" t="s">
        <v>228</v>
      </c>
      <c r="K21" s="15">
        <f>ROUND(E21*G21*I21,0)</f>
        <v>2118945</v>
      </c>
      <c r="L21" s="10"/>
      <c r="M21" s="10"/>
      <c r="N21" s="6"/>
      <c r="O21" s="2"/>
      <c r="P21" s="2"/>
      <c r="Q21" s="2"/>
      <c r="R21" s="2"/>
      <c r="S21" s="2"/>
    </row>
    <row r="22" spans="2:19" ht="12" customHeight="1" thickBot="1">
      <c r="B22" s="14">
        <f>B21+1</f>
        <v>4</v>
      </c>
      <c r="C22" s="10" t="s">
        <v>236</v>
      </c>
      <c r="D22" s="10"/>
      <c r="E22" s="10"/>
      <c r="F22" s="10"/>
      <c r="G22" s="10"/>
      <c r="H22" s="14"/>
      <c r="I22" s="15"/>
      <c r="J22" s="11" t="s">
        <v>50</v>
      </c>
      <c r="K22" s="116">
        <f>0.9*(-2216895)</f>
        <v>-1995205.5</v>
      </c>
      <c r="L22" s="12"/>
      <c r="M22" s="10"/>
      <c r="N22" s="2"/>
      <c r="O22" s="2"/>
      <c r="P22" s="2"/>
      <c r="Q22" s="2"/>
      <c r="R22" s="2"/>
      <c r="S22" s="2"/>
    </row>
    <row r="23" spans="2:19" ht="12" customHeight="1">
      <c r="B23" s="14">
        <f>B22+1</f>
        <v>5</v>
      </c>
      <c r="C23" s="10" t="s">
        <v>151</v>
      </c>
      <c r="D23" s="10"/>
      <c r="E23" s="10"/>
      <c r="F23" s="10"/>
      <c r="G23" s="10"/>
      <c r="H23" s="14"/>
      <c r="I23" s="10"/>
      <c r="J23" s="10"/>
      <c r="K23" s="24">
        <f>SUM(K19:K22)</f>
        <v>58085015.5</v>
      </c>
      <c r="L23" s="12"/>
      <c r="M23" s="10"/>
      <c r="N23" s="2"/>
      <c r="O23" s="2"/>
      <c r="P23" s="2"/>
      <c r="Q23" s="2"/>
      <c r="R23" s="2"/>
      <c r="S23" s="2"/>
    </row>
    <row r="24" spans="2:19" ht="12" customHeight="1">
      <c r="B24" s="14"/>
      <c r="C24" s="1"/>
      <c r="D24" s="1"/>
      <c r="E24" s="1"/>
      <c r="F24" s="1"/>
      <c r="G24" s="1"/>
      <c r="H24" s="1"/>
      <c r="I24" s="1"/>
      <c r="J24" s="1"/>
      <c r="K24" s="1"/>
      <c r="L24" s="10"/>
      <c r="M24" s="10"/>
      <c r="N24" s="2"/>
      <c r="O24" s="2"/>
      <c r="P24" s="2"/>
      <c r="Q24" s="2"/>
      <c r="R24" s="2"/>
      <c r="S24" s="2"/>
    </row>
    <row r="25" spans="2:19" ht="12" customHeight="1">
      <c r="B25" s="14"/>
      <c r="C25" s="96" t="s">
        <v>232</v>
      </c>
      <c r="D25" s="10"/>
      <c r="E25" s="10"/>
      <c r="F25" s="10"/>
      <c r="G25" s="10"/>
      <c r="H25" s="14"/>
      <c r="I25" s="10"/>
      <c r="J25" s="10"/>
      <c r="K25" s="10"/>
      <c r="L25" s="10"/>
      <c r="M25" s="10"/>
      <c r="N25" s="2"/>
      <c r="O25" s="2"/>
      <c r="P25" s="2"/>
      <c r="Q25" s="2"/>
      <c r="R25" s="2"/>
      <c r="S25" s="2"/>
    </row>
    <row r="26" spans="2:19" ht="12" customHeight="1">
      <c r="B26" s="14">
        <f>B23+1</f>
        <v>6</v>
      </c>
      <c r="C26" s="10" t="s">
        <v>241</v>
      </c>
      <c r="D26" s="1"/>
      <c r="E26" s="15">
        <v>3000</v>
      </c>
      <c r="F26" s="11" t="s">
        <v>48</v>
      </c>
      <c r="G26" s="10">
        <v>12</v>
      </c>
      <c r="H26" s="14" t="s">
        <v>49</v>
      </c>
      <c r="I26" s="16">
        <f>0.5256*365/12</f>
        <v>15.987</v>
      </c>
      <c r="J26" s="11" t="s">
        <v>228</v>
      </c>
      <c r="K26" s="24">
        <f>E26*G26*I26</f>
        <v>575532</v>
      </c>
      <c r="L26" s="1"/>
      <c r="M26" s="10"/>
      <c r="N26" s="2"/>
      <c r="O26" s="2"/>
      <c r="P26" s="2"/>
      <c r="Q26" s="2"/>
      <c r="R26" s="2"/>
      <c r="S26" s="2"/>
    </row>
    <row r="27" spans="2:19" ht="12" customHeight="1" thickBot="1">
      <c r="B27" s="14">
        <f>B26+1</f>
        <v>7</v>
      </c>
      <c r="C27" s="10" t="s">
        <v>237</v>
      </c>
      <c r="D27" s="1"/>
      <c r="E27" s="15">
        <v>50000</v>
      </c>
      <c r="F27" s="11" t="s">
        <v>48</v>
      </c>
      <c r="G27" s="10">
        <v>5</v>
      </c>
      <c r="H27" s="14" t="s">
        <v>49</v>
      </c>
      <c r="I27" s="16">
        <f>I26</f>
        <v>15.987</v>
      </c>
      <c r="J27" s="11" t="s">
        <v>228</v>
      </c>
      <c r="K27" s="118">
        <f>E27*G27*I27</f>
        <v>3996750</v>
      </c>
      <c r="L27" s="1"/>
      <c r="M27" s="10"/>
      <c r="N27" s="2"/>
      <c r="O27" s="2"/>
      <c r="P27" s="2"/>
      <c r="Q27" s="2"/>
      <c r="R27" s="2"/>
      <c r="S27" s="2"/>
    </row>
    <row r="28" spans="2:19" ht="12" customHeight="1">
      <c r="B28" s="14">
        <f>B27+1</f>
        <v>8</v>
      </c>
      <c r="C28" s="10" t="s">
        <v>151</v>
      </c>
      <c r="D28" s="1"/>
      <c r="E28" s="1"/>
      <c r="F28" s="1"/>
      <c r="G28" s="1"/>
      <c r="H28" s="1"/>
      <c r="I28" s="1"/>
      <c r="J28" s="1"/>
      <c r="K28" s="24">
        <f>SUM(K26:K27)</f>
        <v>4572282</v>
      </c>
      <c r="L28" s="1"/>
      <c r="M28" s="10"/>
      <c r="N28" s="2"/>
      <c r="O28" s="2"/>
      <c r="P28" s="2"/>
      <c r="Q28" s="2"/>
      <c r="R28" s="2"/>
      <c r="S28" s="2"/>
    </row>
    <row r="29" spans="2:19" ht="12" customHeight="1">
      <c r="B29" s="14"/>
      <c r="C29" s="10"/>
      <c r="D29" s="1"/>
      <c r="E29" s="15"/>
      <c r="F29" s="11"/>
      <c r="G29" s="10"/>
      <c r="H29" s="14"/>
      <c r="I29" s="23"/>
      <c r="J29" s="11"/>
      <c r="K29" s="18"/>
      <c r="L29" s="24"/>
      <c r="M29" s="10"/>
      <c r="N29" s="2"/>
      <c r="O29" s="2"/>
      <c r="P29" s="2"/>
      <c r="Q29" s="2"/>
      <c r="R29" s="2"/>
      <c r="S29" s="2"/>
    </row>
    <row r="30" spans="2:19" ht="12" customHeight="1">
      <c r="B30" s="14">
        <f>B28+1</f>
        <v>9</v>
      </c>
      <c r="C30" s="10" t="s">
        <v>52</v>
      </c>
      <c r="D30" s="10"/>
      <c r="E30" s="10"/>
      <c r="F30" s="10"/>
      <c r="G30" s="10"/>
      <c r="H30" s="14"/>
      <c r="I30" s="10"/>
      <c r="J30" s="10"/>
      <c r="K30" s="10"/>
      <c r="L30" s="12">
        <f>K23+K28</f>
        <v>62657297.5</v>
      </c>
      <c r="M30" s="10"/>
      <c r="N30" s="2"/>
      <c r="O30" s="2"/>
      <c r="P30" s="2"/>
      <c r="Q30" s="2"/>
      <c r="R30" s="2"/>
      <c r="S30" s="2"/>
    </row>
    <row r="31" spans="2:19" ht="12" customHeight="1">
      <c r="B31" s="12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2"/>
      <c r="O31" s="2"/>
      <c r="P31" s="2"/>
      <c r="Q31" s="2"/>
      <c r="R31" s="2"/>
      <c r="S31" s="2"/>
    </row>
    <row r="32" spans="2:19" ht="12" customHeight="1">
      <c r="B32" s="12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  <c r="N32" s="2"/>
      <c r="O32" s="2"/>
      <c r="P32" s="2"/>
      <c r="Q32" s="2"/>
      <c r="R32" s="2"/>
      <c r="S32" s="2"/>
    </row>
    <row r="33" spans="2:19" ht="12" customHeight="1">
      <c r="B33" s="14"/>
      <c r="C33" s="96" t="s">
        <v>53</v>
      </c>
      <c r="D33" s="10"/>
      <c r="E33" s="10"/>
      <c r="F33" s="10"/>
      <c r="G33" s="10"/>
      <c r="H33" s="14"/>
      <c r="I33" s="10"/>
      <c r="J33" s="10"/>
      <c r="K33" s="10"/>
      <c r="L33" s="10"/>
      <c r="M33" s="10"/>
      <c r="N33" s="2"/>
      <c r="O33" s="2"/>
      <c r="P33" s="2"/>
      <c r="Q33" s="2"/>
      <c r="R33" s="2"/>
      <c r="S33" s="2"/>
    </row>
    <row r="34" spans="2:19" ht="12" customHeight="1">
      <c r="B34" s="14"/>
      <c r="C34" s="10"/>
      <c r="D34" s="10"/>
      <c r="E34" s="10"/>
      <c r="F34" s="10"/>
      <c r="G34" s="10"/>
      <c r="H34" s="14"/>
      <c r="I34" s="10"/>
      <c r="J34" s="10"/>
      <c r="K34" s="10"/>
      <c r="L34" s="10"/>
      <c r="M34" s="10"/>
      <c r="N34" s="2"/>
      <c r="O34" s="2"/>
      <c r="P34" s="2"/>
      <c r="Q34" s="2"/>
      <c r="R34" s="2"/>
      <c r="S34" s="2"/>
    </row>
    <row r="35" spans="2:19" ht="12" customHeight="1">
      <c r="B35" s="14"/>
      <c r="C35" s="96" t="s">
        <v>54</v>
      </c>
      <c r="D35" s="10"/>
      <c r="E35" s="10"/>
      <c r="F35" s="10"/>
      <c r="G35" s="10"/>
      <c r="H35" s="14"/>
      <c r="I35" s="10"/>
      <c r="J35" s="10"/>
      <c r="K35" s="25"/>
      <c r="L35" s="10"/>
      <c r="M35" s="10"/>
      <c r="N35" s="2"/>
      <c r="O35" s="2"/>
      <c r="P35" s="2"/>
      <c r="Q35" s="2"/>
      <c r="R35" s="2"/>
      <c r="S35" s="2"/>
    </row>
    <row r="36" spans="2:19" ht="12" customHeight="1">
      <c r="B36" s="14">
        <f>B30+1</f>
        <v>10</v>
      </c>
      <c r="C36" s="10" t="s">
        <v>238</v>
      </c>
      <c r="D36" s="22"/>
      <c r="E36" s="90">
        <f>E37-E41*G41-E42*G42</f>
        <v>113662444</v>
      </c>
      <c r="F36" s="10"/>
      <c r="G36" s="14" t="s">
        <v>49</v>
      </c>
      <c r="H36" s="14"/>
      <c r="I36" s="23">
        <v>0.00267</v>
      </c>
      <c r="J36" s="11" t="s">
        <v>228</v>
      </c>
      <c r="K36" s="24">
        <f>ROUND(E36*I36,0)</f>
        <v>303479</v>
      </c>
      <c r="L36" s="10"/>
      <c r="M36" s="10"/>
      <c r="N36" s="2"/>
      <c r="O36" s="2"/>
      <c r="P36" s="2"/>
      <c r="Q36" s="2"/>
      <c r="R36" s="2"/>
      <c r="S36" s="2"/>
    </row>
    <row r="37" spans="2:19" ht="12" customHeight="1" thickBot="1">
      <c r="B37" s="14">
        <f>B36+1</f>
        <v>11</v>
      </c>
      <c r="C37" s="10" t="s">
        <v>242</v>
      </c>
      <c r="D37" s="10"/>
      <c r="E37" s="90">
        <f>ROUND(+'1.4.1'!H19*0.9315+'1.4.1'!H26*0.9801+'1.4.2'!F28-('1.3.2'!E28+'1.3.2'!E30)*0.0199,0)</f>
        <v>122307444</v>
      </c>
      <c r="F37" s="10"/>
      <c r="G37" s="14" t="s">
        <v>49</v>
      </c>
      <c r="H37" s="14"/>
      <c r="I37" s="23">
        <v>0.0018</v>
      </c>
      <c r="J37" s="11" t="s">
        <v>228</v>
      </c>
      <c r="K37" s="119">
        <f>ROUND(E37*I37,0)</f>
        <v>220153</v>
      </c>
      <c r="L37" s="10"/>
      <c r="M37" s="10"/>
      <c r="N37" s="2"/>
      <c r="O37" s="2"/>
      <c r="P37" s="2"/>
      <c r="Q37" s="2"/>
      <c r="R37" s="2"/>
      <c r="S37" s="2"/>
    </row>
    <row r="38" spans="2:19" ht="12" customHeight="1">
      <c r="B38" s="14">
        <f>B37+1</f>
        <v>12</v>
      </c>
      <c r="C38" s="10" t="s">
        <v>243</v>
      </c>
      <c r="D38" s="10"/>
      <c r="E38" s="10"/>
      <c r="F38" s="10"/>
      <c r="G38" s="10"/>
      <c r="H38" s="14"/>
      <c r="I38" s="10"/>
      <c r="J38" s="10"/>
      <c r="K38" s="24">
        <f>SUM(K36:K37)</f>
        <v>523632</v>
      </c>
      <c r="L38" s="10"/>
      <c r="M38" s="10"/>
      <c r="N38" s="2"/>
      <c r="O38" s="2"/>
      <c r="P38" s="2"/>
      <c r="Q38" s="2"/>
      <c r="R38" s="2"/>
      <c r="S38" s="2"/>
    </row>
    <row r="39" spans="2:19" ht="12" customHeight="1">
      <c r="B39" s="121"/>
      <c r="C39" s="1"/>
      <c r="D39" s="1"/>
      <c r="E39" s="1"/>
      <c r="F39" s="1"/>
      <c r="G39" s="1"/>
      <c r="H39" s="1"/>
      <c r="I39" s="1"/>
      <c r="J39" s="1"/>
      <c r="K39" s="1"/>
      <c r="L39" s="10"/>
      <c r="M39" s="10"/>
      <c r="N39" s="2"/>
      <c r="O39" s="2"/>
      <c r="P39" s="2"/>
      <c r="Q39" s="2"/>
      <c r="R39" s="2"/>
      <c r="S39" s="2"/>
    </row>
    <row r="40" spans="2:19" ht="12" customHeight="1">
      <c r="B40" s="14"/>
      <c r="C40" s="96" t="s">
        <v>239</v>
      </c>
      <c r="D40" s="10"/>
      <c r="E40" s="10"/>
      <c r="F40" s="10"/>
      <c r="G40" s="10"/>
      <c r="H40" s="14"/>
      <c r="I40" s="10"/>
      <c r="J40" s="10"/>
      <c r="K40" s="10"/>
      <c r="L40" s="10"/>
      <c r="M40" s="10"/>
      <c r="N40" s="2"/>
      <c r="O40" s="2"/>
      <c r="P40" s="2"/>
      <c r="Q40" s="2"/>
      <c r="R40" s="2"/>
      <c r="S40" s="2"/>
    </row>
    <row r="41" spans="2:19" ht="12" customHeight="1">
      <c r="B41" s="14">
        <f>B38+1</f>
        <v>13</v>
      </c>
      <c r="C41" s="10" t="s">
        <v>241</v>
      </c>
      <c r="D41" s="1"/>
      <c r="E41" s="15">
        <v>3000</v>
      </c>
      <c r="F41" s="11" t="s">
        <v>48</v>
      </c>
      <c r="G41" s="10">
        <v>365</v>
      </c>
      <c r="H41" s="14" t="s">
        <v>49</v>
      </c>
      <c r="I41" s="16">
        <v>0.06</v>
      </c>
      <c r="J41" s="11" t="s">
        <v>228</v>
      </c>
      <c r="K41" s="24">
        <f>E41*G41*I41</f>
        <v>65700</v>
      </c>
      <c r="L41" s="1"/>
      <c r="M41" s="10"/>
      <c r="N41" s="2"/>
      <c r="O41" s="2"/>
      <c r="P41" s="2"/>
      <c r="Q41" s="2"/>
      <c r="R41" s="2"/>
      <c r="S41" s="2"/>
    </row>
    <row r="42" spans="2:19" ht="12" customHeight="1" thickBot="1">
      <c r="B42" s="14">
        <f>B41+1</f>
        <v>14</v>
      </c>
      <c r="C42" s="10" t="s">
        <v>237</v>
      </c>
      <c r="D42" s="1"/>
      <c r="E42" s="15">
        <v>50000</v>
      </c>
      <c r="F42" s="11" t="s">
        <v>48</v>
      </c>
      <c r="G42" s="10">
        <v>151</v>
      </c>
      <c r="H42" s="14" t="s">
        <v>49</v>
      </c>
      <c r="I42" s="16">
        <f>I41</f>
        <v>0.06</v>
      </c>
      <c r="J42" s="11" t="s">
        <v>228</v>
      </c>
      <c r="K42" s="119">
        <f>E42*G42*I42</f>
        <v>453000</v>
      </c>
      <c r="L42" s="1"/>
      <c r="M42" s="10"/>
      <c r="N42" s="2"/>
      <c r="O42" s="2"/>
      <c r="P42" s="2"/>
      <c r="Q42" s="2"/>
      <c r="R42" s="2"/>
      <c r="S42" s="2"/>
    </row>
    <row r="43" spans="2:19" ht="12" customHeight="1">
      <c r="B43" s="14">
        <f>B42+1</f>
        <v>15</v>
      </c>
      <c r="C43" s="10" t="s">
        <v>244</v>
      </c>
      <c r="D43" s="10"/>
      <c r="E43" s="10"/>
      <c r="F43" s="10"/>
      <c r="G43" s="10"/>
      <c r="H43" s="10"/>
      <c r="I43" s="10"/>
      <c r="J43" s="10"/>
      <c r="K43" s="24">
        <f>SUM(K41:K42)</f>
        <v>518700</v>
      </c>
      <c r="L43" s="1"/>
      <c r="M43" s="10"/>
      <c r="N43" s="2"/>
      <c r="O43" s="2"/>
      <c r="P43" s="2"/>
      <c r="Q43" s="2"/>
      <c r="R43" s="2"/>
      <c r="S43" s="2"/>
    </row>
    <row r="44" spans="2:19" ht="12" customHeight="1">
      <c r="B44" s="121"/>
      <c r="C44" s="1"/>
      <c r="D44" s="1"/>
      <c r="E44" s="1"/>
      <c r="F44" s="1"/>
      <c r="G44" s="1"/>
      <c r="H44" s="1"/>
      <c r="I44" s="1"/>
      <c r="J44" s="1"/>
      <c r="K44" s="1"/>
      <c r="L44" s="1"/>
      <c r="M44" s="10"/>
      <c r="N44" s="2"/>
      <c r="O44" s="2"/>
      <c r="P44" s="2"/>
      <c r="Q44" s="2"/>
      <c r="R44" s="2"/>
      <c r="S44" s="2"/>
    </row>
    <row r="45" spans="2:19" ht="12" customHeight="1">
      <c r="B45" s="14">
        <f>B43+1</f>
        <v>16</v>
      </c>
      <c r="C45" s="10" t="s">
        <v>55</v>
      </c>
      <c r="D45" s="10"/>
      <c r="E45" s="10"/>
      <c r="F45" s="10"/>
      <c r="G45" s="10"/>
      <c r="H45" s="10"/>
      <c r="I45" s="10"/>
      <c r="J45" s="10"/>
      <c r="K45" s="10"/>
      <c r="L45" s="12">
        <f>K38+K43</f>
        <v>1042332</v>
      </c>
      <c r="M45" s="10"/>
      <c r="N45" s="2"/>
      <c r="O45" s="2"/>
      <c r="P45" s="2"/>
      <c r="Q45" s="2"/>
      <c r="R45" s="2"/>
      <c r="S45" s="2"/>
    </row>
    <row r="46" spans="2:19" ht="12" customHeight="1"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2"/>
      <c r="M46" s="10"/>
      <c r="N46" s="2"/>
      <c r="O46" s="2"/>
      <c r="P46" s="2"/>
      <c r="Q46" s="2"/>
      <c r="R46" s="2"/>
      <c r="S46" s="2"/>
    </row>
    <row r="47" spans="2:19" ht="12" customHeight="1">
      <c r="B47" s="14"/>
      <c r="M47" s="10"/>
      <c r="N47" s="2"/>
      <c r="O47" s="2"/>
      <c r="P47" s="2"/>
      <c r="Q47" s="2"/>
      <c r="R47" s="2"/>
      <c r="S47" s="2"/>
    </row>
    <row r="48" spans="2:19" ht="12" customHeight="1">
      <c r="B48" s="14"/>
      <c r="C48" s="96" t="s">
        <v>240</v>
      </c>
      <c r="M48" s="10"/>
      <c r="N48" s="2"/>
      <c r="O48" s="2"/>
      <c r="P48" s="2"/>
      <c r="Q48" s="2"/>
      <c r="R48" s="2"/>
      <c r="S48" s="2"/>
    </row>
    <row r="49" spans="2:19" ht="12" customHeight="1">
      <c r="B49" s="14"/>
      <c r="C49" s="96"/>
      <c r="M49" s="10"/>
      <c r="N49" s="2"/>
      <c r="O49" s="2"/>
      <c r="P49" s="2"/>
      <c r="Q49" s="2"/>
      <c r="R49" s="2"/>
      <c r="S49" s="2"/>
    </row>
    <row r="50" spans="2:19" ht="12" customHeight="1">
      <c r="B50" s="14">
        <f>B45+1</f>
        <v>17</v>
      </c>
      <c r="C50" s="10" t="s">
        <v>212</v>
      </c>
      <c r="E50" s="15">
        <v>12</v>
      </c>
      <c r="G50" t="s">
        <v>214</v>
      </c>
      <c r="H50" s="14" t="s">
        <v>49</v>
      </c>
      <c r="I50" s="24">
        <v>541336</v>
      </c>
      <c r="J50" s="97" t="s">
        <v>215</v>
      </c>
      <c r="K50" s="24">
        <f>E50*I50</f>
        <v>6496032</v>
      </c>
      <c r="M50" s="10"/>
      <c r="N50" s="2"/>
      <c r="O50" s="2"/>
      <c r="P50" s="2"/>
      <c r="Q50" s="2"/>
      <c r="R50" s="2"/>
      <c r="S50" s="2"/>
    </row>
    <row r="51" spans="2:19" ht="12" customHeight="1">
      <c r="B51" s="14">
        <f>B50+1</f>
        <v>18</v>
      </c>
      <c r="C51" s="10" t="s">
        <v>213</v>
      </c>
      <c r="E51" s="15">
        <v>38089675</v>
      </c>
      <c r="G51" s="14" t="s">
        <v>49</v>
      </c>
      <c r="I51" s="16">
        <v>0.12287</v>
      </c>
      <c r="J51" s="97" t="s">
        <v>215</v>
      </c>
      <c r="K51" s="24">
        <f>E51*I51</f>
        <v>4680078.36725</v>
      </c>
      <c r="M51" s="10"/>
      <c r="N51" s="2"/>
      <c r="O51" s="2"/>
      <c r="P51" s="2"/>
      <c r="Q51" s="2"/>
      <c r="R51" s="2"/>
      <c r="S51" s="2"/>
    </row>
    <row r="52" spans="2:19" ht="12" customHeight="1">
      <c r="B52" s="14">
        <f>B51+1</f>
        <v>19</v>
      </c>
      <c r="C52" s="10" t="s">
        <v>216</v>
      </c>
      <c r="L52" s="24">
        <f>K50+K51</f>
        <v>11176110.36725</v>
      </c>
      <c r="M52" s="10"/>
      <c r="N52" s="2"/>
      <c r="O52" s="2"/>
      <c r="P52" s="2"/>
      <c r="Q52" s="2"/>
      <c r="R52" s="2"/>
      <c r="S52" s="2"/>
    </row>
    <row r="53" spans="2:19" ht="12" customHeight="1">
      <c r="B53" s="122"/>
      <c r="M53" s="10"/>
      <c r="N53" s="6"/>
      <c r="O53" s="2"/>
      <c r="P53" s="2"/>
      <c r="Q53" s="2"/>
      <c r="R53" s="2"/>
      <c r="S53" s="2"/>
    </row>
    <row r="54" spans="2:19" ht="12" customHeight="1">
      <c r="B54" s="14">
        <f>B52+1</f>
        <v>20</v>
      </c>
      <c r="C54" s="10" t="s">
        <v>328</v>
      </c>
      <c r="D54" s="10"/>
      <c r="E54" s="10"/>
      <c r="F54" s="10"/>
      <c r="G54" s="10"/>
      <c r="H54" s="10"/>
      <c r="I54" s="10"/>
      <c r="J54" s="10"/>
      <c r="K54" s="27">
        <f>L65+L67</f>
        <v>2209619.53159</v>
      </c>
      <c r="L54" s="1"/>
      <c r="M54" s="10"/>
      <c r="N54" s="2"/>
      <c r="O54" s="2"/>
      <c r="P54" s="2"/>
      <c r="Q54" s="2"/>
      <c r="R54" s="2"/>
      <c r="S54" s="2"/>
    </row>
    <row r="55" spans="2:19" ht="12" customHeight="1">
      <c r="B55" s="14">
        <f>B54+1</f>
        <v>21</v>
      </c>
      <c r="C55" s="10" t="s">
        <v>329</v>
      </c>
      <c r="D55" s="10"/>
      <c r="E55" s="10"/>
      <c r="F55" s="10"/>
      <c r="G55" s="10"/>
      <c r="H55" s="10"/>
      <c r="I55" s="10"/>
      <c r="J55" s="10"/>
      <c r="K55" s="24">
        <f>L64+L66</f>
        <v>2089135</v>
      </c>
      <c r="L55" s="1"/>
      <c r="M55" s="10"/>
      <c r="N55" s="2"/>
      <c r="O55" s="2"/>
      <c r="P55" s="2"/>
      <c r="Q55" s="2"/>
      <c r="R55" s="2"/>
      <c r="S55" s="2"/>
    </row>
    <row r="56" spans="2:19" ht="10.5" customHeight="1">
      <c r="B56" s="14">
        <f>B55+1</f>
        <v>22</v>
      </c>
      <c r="C56" s="10" t="s">
        <v>330</v>
      </c>
      <c r="D56" s="10"/>
      <c r="E56" s="10"/>
      <c r="F56" s="10"/>
      <c r="G56" s="10"/>
      <c r="H56" s="10"/>
      <c r="I56" s="10"/>
      <c r="J56" s="10"/>
      <c r="K56" s="12"/>
      <c r="L56" s="12">
        <f>SUM(K54:K55)</f>
        <v>4298754.53159</v>
      </c>
      <c r="M56" s="10"/>
      <c r="N56" s="2"/>
      <c r="O56" s="2"/>
      <c r="P56" s="2"/>
      <c r="Q56" s="2"/>
      <c r="R56" s="2"/>
      <c r="S56" s="2"/>
    </row>
    <row r="57" spans="2:19" ht="10.5" customHeight="1">
      <c r="B57" s="14"/>
      <c r="C57" s="10"/>
      <c r="D57" s="10"/>
      <c r="E57" s="10"/>
      <c r="F57" s="10"/>
      <c r="G57" s="10"/>
      <c r="H57" s="10"/>
      <c r="I57" s="10"/>
      <c r="J57" s="10"/>
      <c r="K57" s="12"/>
      <c r="L57" s="12"/>
      <c r="M57" s="10"/>
      <c r="N57" s="2"/>
      <c r="O57" s="2"/>
      <c r="P57" s="2"/>
      <c r="Q57" s="2"/>
      <c r="R57" s="2"/>
      <c r="S57" s="2"/>
    </row>
    <row r="58" spans="2:19" ht="10.5" customHeight="1">
      <c r="B58" s="14">
        <f>B56+1</f>
        <v>23</v>
      </c>
      <c r="C58" s="10" t="s">
        <v>327</v>
      </c>
      <c r="D58" s="10"/>
      <c r="E58" s="10"/>
      <c r="F58" s="10"/>
      <c r="G58" s="10"/>
      <c r="H58" s="10"/>
      <c r="I58" s="10"/>
      <c r="J58" s="10"/>
      <c r="K58" s="12"/>
      <c r="L58" s="12">
        <f>'1.6.4'!C21</f>
        <v>6056464.57440454</v>
      </c>
      <c r="M58" s="10"/>
      <c r="N58" s="2"/>
      <c r="O58" s="2"/>
      <c r="P58" s="2"/>
      <c r="Q58" s="2"/>
      <c r="R58" s="2"/>
      <c r="S58" s="2"/>
    </row>
    <row r="59" spans="2:19" ht="10.5" customHeight="1">
      <c r="B59" s="14"/>
      <c r="C59" s="10"/>
      <c r="D59" s="10"/>
      <c r="E59" s="10"/>
      <c r="F59" s="10"/>
      <c r="G59" s="10"/>
      <c r="H59" s="10"/>
      <c r="I59" s="10"/>
      <c r="J59" s="10"/>
      <c r="K59" s="12"/>
      <c r="L59" s="12"/>
      <c r="M59" s="10"/>
      <c r="N59" s="2"/>
      <c r="O59" s="2"/>
      <c r="P59" s="2"/>
      <c r="Q59" s="2"/>
      <c r="R59" s="2"/>
      <c r="S59" s="2"/>
    </row>
    <row r="60" spans="2:19" ht="10.5" customHeight="1" thickBot="1">
      <c r="B60" s="14"/>
      <c r="C60" s="10"/>
      <c r="D60" s="10"/>
      <c r="E60" s="10"/>
      <c r="F60" s="10"/>
      <c r="G60" s="10"/>
      <c r="H60" s="10"/>
      <c r="I60" s="10"/>
      <c r="J60" s="10"/>
      <c r="K60" s="12"/>
      <c r="L60" s="120"/>
      <c r="M60" s="10"/>
      <c r="N60" s="2"/>
      <c r="O60" s="2"/>
      <c r="P60" s="2"/>
      <c r="Q60" s="2"/>
      <c r="R60" s="2"/>
      <c r="S60" s="2"/>
    </row>
    <row r="61" spans="2:19" ht="10.5" customHeight="1" thickTop="1">
      <c r="B61" s="121"/>
      <c r="C61" s="1"/>
      <c r="D61" s="1"/>
      <c r="E61" s="1"/>
      <c r="F61" s="1"/>
      <c r="G61" s="1"/>
      <c r="H61" s="1"/>
      <c r="I61" s="1"/>
      <c r="J61" s="1"/>
      <c r="K61" s="1"/>
      <c r="L61" s="1"/>
      <c r="M61" s="10"/>
      <c r="N61" s="2"/>
      <c r="O61" s="2"/>
      <c r="P61" s="2"/>
      <c r="Q61" s="2"/>
      <c r="R61" s="2"/>
      <c r="S61" s="2"/>
    </row>
    <row r="62" spans="2:19" ht="10.5" customHeight="1">
      <c r="B62" s="14">
        <f>B58+1</f>
        <v>24</v>
      </c>
      <c r="C62" s="10" t="s">
        <v>56</v>
      </c>
      <c r="D62" s="10"/>
      <c r="E62" s="10"/>
      <c r="F62" s="10"/>
      <c r="G62" s="10"/>
      <c r="H62" s="10"/>
      <c r="I62" s="10"/>
      <c r="J62" s="10"/>
      <c r="K62" s="10"/>
      <c r="L62" s="12">
        <f>L30+L45+L56+L52+L58</f>
        <v>85230958.97324453</v>
      </c>
      <c r="M62" s="10"/>
      <c r="N62" s="2"/>
      <c r="O62" s="2"/>
      <c r="P62" s="2"/>
      <c r="Q62" s="2"/>
      <c r="R62" s="2"/>
      <c r="S62" s="2"/>
    </row>
    <row r="63" spans="2:19" ht="10.5" customHeight="1">
      <c r="B63" s="10"/>
      <c r="C63" s="10"/>
      <c r="D63" s="10"/>
      <c r="E63" s="15"/>
      <c r="F63" s="10"/>
      <c r="G63" s="10"/>
      <c r="H63" s="10"/>
      <c r="I63" s="1"/>
      <c r="J63" s="1"/>
      <c r="K63" s="1"/>
      <c r="L63" s="1"/>
      <c r="M63" s="10"/>
      <c r="N63" s="2"/>
      <c r="O63" s="2"/>
      <c r="P63" s="2"/>
      <c r="Q63" s="2"/>
      <c r="R63" s="2"/>
      <c r="S63" s="2"/>
    </row>
    <row r="64" spans="2:19" ht="10.5" customHeight="1">
      <c r="B64" s="10"/>
      <c r="C64" s="10"/>
      <c r="D64" s="10"/>
      <c r="E64" s="10"/>
      <c r="F64" s="10"/>
      <c r="G64" s="10"/>
      <c r="H64" s="10"/>
      <c r="I64" s="2" t="s">
        <v>57</v>
      </c>
      <c r="J64" s="2"/>
      <c r="K64" s="2"/>
      <c r="L64" s="28">
        <v>2089135</v>
      </c>
      <c r="M64" s="2"/>
      <c r="N64" s="2"/>
      <c r="O64" s="2"/>
      <c r="P64" s="2"/>
      <c r="Q64" s="2"/>
      <c r="R64" s="2"/>
      <c r="S64" s="2"/>
    </row>
    <row r="65" spans="2:19" ht="10.5" customHeight="1">
      <c r="B65" s="10"/>
      <c r="C65" s="10"/>
      <c r="D65" s="10"/>
      <c r="E65" s="10"/>
      <c r="F65" s="10"/>
      <c r="G65" s="10"/>
      <c r="H65" s="10"/>
      <c r="I65" s="2" t="s">
        <v>58</v>
      </c>
      <c r="J65" s="2"/>
      <c r="K65" s="2"/>
      <c r="L65" s="28">
        <v>1513990</v>
      </c>
      <c r="M65" s="2"/>
      <c r="N65" s="2"/>
      <c r="O65" s="2"/>
      <c r="P65" s="2"/>
      <c r="Q65" s="2"/>
      <c r="R65" s="2"/>
      <c r="S65" s="2"/>
    </row>
    <row r="66" spans="2:19" ht="10.5" customHeight="1">
      <c r="B66" s="1"/>
      <c r="C66" s="1"/>
      <c r="D66" s="1"/>
      <c r="E66" s="1"/>
      <c r="F66" s="1"/>
      <c r="G66" s="1"/>
      <c r="H66" s="1"/>
      <c r="I66" s="2" t="s">
        <v>59</v>
      </c>
      <c r="J66" s="2"/>
      <c r="K66" s="2"/>
      <c r="L66" s="28">
        <v>0</v>
      </c>
      <c r="M66" s="2"/>
      <c r="N66" s="2"/>
      <c r="O66" s="2"/>
      <c r="P66" s="2"/>
      <c r="Q66" s="2"/>
      <c r="R66" s="2"/>
      <c r="S66" s="2"/>
    </row>
    <row r="67" spans="2:19" ht="10.5" customHeight="1">
      <c r="B67" s="1"/>
      <c r="C67" s="1"/>
      <c r="D67" s="1"/>
      <c r="E67" s="1"/>
      <c r="F67" s="1"/>
      <c r="G67" s="1"/>
      <c r="H67" s="1"/>
      <c r="I67" s="2" t="s">
        <v>60</v>
      </c>
      <c r="J67" s="29">
        <v>0.12901</v>
      </c>
      <c r="K67" s="4">
        <v>5392059</v>
      </c>
      <c r="L67" s="28">
        <f>J67*K67</f>
        <v>695629.53159</v>
      </c>
      <c r="M67" s="2"/>
      <c r="N67" s="2"/>
      <c r="O67" s="2"/>
      <c r="P67" s="2"/>
      <c r="Q67" s="2"/>
      <c r="R67" s="2"/>
      <c r="S67" s="2"/>
    </row>
    <row r="68" spans="13:19" ht="10.5" customHeight="1">
      <c r="M68" s="2"/>
      <c r="N68" s="2"/>
      <c r="O68" s="2"/>
      <c r="P68" s="2"/>
      <c r="Q68" s="2"/>
      <c r="R68" s="2"/>
      <c r="S68" s="2"/>
    </row>
    <row r="69" spans="13:19" ht="10.5" customHeight="1">
      <c r="M69" s="2"/>
      <c r="N69" s="2"/>
      <c r="O69" s="2"/>
      <c r="P69" s="2"/>
      <c r="Q69" s="2"/>
      <c r="R69" s="2"/>
      <c r="S69" s="2"/>
    </row>
    <row r="70" spans="13:19" ht="10.5" customHeight="1">
      <c r="M70" s="2"/>
      <c r="N70" s="2"/>
      <c r="O70" s="2"/>
      <c r="P70" s="2"/>
      <c r="Q70" s="2"/>
      <c r="R70" s="2"/>
      <c r="S70" s="2"/>
    </row>
    <row r="71" spans="2:19" ht="10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  <c r="Q71" s="2"/>
      <c r="R71" s="2"/>
      <c r="S71" s="2"/>
    </row>
    <row r="72" spans="2:19" ht="10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0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</row>
    <row r="74" spans="2:19" ht="10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0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0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0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0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0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0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0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0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0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0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0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</sheetData>
  <mergeCells count="1">
    <mergeCell ref="B2:M2"/>
  </mergeCells>
  <printOptions/>
  <pageMargins left="1.09" right="0.25" top="0.6" bottom="0.25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1:S97"/>
  <sheetViews>
    <sheetView workbookViewId="0" topLeftCell="A16">
      <selection activeCell="E26" sqref="E26"/>
    </sheetView>
  </sheetViews>
  <sheetFormatPr defaultColWidth="9.8515625" defaultRowHeight="12"/>
  <cols>
    <col min="1" max="1" width="7.00390625" style="0" customWidth="1"/>
    <col min="2" max="2" width="4.8515625" style="0" customWidth="1"/>
    <col min="3" max="3" width="16.140625" style="0" customWidth="1"/>
    <col min="4" max="4" width="11.8515625" style="0" customWidth="1"/>
    <col min="5" max="5" width="14.28125" style="0" bestFit="1" customWidth="1"/>
    <col min="6" max="6" width="2.8515625" style="0" customWidth="1"/>
    <col min="7" max="7" width="5.8515625" style="0" customWidth="1"/>
    <col min="8" max="8" width="2.8515625" style="0" customWidth="1"/>
    <col min="9" max="9" width="11.140625" style="0" bestFit="1" customWidth="1"/>
    <col min="10" max="10" width="7.8515625" style="0" customWidth="1"/>
    <col min="11" max="12" width="13.8515625" style="0" bestFit="1" customWidth="1"/>
    <col min="13" max="13" width="2.8515625" style="0" customWidth="1"/>
    <col min="14" max="15" width="10.8515625" style="0" bestFit="1" customWidth="1"/>
  </cols>
  <sheetData>
    <row r="1" spans="2:19" ht="12" customHeight="1">
      <c r="B1" s="10"/>
      <c r="C1" s="10"/>
      <c r="D1" s="10"/>
      <c r="E1" s="15"/>
      <c r="F1" s="10"/>
      <c r="G1" s="10"/>
      <c r="H1" s="10"/>
      <c r="I1" s="16"/>
      <c r="J1" s="10"/>
      <c r="K1" s="10"/>
      <c r="L1" s="10"/>
      <c r="M1" s="11" t="s">
        <v>37</v>
      </c>
      <c r="N1" s="2"/>
      <c r="O1" s="2"/>
      <c r="P1" s="2"/>
      <c r="Q1" s="2"/>
      <c r="R1" s="2"/>
      <c r="S1" s="2"/>
    </row>
    <row r="2" spans="2:19" ht="12" customHeight="1">
      <c r="B2" s="206" t="str">
        <f>'1.2'!A2</f>
        <v>Docket No. 06-057-01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"/>
      <c r="O2" s="2"/>
      <c r="P2" s="2"/>
      <c r="Q2" s="2"/>
      <c r="R2" s="2"/>
      <c r="S2" s="2"/>
    </row>
    <row r="3" spans="2:19" ht="12" customHeight="1">
      <c r="B3" s="10"/>
      <c r="C3" s="10"/>
      <c r="D3" s="10"/>
      <c r="E3" s="15"/>
      <c r="F3" s="10"/>
      <c r="G3" s="10"/>
      <c r="H3" s="10"/>
      <c r="I3" s="16"/>
      <c r="J3" s="10"/>
      <c r="K3" s="10"/>
      <c r="L3" s="10"/>
      <c r="M3" s="13" t="s">
        <v>370</v>
      </c>
      <c r="N3" s="2"/>
      <c r="O3" s="2"/>
      <c r="P3" s="2"/>
      <c r="Q3" s="2"/>
      <c r="R3" s="2"/>
      <c r="S3" s="2"/>
    </row>
    <row r="4" spans="2:19" ht="12" customHeight="1">
      <c r="B4" s="10"/>
      <c r="C4" s="10"/>
      <c r="D4" s="10"/>
      <c r="E4" s="15"/>
      <c r="F4" s="10"/>
      <c r="G4" s="10"/>
      <c r="H4" s="10"/>
      <c r="I4" s="16"/>
      <c r="J4" s="10"/>
      <c r="K4" s="15"/>
      <c r="L4" s="10"/>
      <c r="M4" s="13" t="s">
        <v>61</v>
      </c>
      <c r="N4" s="2"/>
      <c r="O4" s="2"/>
      <c r="P4" s="2"/>
      <c r="Q4" s="2"/>
      <c r="R4" s="2"/>
      <c r="S4" s="2"/>
    </row>
    <row r="5" spans="2:19" ht="10.5" customHeight="1">
      <c r="B5" s="10"/>
      <c r="C5" s="10"/>
      <c r="D5" s="10"/>
      <c r="E5" s="15"/>
      <c r="F5" s="10"/>
      <c r="G5" s="10"/>
      <c r="H5" s="10"/>
      <c r="I5" s="16"/>
      <c r="J5" s="10"/>
      <c r="K5" s="15"/>
      <c r="L5" s="10"/>
      <c r="M5" s="13"/>
      <c r="N5" s="2"/>
      <c r="O5" s="2"/>
      <c r="P5" s="2"/>
      <c r="Q5" s="2"/>
      <c r="R5" s="2"/>
      <c r="S5" s="2"/>
    </row>
    <row r="6" spans="2:19" ht="10.5" customHeight="1">
      <c r="B6" s="10"/>
      <c r="C6" s="10"/>
      <c r="D6" s="10"/>
      <c r="E6" s="15"/>
      <c r="F6" s="10"/>
      <c r="G6" s="10"/>
      <c r="H6" s="10"/>
      <c r="I6" s="16"/>
      <c r="J6" s="10"/>
      <c r="K6" s="15"/>
      <c r="L6" s="10"/>
      <c r="M6" s="13"/>
      <c r="N6" s="2"/>
      <c r="O6" s="2"/>
      <c r="P6" s="2"/>
      <c r="Q6" s="2"/>
      <c r="R6" s="2"/>
      <c r="S6" s="2"/>
    </row>
    <row r="7" spans="2:19" ht="10.5" customHeight="1">
      <c r="B7" s="10"/>
      <c r="C7" s="10"/>
      <c r="D7" s="10"/>
      <c r="E7" s="15"/>
      <c r="F7" s="10"/>
      <c r="G7" s="10"/>
      <c r="H7" s="10"/>
      <c r="I7" s="16"/>
      <c r="J7" s="10"/>
      <c r="K7" s="15"/>
      <c r="L7" s="10"/>
      <c r="M7" s="13"/>
      <c r="N7" s="2"/>
      <c r="O7" s="2"/>
      <c r="P7" s="2"/>
      <c r="Q7" s="2"/>
      <c r="R7" s="2"/>
      <c r="S7" s="2"/>
    </row>
    <row r="8" spans="2:19" ht="10.5" customHeight="1">
      <c r="B8" s="10"/>
      <c r="C8" s="10"/>
      <c r="D8" s="10"/>
      <c r="E8" s="15"/>
      <c r="F8" s="10"/>
      <c r="G8" s="10"/>
      <c r="H8" s="10"/>
      <c r="I8" s="16"/>
      <c r="J8" s="10"/>
      <c r="K8" s="15"/>
      <c r="L8" s="10"/>
      <c r="M8" s="13"/>
      <c r="N8" s="2"/>
      <c r="O8" s="2"/>
      <c r="P8" s="2"/>
      <c r="Q8" s="2"/>
      <c r="R8" s="2"/>
      <c r="S8" s="2"/>
    </row>
    <row r="9" spans="2:19" ht="10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"/>
      <c r="O9" s="2"/>
      <c r="P9" s="2"/>
      <c r="Q9" s="2"/>
      <c r="R9" s="2"/>
      <c r="S9" s="2"/>
    </row>
    <row r="10" spans="2:19" ht="10.5" customHeight="1">
      <c r="B10" s="10"/>
      <c r="C10" s="10"/>
      <c r="D10" s="10"/>
      <c r="E10" s="10"/>
      <c r="F10" s="10"/>
      <c r="G10" s="85" t="s">
        <v>246</v>
      </c>
      <c r="H10" s="10"/>
      <c r="I10" s="16"/>
      <c r="J10" s="10"/>
      <c r="K10" s="10"/>
      <c r="L10" s="10"/>
      <c r="M10" s="10"/>
      <c r="N10" s="2"/>
      <c r="O10" s="2"/>
      <c r="P10" s="2"/>
      <c r="Q10" s="2"/>
      <c r="R10" s="2"/>
      <c r="S10" s="2"/>
    </row>
    <row r="11" spans="2:19" ht="10.5" customHeight="1">
      <c r="B11" s="10"/>
      <c r="C11" s="10"/>
      <c r="D11" s="10"/>
      <c r="E11" s="10"/>
      <c r="F11" s="10"/>
      <c r="G11" s="85"/>
      <c r="H11" s="10"/>
      <c r="I11" s="16"/>
      <c r="J11" s="10"/>
      <c r="K11" s="10"/>
      <c r="L11" s="10"/>
      <c r="M11" s="10"/>
      <c r="N11" s="2"/>
      <c r="O11" s="2"/>
      <c r="P11" s="2"/>
      <c r="Q11" s="2"/>
      <c r="R11" s="2"/>
      <c r="S11" s="2"/>
    </row>
    <row r="12" spans="2:19" ht="10.5" customHeight="1">
      <c r="B12" s="10"/>
      <c r="C12" s="10"/>
      <c r="D12" s="10"/>
      <c r="E12" s="10"/>
      <c r="F12" s="10"/>
      <c r="G12" s="85"/>
      <c r="H12" s="10"/>
      <c r="I12" s="16"/>
      <c r="J12" s="10"/>
      <c r="K12" s="10"/>
      <c r="L12" s="10"/>
      <c r="M12" s="10"/>
      <c r="N12" s="2"/>
      <c r="O12" s="2"/>
      <c r="P12" s="2"/>
      <c r="Q12" s="2"/>
      <c r="R12" s="2"/>
      <c r="S12" s="2"/>
    </row>
    <row r="13" spans="2:19" ht="10.5" customHeight="1">
      <c r="B13" s="10"/>
      <c r="C13" s="10"/>
      <c r="D13" s="10"/>
      <c r="E13" s="10"/>
      <c r="F13" s="10"/>
      <c r="G13" s="14"/>
      <c r="H13" s="10"/>
      <c r="I13" s="16"/>
      <c r="J13" s="10"/>
      <c r="K13" s="10"/>
      <c r="L13" s="10"/>
      <c r="M13" s="10"/>
      <c r="N13" s="2"/>
      <c r="O13" s="2"/>
      <c r="P13" s="2"/>
      <c r="Q13" s="2"/>
      <c r="R13" s="2"/>
      <c r="S13" s="2"/>
    </row>
    <row r="14" spans="2:19" ht="10.5" customHeight="1">
      <c r="B14" s="10"/>
      <c r="J14" s="10"/>
      <c r="K14" s="10"/>
      <c r="L14" s="10"/>
      <c r="M14" s="10"/>
      <c r="N14" s="2"/>
      <c r="O14" s="2"/>
      <c r="P14" s="2"/>
      <c r="Q14" s="2"/>
      <c r="R14" s="2"/>
      <c r="S14" s="2"/>
    </row>
    <row r="15" spans="2:19" ht="10.5" customHeight="1">
      <c r="B15" s="10"/>
      <c r="C15" s="105" t="s">
        <v>62</v>
      </c>
      <c r="D15" s="102"/>
      <c r="E15" s="102" t="s">
        <v>261</v>
      </c>
      <c r="F15" s="10"/>
      <c r="G15" s="10"/>
      <c r="H15" s="10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</row>
    <row r="16" spans="2:19" ht="10.5" customHeight="1">
      <c r="B16" s="10"/>
      <c r="C16" s="10"/>
      <c r="D16" s="10"/>
      <c r="E16" s="15"/>
      <c r="F16" s="10"/>
      <c r="G16" s="10"/>
      <c r="H16" s="10"/>
      <c r="I16" s="16"/>
      <c r="J16" s="10"/>
      <c r="K16" s="15"/>
      <c r="L16" s="12"/>
      <c r="M16" s="10"/>
      <c r="N16" s="2"/>
      <c r="O16" s="2"/>
      <c r="P16" s="2"/>
      <c r="Q16" s="2"/>
      <c r="R16" s="2"/>
      <c r="S16" s="2"/>
    </row>
    <row r="17" spans="2:19" ht="12" customHeight="1">
      <c r="B17" s="10"/>
      <c r="C17" s="165" t="s">
        <v>221</v>
      </c>
      <c r="D17" s="146"/>
      <c r="E17" s="151" t="s">
        <v>222</v>
      </c>
      <c r="F17" s="146"/>
      <c r="G17" s="151" t="s">
        <v>223</v>
      </c>
      <c r="H17" s="146"/>
      <c r="I17" s="151" t="s">
        <v>224</v>
      </c>
      <c r="J17" s="10"/>
      <c r="K17" s="151" t="s">
        <v>229</v>
      </c>
      <c r="L17" s="151" t="s">
        <v>230</v>
      </c>
      <c r="M17" s="10"/>
      <c r="N17" s="2"/>
      <c r="O17" s="2"/>
      <c r="P17" s="2"/>
      <c r="Q17" s="2"/>
      <c r="R17" s="2"/>
      <c r="S17" s="2"/>
    </row>
    <row r="18" spans="2:19" ht="10.5" customHeight="1" thickBot="1">
      <c r="B18" s="10"/>
      <c r="C18" s="130" t="s">
        <v>225</v>
      </c>
      <c r="D18" s="112"/>
      <c r="E18" s="131" t="s">
        <v>247</v>
      </c>
      <c r="F18" s="112"/>
      <c r="G18" s="113" t="s">
        <v>64</v>
      </c>
      <c r="H18" s="112"/>
      <c r="I18" s="114" t="s">
        <v>46</v>
      </c>
      <c r="J18" s="112"/>
      <c r="K18" s="148"/>
      <c r="L18" s="132" t="s">
        <v>231</v>
      </c>
      <c r="M18" s="10"/>
      <c r="N18" s="2"/>
      <c r="O18" s="2"/>
      <c r="P18" s="2"/>
      <c r="Q18" s="2"/>
      <c r="R18" s="2"/>
      <c r="S18" s="2"/>
    </row>
    <row r="19" spans="2:19" ht="10.5" customHeight="1" thickTop="1">
      <c r="B19" s="10"/>
      <c r="C19" s="133" t="s">
        <v>63</v>
      </c>
      <c r="D19" s="134"/>
      <c r="E19" s="135"/>
      <c r="F19" s="134"/>
      <c r="G19" s="134"/>
      <c r="H19" s="134"/>
      <c r="I19" s="135"/>
      <c r="J19" s="134"/>
      <c r="K19" s="136"/>
      <c r="L19" s="135"/>
      <c r="M19" s="10"/>
      <c r="N19" s="2"/>
      <c r="O19" s="2"/>
      <c r="P19" s="2"/>
      <c r="Q19" s="2"/>
      <c r="R19" s="2"/>
      <c r="S19" s="2"/>
    </row>
    <row r="20" spans="2:19" ht="12" customHeight="1">
      <c r="B20" s="14">
        <v>1</v>
      </c>
      <c r="C20" s="10" t="s">
        <v>249</v>
      </c>
      <c r="D20" s="22"/>
      <c r="E20" s="15">
        <v>184625</v>
      </c>
      <c r="F20" s="11" t="s">
        <v>49</v>
      </c>
      <c r="G20" s="14">
        <v>12</v>
      </c>
      <c r="H20" s="11" t="s">
        <v>65</v>
      </c>
      <c r="I20" s="23">
        <v>2.87375</v>
      </c>
      <c r="J20" s="11" t="s">
        <v>248</v>
      </c>
      <c r="K20" s="12">
        <f>ROUND(E20*G20*I20,0)</f>
        <v>6366793</v>
      </c>
      <c r="L20" s="12"/>
      <c r="M20" s="10"/>
      <c r="N20" s="2"/>
      <c r="O20" s="2"/>
      <c r="P20" s="2"/>
      <c r="Q20" s="2"/>
      <c r="R20" s="2"/>
      <c r="S20" s="2"/>
    </row>
    <row r="21" spans="2:19" ht="12" customHeight="1">
      <c r="B21" s="14">
        <f>B20+1</f>
        <v>2</v>
      </c>
      <c r="C21" s="10" t="s">
        <v>250</v>
      </c>
      <c r="D21" s="22"/>
      <c r="E21" s="15">
        <f>31063+31063+48813+444+444</f>
        <v>111827</v>
      </c>
      <c r="F21" s="11" t="s">
        <v>49</v>
      </c>
      <c r="G21" s="14">
        <v>12</v>
      </c>
      <c r="H21" s="11" t="s">
        <v>65</v>
      </c>
      <c r="I21" s="23">
        <v>2.85338</v>
      </c>
      <c r="J21" s="11" t="s">
        <v>248</v>
      </c>
      <c r="K21" s="15">
        <f>ROUND(E21*G21*I21,0)</f>
        <v>3829019</v>
      </c>
      <c r="L21" s="12"/>
      <c r="M21" s="10"/>
      <c r="N21" s="2"/>
      <c r="O21" s="2"/>
      <c r="P21" s="2"/>
      <c r="Q21" s="2"/>
      <c r="R21" s="2"/>
      <c r="S21" s="2"/>
    </row>
    <row r="22" spans="2:19" ht="12" customHeight="1" thickBot="1">
      <c r="B22" s="14">
        <f>B21+1</f>
        <v>3</v>
      </c>
      <c r="C22" s="10" t="s">
        <v>251</v>
      </c>
      <c r="D22" s="10"/>
      <c r="E22" s="15">
        <f>3727500+3727500+5857500+53250+53250</f>
        <v>13419000</v>
      </c>
      <c r="F22" s="11" t="s">
        <v>49</v>
      </c>
      <c r="G22" s="14">
        <v>12</v>
      </c>
      <c r="H22" s="11" t="s">
        <v>65</v>
      </c>
      <c r="I22" s="23">
        <v>0.02378</v>
      </c>
      <c r="J22" s="11" t="s">
        <v>248</v>
      </c>
      <c r="K22" s="119">
        <f>ROUND(E22*G22*I22,0)</f>
        <v>3829246</v>
      </c>
      <c r="L22" s="12"/>
      <c r="M22" s="10"/>
      <c r="N22" s="2"/>
      <c r="O22" s="2"/>
      <c r="P22" s="2"/>
      <c r="Q22" s="2"/>
      <c r="R22" s="2"/>
      <c r="S22" s="2"/>
    </row>
    <row r="23" spans="2:19" ht="13.5" customHeight="1">
      <c r="B23" s="14">
        <f>B22+1</f>
        <v>4</v>
      </c>
      <c r="C23" s="10" t="s">
        <v>252</v>
      </c>
      <c r="D23" s="10"/>
      <c r="E23" s="10"/>
      <c r="F23" s="10"/>
      <c r="G23" s="10"/>
      <c r="H23" s="10"/>
      <c r="I23" s="10"/>
      <c r="J23" s="10"/>
      <c r="K23" s="12">
        <f>K20+K21+K22</f>
        <v>14025058</v>
      </c>
      <c r="L23" s="10"/>
      <c r="M23" s="10"/>
      <c r="N23" s="6"/>
      <c r="O23" s="2"/>
      <c r="P23" s="2"/>
      <c r="Q23" s="2"/>
      <c r="R23" s="2"/>
      <c r="S23" s="2"/>
    </row>
    <row r="24" spans="2:19" ht="10.5" customHeight="1"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"/>
      <c r="O24" s="2"/>
      <c r="P24" s="2"/>
      <c r="Q24" s="2"/>
      <c r="R24" s="2"/>
      <c r="S24" s="2"/>
    </row>
    <row r="25" spans="2:19" ht="10.5" customHeight="1">
      <c r="B25" s="14"/>
      <c r="C25" s="10"/>
      <c r="D25" s="10"/>
      <c r="E25" s="31"/>
      <c r="F25" s="10"/>
      <c r="G25" s="11"/>
      <c r="H25" s="10"/>
      <c r="I25" s="79"/>
      <c r="J25" s="10"/>
      <c r="K25" s="15"/>
      <c r="L25" s="10"/>
      <c r="M25" s="10"/>
      <c r="N25" s="2"/>
      <c r="O25" s="2"/>
      <c r="P25" s="2"/>
      <c r="Q25" s="2"/>
      <c r="R25" s="2"/>
      <c r="S25" s="2"/>
    </row>
    <row r="26" spans="2:19" ht="10.5" customHeight="1">
      <c r="B26" s="14"/>
      <c r="C26" s="96" t="s">
        <v>66</v>
      </c>
      <c r="D26" s="10"/>
      <c r="E26" s="31"/>
      <c r="F26" s="10"/>
      <c r="G26" s="10"/>
      <c r="H26" s="10"/>
      <c r="I26" s="31"/>
      <c r="J26" s="32"/>
      <c r="K26" s="32"/>
      <c r="L26" s="10"/>
      <c r="M26" s="10"/>
      <c r="N26" s="2"/>
      <c r="O26" s="2"/>
      <c r="P26" s="2"/>
      <c r="Q26" s="2"/>
      <c r="R26" s="2"/>
      <c r="S26" s="2"/>
    </row>
    <row r="27" spans="2:19" ht="12" customHeight="1">
      <c r="B27" s="14">
        <f>B23+1</f>
        <v>5</v>
      </c>
      <c r="C27" s="10" t="s">
        <v>253</v>
      </c>
      <c r="D27" s="10"/>
      <c r="E27" s="19">
        <v>1674238</v>
      </c>
      <c r="F27" s="10"/>
      <c r="G27" s="11" t="s">
        <v>65</v>
      </c>
      <c r="H27" s="11"/>
      <c r="I27" s="23">
        <v>0.03872</v>
      </c>
      <c r="J27" s="11" t="s">
        <v>248</v>
      </c>
      <c r="K27" s="12">
        <f>ROUND(E27*I27,0)</f>
        <v>64826</v>
      </c>
      <c r="L27" s="12"/>
      <c r="M27" s="10"/>
      <c r="N27" s="7"/>
      <c r="O27" s="7"/>
      <c r="P27" s="2"/>
      <c r="Q27" s="2"/>
      <c r="R27" s="2"/>
      <c r="S27" s="2"/>
    </row>
    <row r="28" spans="2:19" ht="12" customHeight="1">
      <c r="B28" s="14">
        <f>B27+1</f>
        <v>6</v>
      </c>
      <c r="C28" s="10" t="s">
        <v>254</v>
      </c>
      <c r="D28" s="10"/>
      <c r="E28" s="19">
        <v>2008468</v>
      </c>
      <c r="F28" s="10"/>
      <c r="G28" s="11" t="s">
        <v>65</v>
      </c>
      <c r="H28" s="11"/>
      <c r="I28" s="23">
        <v>0.03872</v>
      </c>
      <c r="J28" s="11" t="s">
        <v>248</v>
      </c>
      <c r="K28" s="15">
        <f>ROUND(E28*I28,0)</f>
        <v>77768</v>
      </c>
      <c r="L28" s="12"/>
      <c r="M28" s="10"/>
      <c r="N28" s="7"/>
      <c r="O28" s="7"/>
      <c r="P28" s="2"/>
      <c r="Q28" s="2"/>
      <c r="R28" s="2"/>
      <c r="S28" s="2"/>
    </row>
    <row r="29" spans="2:19" ht="12" customHeight="1">
      <c r="B29" s="14">
        <f>B28+1</f>
        <v>7</v>
      </c>
      <c r="C29" s="10" t="s">
        <v>255</v>
      </c>
      <c r="D29" s="10"/>
      <c r="E29" s="19">
        <v>11961260</v>
      </c>
      <c r="F29" s="10"/>
      <c r="G29" s="11" t="s">
        <v>65</v>
      </c>
      <c r="H29" s="11"/>
      <c r="I29" s="23">
        <v>0.01049</v>
      </c>
      <c r="J29" s="11" t="s">
        <v>248</v>
      </c>
      <c r="K29" s="15">
        <f>ROUND(E29*I29,0)</f>
        <v>125474</v>
      </c>
      <c r="L29" s="12"/>
      <c r="M29" s="10"/>
      <c r="N29" s="2"/>
      <c r="O29" s="2"/>
      <c r="P29" s="2"/>
      <c r="Q29" s="2"/>
      <c r="R29" s="2"/>
      <c r="S29" s="2"/>
    </row>
    <row r="30" spans="2:19" ht="12" customHeight="1" thickBot="1">
      <c r="B30" s="14">
        <f>B29+1</f>
        <v>8</v>
      </c>
      <c r="C30" s="10" t="s">
        <v>256</v>
      </c>
      <c r="D30" s="22"/>
      <c r="E30" s="19">
        <v>14525893</v>
      </c>
      <c r="F30" s="10"/>
      <c r="G30" s="11" t="s">
        <v>65</v>
      </c>
      <c r="H30" s="11"/>
      <c r="I30" s="23">
        <v>0.01781</v>
      </c>
      <c r="J30" s="11" t="s">
        <v>248</v>
      </c>
      <c r="K30" s="119">
        <f>ROUND(E30*I30,0)</f>
        <v>258706</v>
      </c>
      <c r="L30" s="12"/>
      <c r="M30" s="10"/>
      <c r="N30" s="2"/>
      <c r="O30" s="2"/>
      <c r="P30" s="2"/>
      <c r="Q30" s="2"/>
      <c r="R30" s="2"/>
      <c r="S30" s="2"/>
    </row>
    <row r="31" spans="2:19" ht="13.5" customHeight="1">
      <c r="B31" s="14">
        <f>B30+1</f>
        <v>9</v>
      </c>
      <c r="C31" s="10" t="s">
        <v>257</v>
      </c>
      <c r="D31" s="10"/>
      <c r="E31" s="10"/>
      <c r="F31" s="10"/>
      <c r="G31" s="10"/>
      <c r="H31" s="10"/>
      <c r="I31" s="10"/>
      <c r="J31" s="10"/>
      <c r="K31" s="12">
        <f>K27+K28+K29+K30</f>
        <v>526774</v>
      </c>
      <c r="L31" s="12"/>
      <c r="M31" s="10"/>
      <c r="N31" s="2"/>
      <c r="O31" s="2"/>
      <c r="P31" s="2"/>
      <c r="Q31" s="2"/>
      <c r="R31" s="2"/>
      <c r="S31" s="2"/>
    </row>
    <row r="32" spans="2:19" ht="10.5" customHeight="1"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"/>
      <c r="O32" s="2"/>
      <c r="P32" s="2"/>
      <c r="Q32" s="2"/>
      <c r="R32" s="2"/>
      <c r="S32" s="2"/>
    </row>
    <row r="33" spans="2:19" ht="10.5" customHeight="1">
      <c r="B33" s="14">
        <f>B31+1</f>
        <v>10</v>
      </c>
      <c r="C33" s="10" t="s">
        <v>67</v>
      </c>
      <c r="D33" s="10"/>
      <c r="E33" s="10"/>
      <c r="F33" s="10"/>
      <c r="G33" s="10"/>
      <c r="H33" s="10"/>
      <c r="I33" s="10"/>
      <c r="J33" s="10"/>
      <c r="K33" s="10"/>
      <c r="L33" s="12">
        <f>K23+K31</f>
        <v>14551832</v>
      </c>
      <c r="M33" s="10"/>
      <c r="N33" s="2"/>
      <c r="O33" s="2"/>
      <c r="P33" s="2"/>
      <c r="Q33" s="2"/>
      <c r="R33" s="2"/>
      <c r="S33" s="2"/>
    </row>
    <row r="34" spans="2:19" ht="10.5" customHeight="1"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2"/>
      <c r="M34" s="10"/>
      <c r="N34" s="2"/>
      <c r="O34" s="2"/>
      <c r="P34" s="2"/>
      <c r="Q34" s="2"/>
      <c r="R34" s="2"/>
      <c r="S34" s="2"/>
    </row>
    <row r="35" spans="2:19" ht="10.5" customHeight="1"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10"/>
      <c r="N35" s="2"/>
      <c r="O35" s="2"/>
      <c r="P35" s="2"/>
      <c r="Q35" s="2"/>
      <c r="R35" s="2"/>
      <c r="S35" s="2"/>
    </row>
    <row r="36" spans="2:19" ht="10.5" customHeight="1">
      <c r="B36" s="14"/>
      <c r="C36" s="96" t="s">
        <v>258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"/>
      <c r="O36" s="2"/>
      <c r="P36" s="2"/>
      <c r="Q36" s="2"/>
      <c r="R36" s="2"/>
      <c r="S36" s="2"/>
    </row>
    <row r="37" spans="2:19" ht="10.5" customHeight="1"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"/>
      <c r="O37" s="2"/>
      <c r="P37" s="2"/>
      <c r="Q37" s="2"/>
      <c r="R37" s="2"/>
      <c r="S37" s="2"/>
    </row>
    <row r="38" spans="2:19" ht="10.5" customHeight="1" thickBot="1">
      <c r="B38" s="14"/>
      <c r="C38" s="112" t="s">
        <v>188</v>
      </c>
      <c r="D38" s="112"/>
      <c r="E38" s="130" t="s">
        <v>259</v>
      </c>
      <c r="F38" s="112"/>
      <c r="G38" s="112"/>
      <c r="H38" s="112"/>
      <c r="I38" s="113" t="s">
        <v>260</v>
      </c>
      <c r="J38" s="112"/>
      <c r="K38" s="10"/>
      <c r="L38" s="10"/>
      <c r="M38" s="10"/>
      <c r="N38" s="2"/>
      <c r="O38" s="2"/>
      <c r="P38" s="2"/>
      <c r="Q38" s="2"/>
      <c r="R38" s="2"/>
      <c r="S38" s="2"/>
    </row>
    <row r="39" spans="2:19" ht="12" customHeight="1" thickTop="1">
      <c r="B39" s="14"/>
      <c r="C39" s="10"/>
      <c r="D39" s="10"/>
      <c r="E39" s="11"/>
      <c r="F39" s="10"/>
      <c r="G39" s="10"/>
      <c r="H39" s="10"/>
      <c r="I39" s="11"/>
      <c r="J39" s="10"/>
      <c r="K39" s="10"/>
      <c r="L39" s="15"/>
      <c r="M39" s="10"/>
      <c r="N39" s="2"/>
      <c r="O39" s="2"/>
      <c r="P39" s="2"/>
      <c r="Q39" s="2"/>
      <c r="R39" s="2"/>
      <c r="S39" s="2"/>
    </row>
    <row r="40" spans="2:19" ht="12" customHeight="1">
      <c r="B40" s="14">
        <f>B33+1</f>
        <v>11</v>
      </c>
      <c r="C40" s="30" t="s">
        <v>73</v>
      </c>
      <c r="D40" s="33">
        <v>2004</v>
      </c>
      <c r="E40" s="20">
        <v>48448900</v>
      </c>
      <c r="F40" s="10"/>
      <c r="G40" s="10"/>
      <c r="H40" s="10"/>
      <c r="I40" s="30"/>
      <c r="J40" s="33"/>
      <c r="K40" s="1"/>
      <c r="L40" s="20"/>
      <c r="M40" s="10"/>
      <c r="N40" s="30"/>
      <c r="O40" s="33"/>
      <c r="P40" s="20"/>
      <c r="Q40" s="20"/>
      <c r="R40" s="2"/>
      <c r="S40" s="2"/>
    </row>
    <row r="41" spans="2:19" ht="12" customHeight="1">
      <c r="B41" s="14">
        <f aca="true" t="shared" si="0" ref="B41:B52">B40+1</f>
        <v>12</v>
      </c>
      <c r="C41" s="30" t="s">
        <v>74</v>
      </c>
      <c r="D41" s="20"/>
      <c r="E41" s="20">
        <v>44339868</v>
      </c>
      <c r="F41" s="10"/>
      <c r="G41" s="10"/>
      <c r="H41" s="10"/>
      <c r="I41" s="30"/>
      <c r="J41" s="20"/>
      <c r="K41" s="1"/>
      <c r="L41" s="20"/>
      <c r="M41" s="10"/>
      <c r="N41" s="30"/>
      <c r="O41" s="20"/>
      <c r="P41" s="20"/>
      <c r="Q41" s="20"/>
      <c r="R41" s="2"/>
      <c r="S41" s="2"/>
    </row>
    <row r="42" spans="2:19" ht="12" customHeight="1">
      <c r="B42" s="14">
        <f t="shared" si="0"/>
        <v>13</v>
      </c>
      <c r="C42" s="30" t="s">
        <v>75</v>
      </c>
      <c r="D42" s="33">
        <v>2005</v>
      </c>
      <c r="E42" s="20">
        <v>34303868</v>
      </c>
      <c r="F42" s="10"/>
      <c r="G42" s="10"/>
      <c r="H42" s="10"/>
      <c r="I42" s="30"/>
      <c r="J42" s="2"/>
      <c r="K42" s="1"/>
      <c r="L42" s="20"/>
      <c r="M42" s="10"/>
      <c r="N42" s="30"/>
      <c r="O42" s="33"/>
      <c r="P42" s="20"/>
      <c r="Q42" s="20"/>
      <c r="R42" s="2"/>
      <c r="S42" s="2"/>
    </row>
    <row r="43" spans="2:19" ht="12" customHeight="1">
      <c r="B43" s="14">
        <f t="shared" si="0"/>
        <v>14</v>
      </c>
      <c r="C43" s="30" t="s">
        <v>76</v>
      </c>
      <c r="D43" s="20"/>
      <c r="E43" s="20">
        <v>22856090</v>
      </c>
      <c r="F43" s="10"/>
      <c r="G43" s="10"/>
      <c r="H43" s="10"/>
      <c r="I43" s="30"/>
      <c r="J43" s="2"/>
      <c r="K43" s="1"/>
      <c r="L43" s="20"/>
      <c r="M43" s="10"/>
      <c r="N43" s="30"/>
      <c r="O43" s="20"/>
      <c r="P43" s="20"/>
      <c r="Q43" s="20"/>
      <c r="R43" s="2"/>
      <c r="S43" s="2"/>
    </row>
    <row r="44" spans="2:19" ht="12" customHeight="1">
      <c r="B44" s="14">
        <f t="shared" si="0"/>
        <v>15</v>
      </c>
      <c r="C44" s="30" t="s">
        <v>77</v>
      </c>
      <c r="D44" s="20"/>
      <c r="E44" s="20">
        <v>12074136</v>
      </c>
      <c r="F44" s="10"/>
      <c r="G44" s="10"/>
      <c r="H44" s="10"/>
      <c r="I44" s="30"/>
      <c r="J44" s="33"/>
      <c r="K44" s="1"/>
      <c r="L44" s="20"/>
      <c r="M44" s="10"/>
      <c r="N44" s="30"/>
      <c r="O44" s="20"/>
      <c r="P44" s="20"/>
      <c r="Q44" s="20"/>
      <c r="R44" s="2"/>
      <c r="S44" s="2"/>
    </row>
    <row r="45" spans="2:19" ht="12" customHeight="1">
      <c r="B45" s="14">
        <f t="shared" si="0"/>
        <v>16</v>
      </c>
      <c r="C45" s="30" t="s">
        <v>78</v>
      </c>
      <c r="D45" s="20"/>
      <c r="E45" s="20">
        <v>7954168</v>
      </c>
      <c r="F45" s="10"/>
      <c r="G45" s="10"/>
      <c r="H45" s="10"/>
      <c r="I45" s="30"/>
      <c r="J45" s="2"/>
      <c r="K45" s="20"/>
      <c r="L45" s="20"/>
      <c r="M45" s="10"/>
      <c r="N45" s="30"/>
      <c r="O45" s="20"/>
      <c r="P45" s="20"/>
      <c r="Q45" s="20"/>
      <c r="R45" s="2"/>
      <c r="S45" s="2"/>
    </row>
    <row r="46" spans="2:19" ht="12" customHeight="1">
      <c r="B46" s="14">
        <f t="shared" si="0"/>
        <v>17</v>
      </c>
      <c r="C46" s="30" t="s">
        <v>79</v>
      </c>
      <c r="D46" s="20"/>
      <c r="E46" s="20">
        <v>12950216</v>
      </c>
      <c r="F46" s="10"/>
      <c r="G46" s="10"/>
      <c r="H46" s="10"/>
      <c r="I46" s="30"/>
      <c r="J46" s="2"/>
      <c r="K46" s="20"/>
      <c r="L46" s="20"/>
      <c r="M46" s="10"/>
      <c r="N46" s="30"/>
      <c r="O46" s="20"/>
      <c r="P46" s="20"/>
      <c r="Q46" s="20"/>
      <c r="R46" s="2"/>
      <c r="S46" s="2"/>
    </row>
    <row r="47" spans="2:19" ht="12" customHeight="1">
      <c r="B47" s="14">
        <f t="shared" si="0"/>
        <v>18</v>
      </c>
      <c r="C47" s="30" t="s">
        <v>68</v>
      </c>
      <c r="D47" s="20"/>
      <c r="E47" s="20">
        <v>18411262</v>
      </c>
      <c r="F47" s="10"/>
      <c r="G47" s="10"/>
      <c r="H47" s="10"/>
      <c r="I47" s="30"/>
      <c r="J47" s="33"/>
      <c r="K47" s="20"/>
      <c r="L47" s="20"/>
      <c r="M47" s="10"/>
      <c r="N47" s="30"/>
      <c r="O47" s="20"/>
      <c r="P47" s="20"/>
      <c r="Q47" s="20"/>
      <c r="R47" s="2"/>
      <c r="S47" s="2"/>
    </row>
    <row r="48" spans="2:19" ht="12" customHeight="1">
      <c r="B48" s="14">
        <f t="shared" si="0"/>
        <v>19</v>
      </c>
      <c r="C48" s="30" t="s">
        <v>69</v>
      </c>
      <c r="D48" s="20"/>
      <c r="E48" s="20">
        <v>29069769</v>
      </c>
      <c r="F48" s="10"/>
      <c r="G48" s="10"/>
      <c r="H48" s="10"/>
      <c r="I48" s="30"/>
      <c r="J48" s="2"/>
      <c r="K48" s="20"/>
      <c r="L48" s="20"/>
      <c r="M48" s="10"/>
      <c r="N48" s="30"/>
      <c r="O48" s="20"/>
      <c r="P48" s="20"/>
      <c r="Q48" s="20"/>
      <c r="R48" s="2"/>
      <c r="S48" s="2"/>
    </row>
    <row r="49" spans="2:19" ht="12" customHeight="1">
      <c r="B49" s="14">
        <f t="shared" si="0"/>
        <v>20</v>
      </c>
      <c r="C49" s="30" t="s">
        <v>70</v>
      </c>
      <c r="D49" s="30"/>
      <c r="E49" s="20">
        <v>40582384</v>
      </c>
      <c r="F49" s="10"/>
      <c r="G49" s="10"/>
      <c r="H49" s="10"/>
      <c r="I49" s="30"/>
      <c r="J49" s="2"/>
      <c r="K49" s="20"/>
      <c r="L49" s="20"/>
      <c r="M49" s="10"/>
      <c r="N49" s="30"/>
      <c r="O49" s="30"/>
      <c r="P49" s="20"/>
      <c r="Q49" s="20"/>
      <c r="R49" s="2"/>
      <c r="S49" s="2"/>
    </row>
    <row r="50" spans="2:19" ht="12" customHeight="1">
      <c r="B50" s="14">
        <f t="shared" si="0"/>
        <v>21</v>
      </c>
      <c r="C50" s="30" t="s">
        <v>71</v>
      </c>
      <c r="D50" s="30"/>
      <c r="E50" s="20">
        <v>51160733</v>
      </c>
      <c r="F50" s="10"/>
      <c r="G50" s="10"/>
      <c r="H50" s="10"/>
      <c r="I50" s="30"/>
      <c r="J50" s="30"/>
      <c r="K50" s="20"/>
      <c r="L50" s="20"/>
      <c r="M50" s="10"/>
      <c r="N50" s="30"/>
      <c r="O50" s="30"/>
      <c r="P50" s="20"/>
      <c r="Q50" s="20"/>
      <c r="R50" s="2"/>
      <c r="S50" s="2"/>
    </row>
    <row r="51" spans="2:19" ht="12" customHeight="1">
      <c r="B51" s="14">
        <f t="shared" si="0"/>
        <v>22</v>
      </c>
      <c r="C51" s="30" t="s">
        <v>72</v>
      </c>
      <c r="D51" s="30"/>
      <c r="E51" s="20">
        <v>65230249</v>
      </c>
      <c r="F51" s="10"/>
      <c r="G51" s="10"/>
      <c r="H51" s="10"/>
      <c r="I51" s="30"/>
      <c r="J51" s="30"/>
      <c r="K51" s="20"/>
      <c r="L51" s="20"/>
      <c r="M51" s="10"/>
      <c r="N51" s="30"/>
      <c r="O51" s="30"/>
      <c r="P51" s="20"/>
      <c r="Q51" s="2"/>
      <c r="R51" s="2"/>
      <c r="S51" s="2"/>
    </row>
    <row r="52" spans="2:19" ht="12" customHeight="1">
      <c r="B52" s="14">
        <f t="shared" si="0"/>
        <v>23</v>
      </c>
      <c r="C52" s="30" t="s">
        <v>73</v>
      </c>
      <c r="D52" s="30"/>
      <c r="E52" s="20">
        <v>69510064</v>
      </c>
      <c r="F52" s="10"/>
      <c r="G52" s="10"/>
      <c r="H52" s="10"/>
      <c r="I52" s="30"/>
      <c r="J52" s="30"/>
      <c r="K52" s="20"/>
      <c r="L52" s="20"/>
      <c r="M52" s="10"/>
      <c r="N52" s="30"/>
      <c r="O52" s="30"/>
      <c r="P52" s="20"/>
      <c r="Q52" s="2"/>
      <c r="R52" s="2"/>
      <c r="S52" s="2"/>
    </row>
    <row r="53" spans="2:19" ht="12" customHeight="1" thickBot="1">
      <c r="B53" s="14"/>
      <c r="C53" s="30"/>
      <c r="D53" s="30"/>
      <c r="E53" s="137"/>
      <c r="F53" s="10"/>
      <c r="G53" s="10"/>
      <c r="H53" s="10"/>
      <c r="I53" s="30"/>
      <c r="J53" s="30"/>
      <c r="K53" s="20"/>
      <c r="L53" s="20"/>
      <c r="M53" s="10"/>
      <c r="N53" s="30"/>
      <c r="O53" s="30"/>
      <c r="P53" s="20"/>
      <c r="Q53" s="2"/>
      <c r="R53" s="2"/>
      <c r="S53" s="2"/>
    </row>
    <row r="54" spans="2:19" ht="10.5" customHeight="1">
      <c r="B54" s="14"/>
      <c r="C54" s="10"/>
      <c r="D54" s="10"/>
      <c r="E54" s="13"/>
      <c r="F54" s="10"/>
      <c r="G54" s="10"/>
      <c r="H54" s="10"/>
      <c r="I54" s="10"/>
      <c r="J54" s="10"/>
      <c r="K54" s="10"/>
      <c r="L54" s="12"/>
      <c r="M54" s="10"/>
      <c r="N54" s="6"/>
      <c r="O54" s="2"/>
      <c r="P54" s="2"/>
      <c r="Q54" s="2"/>
      <c r="R54" s="2"/>
      <c r="S54" s="2"/>
    </row>
    <row r="55" spans="2:19" ht="10.5" customHeight="1">
      <c r="B55" s="14">
        <f>B52+1</f>
        <v>24</v>
      </c>
      <c r="C55" s="10" t="s">
        <v>80</v>
      </c>
      <c r="D55" s="10"/>
      <c r="E55" s="13">
        <f>(E40/2+SUM(E41:E51)+E52/2)/12</f>
        <v>33159352.083333332</v>
      </c>
      <c r="F55" s="10"/>
      <c r="G55" s="10"/>
      <c r="H55" s="11" t="s">
        <v>65</v>
      </c>
      <c r="I55" s="34">
        <v>0.1326</v>
      </c>
      <c r="J55" s="10"/>
      <c r="K55" s="10" t="s">
        <v>81</v>
      </c>
      <c r="L55" s="12">
        <f>E55*I55</f>
        <v>4396930.08625</v>
      </c>
      <c r="M55" s="10"/>
      <c r="N55" s="35"/>
      <c r="O55" s="2"/>
      <c r="P55" s="36"/>
      <c r="Q55" s="6"/>
      <c r="R55" s="2"/>
      <c r="S55" s="2"/>
    </row>
    <row r="56" spans="2:19" ht="10.5" customHeight="1" thickBot="1">
      <c r="B56" s="14"/>
      <c r="C56" s="10"/>
      <c r="D56" s="10"/>
      <c r="E56" s="13"/>
      <c r="F56" s="10"/>
      <c r="G56" s="10"/>
      <c r="H56" s="11"/>
      <c r="I56" s="34"/>
      <c r="J56" s="10"/>
      <c r="K56" s="10"/>
      <c r="L56" s="137"/>
      <c r="M56" s="10"/>
      <c r="N56" s="35"/>
      <c r="O56" s="2"/>
      <c r="P56" s="36"/>
      <c r="Q56" s="6"/>
      <c r="R56" s="2"/>
      <c r="S56" s="2"/>
    </row>
    <row r="57" spans="2:19" ht="10.5" customHeight="1"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0"/>
      <c r="N57" s="2"/>
      <c r="O57" s="2"/>
      <c r="P57" s="2"/>
      <c r="Q57" s="2"/>
      <c r="R57" s="2"/>
      <c r="S57" s="2"/>
    </row>
    <row r="58" spans="2:19" ht="10.5" customHeight="1">
      <c r="B58" s="14">
        <f>B55+1</f>
        <v>25</v>
      </c>
      <c r="C58" s="10" t="s">
        <v>82</v>
      </c>
      <c r="D58" s="10"/>
      <c r="E58" s="10"/>
      <c r="F58" s="10"/>
      <c r="G58" s="10"/>
      <c r="H58" s="10"/>
      <c r="I58" s="10"/>
      <c r="J58" s="10"/>
      <c r="K58" s="10"/>
      <c r="L58" s="12">
        <f>L55+L33</f>
        <v>18948762.08625</v>
      </c>
      <c r="M58" s="10"/>
      <c r="N58" s="2"/>
      <c r="O58" s="2"/>
      <c r="P58" s="2"/>
      <c r="Q58" s="2"/>
      <c r="R58" s="2"/>
      <c r="S58" s="2"/>
    </row>
    <row r="59" spans="2:19" ht="10.5" customHeight="1" thickBot="1">
      <c r="B59" s="10"/>
      <c r="C59" s="103"/>
      <c r="D59" s="103"/>
      <c r="E59" s="103"/>
      <c r="F59" s="103"/>
      <c r="G59" s="103"/>
      <c r="H59" s="103"/>
      <c r="I59" s="103"/>
      <c r="J59" s="103"/>
      <c r="K59" s="10"/>
      <c r="L59" s="10"/>
      <c r="M59" s="10"/>
      <c r="N59" s="2"/>
      <c r="O59" s="2"/>
      <c r="P59" s="2"/>
      <c r="Q59" s="2"/>
      <c r="R59" s="2"/>
      <c r="S59" s="2"/>
    </row>
    <row r="60" spans="2:19" ht="10.5" customHeight="1">
      <c r="B60" s="10"/>
      <c r="C60" s="10"/>
      <c r="D60" s="10"/>
      <c r="E60" s="15"/>
      <c r="F60" s="10"/>
      <c r="G60" s="10"/>
      <c r="H60" s="10"/>
      <c r="I60" s="10"/>
      <c r="J60" s="10"/>
      <c r="K60" s="10"/>
      <c r="L60" s="10"/>
      <c r="M60" s="10"/>
      <c r="N60" s="2"/>
      <c r="O60" s="2"/>
      <c r="P60" s="2"/>
      <c r="Q60" s="2"/>
      <c r="R60" s="2"/>
      <c r="S60" s="2"/>
    </row>
    <row r="61" spans="2:19" ht="12" customHeight="1">
      <c r="B61" s="10"/>
      <c r="C61" s="88" t="s">
        <v>394</v>
      </c>
      <c r="D61" s="10"/>
      <c r="E61" s="15"/>
      <c r="F61" s="10"/>
      <c r="G61" s="10"/>
      <c r="H61" s="10"/>
      <c r="I61" s="10"/>
      <c r="J61" s="10"/>
      <c r="K61" s="10"/>
      <c r="L61" s="10"/>
      <c r="M61" s="10"/>
      <c r="N61" s="2"/>
      <c r="O61" s="2"/>
      <c r="P61" s="2"/>
      <c r="Q61" s="2"/>
      <c r="R61" s="2"/>
      <c r="S61" s="2"/>
    </row>
    <row r="62" spans="2:19" ht="12" customHeight="1">
      <c r="B62" s="10"/>
      <c r="C62" s="10" t="s">
        <v>83</v>
      </c>
      <c r="D62" s="10"/>
      <c r="E62" s="15"/>
      <c r="F62" s="10"/>
      <c r="G62" s="10"/>
      <c r="H62" s="10"/>
      <c r="I62" s="10"/>
      <c r="J62" s="10"/>
      <c r="K62" s="10"/>
      <c r="L62" s="10"/>
      <c r="M62" s="10"/>
      <c r="N62" s="2"/>
      <c r="O62" s="2"/>
      <c r="P62" s="2"/>
      <c r="Q62" s="2"/>
      <c r="R62" s="2"/>
      <c r="S62" s="2"/>
    </row>
    <row r="63" spans="2:19" ht="12" customHeight="1">
      <c r="B63" s="10"/>
      <c r="C63" s="88" t="s">
        <v>262</v>
      </c>
      <c r="D63" s="10"/>
      <c r="E63" s="15"/>
      <c r="F63" s="10"/>
      <c r="G63" s="10"/>
      <c r="H63" s="10"/>
      <c r="I63" s="10"/>
      <c r="J63" s="10"/>
      <c r="K63" s="10"/>
      <c r="L63" s="10"/>
      <c r="M63" s="10"/>
      <c r="N63" s="2"/>
      <c r="O63" s="2"/>
      <c r="P63" s="2"/>
      <c r="Q63" s="2"/>
      <c r="R63" s="2"/>
      <c r="S63" s="2"/>
    </row>
    <row r="64" spans="2:19" ht="10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0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0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0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0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0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0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0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0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0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0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0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0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0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0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0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0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0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0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0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0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0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0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0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0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0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0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0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0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0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0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</sheetData>
  <mergeCells count="1">
    <mergeCell ref="B2:M2"/>
  </mergeCells>
  <printOptions/>
  <pageMargins left="1.25" right="0.25" top="0.6" bottom="0.25" header="0.5" footer="0.5"/>
  <pageSetup fitToHeight="1" fitToWidth="1"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B1:T96"/>
  <sheetViews>
    <sheetView workbookViewId="0" topLeftCell="A1">
      <selection activeCell="D42" sqref="D42"/>
    </sheetView>
  </sheetViews>
  <sheetFormatPr defaultColWidth="9.8515625" defaultRowHeight="12"/>
  <cols>
    <col min="1" max="1" width="4.8515625" style="0" customWidth="1"/>
    <col min="2" max="2" width="3.7109375" style="0" customWidth="1"/>
    <col min="3" max="3" width="33.140625" style="0" customWidth="1"/>
    <col min="5" max="5" width="9.28125" style="0" customWidth="1"/>
    <col min="6" max="6" width="15.00390625" style="0" bestFit="1" customWidth="1"/>
    <col min="7" max="7" width="1.7109375" style="0" customWidth="1"/>
    <col min="8" max="8" width="14.421875" style="0" customWidth="1"/>
    <col min="9" max="9" width="12.00390625" style="0" customWidth="1"/>
    <col min="11" max="11" width="2.8515625" style="0" customWidth="1"/>
  </cols>
  <sheetData>
    <row r="1" spans="2:20" ht="12" customHeight="1">
      <c r="B1" s="10"/>
      <c r="C1" s="10"/>
      <c r="D1" s="10"/>
      <c r="E1" s="10"/>
      <c r="F1" s="10"/>
      <c r="G1" s="10"/>
      <c r="H1" s="10"/>
      <c r="I1" s="10"/>
      <c r="J1" s="10"/>
      <c r="K1" s="11" t="s">
        <v>37</v>
      </c>
      <c r="L1" s="2"/>
      <c r="M1" s="2"/>
      <c r="N1" s="2"/>
      <c r="O1" s="2"/>
      <c r="P1" s="2"/>
      <c r="Q1" s="2"/>
      <c r="R1" s="2"/>
      <c r="S1" s="2"/>
      <c r="T1" s="2"/>
    </row>
    <row r="2" spans="2:20" ht="12" customHeight="1">
      <c r="B2" s="206" t="str">
        <f>'1.2'!A2</f>
        <v>Docket No. 06-057-01</v>
      </c>
      <c r="C2" s="207"/>
      <c r="D2" s="207"/>
      <c r="E2" s="207"/>
      <c r="F2" s="207"/>
      <c r="G2" s="207"/>
      <c r="H2" s="207"/>
      <c r="I2" s="207"/>
      <c r="J2" s="207"/>
      <c r="K2" s="207"/>
      <c r="L2" s="2"/>
      <c r="M2" s="2"/>
      <c r="N2" s="2"/>
      <c r="O2" s="2"/>
      <c r="P2" s="2"/>
      <c r="Q2" s="2"/>
      <c r="R2" s="2"/>
      <c r="S2" s="2"/>
      <c r="T2" s="2"/>
    </row>
    <row r="3" spans="2:20" ht="12" customHeight="1">
      <c r="B3" s="10"/>
      <c r="C3" s="10"/>
      <c r="D3" s="10"/>
      <c r="E3" s="10"/>
      <c r="F3" s="10"/>
      <c r="G3" s="10"/>
      <c r="H3" s="10"/>
      <c r="I3" s="10"/>
      <c r="J3" s="10"/>
      <c r="K3" s="11" t="s">
        <v>371</v>
      </c>
      <c r="L3" s="2"/>
      <c r="M3" s="2"/>
      <c r="N3" s="2"/>
      <c r="O3" s="2"/>
      <c r="P3" s="2"/>
      <c r="Q3" s="2"/>
      <c r="R3" s="2"/>
      <c r="S3" s="2"/>
      <c r="T3" s="2"/>
    </row>
    <row r="4" spans="2:20" ht="12" customHeight="1">
      <c r="B4" s="10"/>
      <c r="C4" s="10"/>
      <c r="D4" s="10"/>
      <c r="E4" s="10"/>
      <c r="F4" s="10"/>
      <c r="G4" s="10"/>
      <c r="H4" s="10"/>
      <c r="I4" s="10"/>
      <c r="J4" s="10"/>
      <c r="K4" s="11" t="s">
        <v>84</v>
      </c>
      <c r="L4" s="2"/>
      <c r="M4" s="2"/>
      <c r="N4" s="2"/>
      <c r="O4" s="2"/>
      <c r="P4" s="2"/>
      <c r="Q4" s="2"/>
      <c r="R4" s="2"/>
      <c r="S4" s="2"/>
      <c r="T4" s="2"/>
    </row>
    <row r="5" spans="2:20" ht="10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2"/>
      <c r="M5" s="2"/>
      <c r="N5" s="2"/>
      <c r="O5" s="2"/>
      <c r="P5" s="2"/>
      <c r="Q5" s="2"/>
      <c r="R5" s="2"/>
      <c r="S5" s="2"/>
      <c r="T5" s="2"/>
    </row>
    <row r="6" spans="2:20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2"/>
      <c r="M6" s="2"/>
      <c r="N6" s="2"/>
      <c r="O6" s="2"/>
      <c r="P6" s="2"/>
      <c r="Q6" s="2"/>
      <c r="R6" s="2"/>
      <c r="S6" s="2"/>
      <c r="T6" s="2"/>
    </row>
    <row r="7" spans="2:20" ht="10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2"/>
      <c r="M7" s="2"/>
      <c r="N7" s="2"/>
      <c r="O7" s="2"/>
      <c r="P7" s="2"/>
      <c r="Q7" s="2"/>
      <c r="R7" s="2"/>
      <c r="S7" s="2"/>
      <c r="T7" s="2"/>
    </row>
    <row r="8" spans="2:20" ht="10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  <c r="M8" s="2"/>
      <c r="N8" s="2"/>
      <c r="O8" s="2"/>
      <c r="P8" s="2"/>
      <c r="Q8" s="2"/>
      <c r="R8" s="2"/>
      <c r="S8" s="2"/>
      <c r="T8" s="2"/>
    </row>
    <row r="9" spans="2:20" ht="10.5" customHeight="1">
      <c r="B9" s="10"/>
      <c r="C9" s="10"/>
      <c r="D9" s="10"/>
      <c r="F9" s="10"/>
      <c r="G9" s="10"/>
      <c r="H9" s="10"/>
      <c r="I9" s="10"/>
      <c r="J9" s="10"/>
      <c r="K9" s="10"/>
      <c r="L9" s="2"/>
      <c r="M9" s="2"/>
      <c r="N9" s="2"/>
      <c r="O9" s="2"/>
      <c r="P9" s="2"/>
      <c r="Q9" s="2"/>
      <c r="R9" s="2"/>
      <c r="S9" s="2"/>
      <c r="T9" s="2"/>
    </row>
    <row r="10" spans="2:20" ht="10.5" customHeight="1">
      <c r="B10" s="10"/>
      <c r="C10" s="10"/>
      <c r="D10" s="10"/>
      <c r="E10" s="85" t="s">
        <v>272</v>
      </c>
      <c r="F10" s="10"/>
      <c r="G10" s="10"/>
      <c r="H10" s="10"/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</row>
    <row r="11" spans="2:20" ht="10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</row>
    <row r="12" spans="2:20" ht="10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</row>
    <row r="13" spans="2:20" ht="10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</row>
    <row r="14" spans="2:20" ht="13.5" customHeight="1">
      <c r="B14" s="10"/>
      <c r="C14" s="151" t="s">
        <v>221</v>
      </c>
      <c r="D14" s="146"/>
      <c r="E14" s="146"/>
      <c r="F14" s="151" t="s">
        <v>222</v>
      </c>
      <c r="G14" s="146"/>
      <c r="H14" s="151" t="s">
        <v>223</v>
      </c>
      <c r="I14" s="151" t="s">
        <v>224</v>
      </c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</row>
    <row r="15" spans="2:20" ht="12" customHeight="1" thickBot="1">
      <c r="B15" s="10"/>
      <c r="C15" s="113" t="s">
        <v>225</v>
      </c>
      <c r="D15" s="112"/>
      <c r="E15" s="112"/>
      <c r="F15" s="113" t="s">
        <v>263</v>
      </c>
      <c r="G15" s="112"/>
      <c r="H15" s="113" t="s">
        <v>39</v>
      </c>
      <c r="I15" s="138" t="s">
        <v>264</v>
      </c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</row>
    <row r="16" spans="2:20" ht="10.5" customHeight="1" thickTop="1">
      <c r="B16" s="10"/>
      <c r="C16" s="10"/>
      <c r="D16" s="10"/>
      <c r="E16" s="10"/>
      <c r="F16" s="10"/>
      <c r="G16" s="10"/>
      <c r="H16" s="10"/>
      <c r="I16" s="11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</row>
    <row r="17" spans="2:20" ht="12" customHeight="1">
      <c r="B17" s="14">
        <v>1</v>
      </c>
      <c r="C17" s="10" t="s">
        <v>86</v>
      </c>
      <c r="D17" s="10"/>
      <c r="E17" s="10"/>
      <c r="F17" s="20">
        <f>77039763+153993714</f>
        <v>231033477</v>
      </c>
      <c r="G17" s="10"/>
      <c r="H17" s="10"/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</row>
    <row r="18" spans="2:20" ht="12" customHeight="1" thickBot="1">
      <c r="B18" s="14">
        <f>B17+1</f>
        <v>2</v>
      </c>
      <c r="C18" s="10" t="s">
        <v>87</v>
      </c>
      <c r="D18" s="10"/>
      <c r="E18" s="12"/>
      <c r="F18" s="139">
        <f>-'1.4.3'!F36</f>
        <v>-49915711</v>
      </c>
      <c r="G18" s="10"/>
      <c r="H18" s="10"/>
      <c r="I18" s="10"/>
      <c r="J18" s="10"/>
      <c r="K18" s="10"/>
      <c r="L18" s="2"/>
      <c r="M18" s="2"/>
      <c r="N18" s="2"/>
      <c r="O18" s="2"/>
      <c r="P18" s="2"/>
      <c r="Q18" s="2"/>
      <c r="R18" s="2"/>
      <c r="S18" s="2"/>
      <c r="T18" s="2"/>
    </row>
    <row r="19" spans="2:20" ht="13.5" customHeight="1">
      <c r="B19" s="14">
        <f>B18+1</f>
        <v>3</v>
      </c>
      <c r="C19" s="10" t="s">
        <v>265</v>
      </c>
      <c r="D19" s="10"/>
      <c r="E19" s="12"/>
      <c r="F19" s="12">
        <f>F17+F18</f>
        <v>181117766</v>
      </c>
      <c r="H19" s="19">
        <v>56683010</v>
      </c>
      <c r="I19" s="16">
        <f>F19/H19</f>
        <v>3.1952743158840717</v>
      </c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</row>
    <row r="20" spans="2:20" ht="12" customHeight="1">
      <c r="B20" s="14"/>
      <c r="C20" s="10"/>
      <c r="D20" s="10"/>
      <c r="E20" s="12"/>
      <c r="F20" s="10"/>
      <c r="G20" s="12"/>
      <c r="H20" s="12"/>
      <c r="I20" s="16"/>
      <c r="J20" s="10"/>
      <c r="K20" s="10"/>
      <c r="L20" s="2"/>
      <c r="M20" s="2"/>
      <c r="N20" s="2"/>
      <c r="O20" s="2"/>
      <c r="P20" s="2"/>
      <c r="Q20" s="2"/>
      <c r="R20" s="2"/>
      <c r="S20" s="2"/>
      <c r="T20" s="2"/>
    </row>
    <row r="21" spans="2:20" ht="12" customHeight="1">
      <c r="B21" s="14">
        <f>B19+1</f>
        <v>4</v>
      </c>
      <c r="C21" s="10" t="s">
        <v>267</v>
      </c>
      <c r="D21" s="10"/>
      <c r="E21" s="12"/>
      <c r="F21" s="38">
        <f>'1.3.1'!K54+'1.3.1'!L52</f>
        <v>13385729.898839999</v>
      </c>
      <c r="H21" s="38"/>
      <c r="I21" s="16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</row>
    <row r="22" spans="2:20" ht="12" customHeight="1" thickBot="1">
      <c r="B22" s="14"/>
      <c r="C22" s="10"/>
      <c r="D22" s="10"/>
      <c r="E22" s="12"/>
      <c r="F22" s="140"/>
      <c r="H22" s="38"/>
      <c r="I22" s="16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</row>
    <row r="23" spans="2:20" ht="10.5" customHeight="1" thickTop="1">
      <c r="B23" s="14"/>
      <c r="C23" s="10"/>
      <c r="D23" s="10"/>
      <c r="E23" s="10"/>
      <c r="F23" s="10"/>
      <c r="G23" s="11"/>
      <c r="H23" s="10"/>
      <c r="I23" s="16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</row>
    <row r="24" spans="2:20" ht="12" customHeight="1">
      <c r="B24" s="14">
        <f>B21+1</f>
        <v>5</v>
      </c>
      <c r="C24" s="10" t="s">
        <v>88</v>
      </c>
      <c r="D24" s="10"/>
      <c r="E24" s="10"/>
      <c r="F24" s="12">
        <f>F17+F18+F21</f>
        <v>194503495.89884</v>
      </c>
      <c r="H24" s="19">
        <f>H19</f>
        <v>56683010</v>
      </c>
      <c r="I24" s="16">
        <f>F24/H24</f>
        <v>3.4314249701778365</v>
      </c>
      <c r="J24" s="10"/>
      <c r="K24" s="10"/>
      <c r="L24" s="2"/>
      <c r="M24" s="2"/>
      <c r="N24" s="2"/>
      <c r="O24" s="2"/>
      <c r="P24" s="2"/>
      <c r="Q24" s="2"/>
      <c r="R24" s="2"/>
      <c r="S24" s="2"/>
      <c r="T24" s="2"/>
    </row>
    <row r="25" spans="2:20" ht="12" customHeight="1">
      <c r="B25" s="14"/>
      <c r="C25" s="10"/>
      <c r="D25" s="10"/>
      <c r="E25" s="10"/>
      <c r="F25" s="10"/>
      <c r="H25" s="14"/>
      <c r="I25" s="16"/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</row>
    <row r="26" spans="2:20" ht="12" customHeight="1">
      <c r="B26" s="14">
        <f>B24+1</f>
        <v>6</v>
      </c>
      <c r="C26" s="10" t="s">
        <v>268</v>
      </c>
      <c r="D26" s="10"/>
      <c r="E26" s="10"/>
      <c r="F26" s="12">
        <f>'1.2'!G32</f>
        <v>493291406</v>
      </c>
      <c r="H26" s="15">
        <f>'1.2'!C32</f>
        <v>54384137</v>
      </c>
      <c r="I26" s="16">
        <f>F26/H26</f>
        <v>9.07050167956145</v>
      </c>
      <c r="J26" s="10"/>
      <c r="K26" s="10"/>
      <c r="L26" s="2"/>
      <c r="M26" s="2"/>
      <c r="N26" s="2"/>
      <c r="O26" s="2"/>
      <c r="P26" s="2"/>
      <c r="Q26" s="2"/>
      <c r="R26" s="2"/>
      <c r="S26" s="2"/>
      <c r="T26" s="2"/>
    </row>
    <row r="27" spans="3:20" ht="12" customHeight="1">
      <c r="C27" s="10"/>
      <c r="D27" s="10"/>
      <c r="E27" s="10"/>
      <c r="F27" s="10"/>
      <c r="H27" s="14"/>
      <c r="I27" s="16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</row>
    <row r="28" spans="2:20" ht="10.5" customHeight="1">
      <c r="B28" s="14">
        <f>B26+1</f>
        <v>7</v>
      </c>
      <c r="C28" s="10" t="s">
        <v>269</v>
      </c>
      <c r="D28" s="10"/>
      <c r="E28" s="10"/>
      <c r="F28" s="12">
        <f>'1.4.2'!H28+'1.4.2'!H29</f>
        <v>15806341.663188875</v>
      </c>
      <c r="H28" s="14"/>
      <c r="I28" s="16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</row>
    <row r="29" spans="2:20" ht="10.5" customHeight="1">
      <c r="B29" s="14"/>
      <c r="C29" s="10"/>
      <c r="D29" s="10"/>
      <c r="E29" s="10"/>
      <c r="F29" s="10"/>
      <c r="G29" s="15"/>
      <c r="H29" s="14"/>
      <c r="I29" s="16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</row>
    <row r="30" spans="2:20" ht="12" customHeight="1">
      <c r="B30" s="14">
        <f>B28+1</f>
        <v>8</v>
      </c>
      <c r="C30" s="10" t="s">
        <v>270</v>
      </c>
      <c r="D30" s="10"/>
      <c r="E30" s="10"/>
      <c r="F30" s="12">
        <f>'1.3.1'!L62-F21-F34</f>
        <v>65788764.5</v>
      </c>
      <c r="H30" s="15">
        <f>'1.3.1'!E36</f>
        <v>113662444</v>
      </c>
      <c r="I30" s="16">
        <f>F30/H30</f>
        <v>0.5788082869307297</v>
      </c>
      <c r="J30" s="10"/>
      <c r="K30" s="10"/>
      <c r="L30" s="2"/>
      <c r="M30" s="2"/>
      <c r="N30" s="2"/>
      <c r="O30" s="2"/>
      <c r="P30" s="2"/>
      <c r="Q30" s="2"/>
      <c r="R30" s="2"/>
      <c r="S30" s="2"/>
      <c r="T30" s="2"/>
    </row>
    <row r="31" spans="2:20" ht="10.5" customHeight="1">
      <c r="B31" s="14"/>
      <c r="C31" s="10"/>
      <c r="D31" s="10"/>
      <c r="E31" s="10"/>
      <c r="F31" s="10"/>
      <c r="G31" s="10"/>
      <c r="H31" s="14"/>
      <c r="I31" s="16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</row>
    <row r="32" spans="2:20" ht="10.5" customHeight="1">
      <c r="B32" s="14">
        <f>B30+1</f>
        <v>9</v>
      </c>
      <c r="C32" s="10" t="s">
        <v>271</v>
      </c>
      <c r="D32" s="10"/>
      <c r="E32" s="10"/>
      <c r="F32" s="12">
        <f>'1.3.2'!L58</f>
        <v>18948762.08625</v>
      </c>
      <c r="H32" s="14"/>
      <c r="I32" s="16"/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</row>
    <row r="33" spans="2:20" ht="10.5" customHeight="1">
      <c r="B33" s="14"/>
      <c r="C33" s="10"/>
      <c r="D33" s="10"/>
      <c r="E33" s="10"/>
      <c r="G33" s="11"/>
      <c r="H33" s="14"/>
      <c r="I33" s="16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</row>
    <row r="34" spans="2:20" ht="10.5" customHeight="1">
      <c r="B34" s="14">
        <f>B32+1</f>
        <v>10</v>
      </c>
      <c r="C34" s="10" t="s">
        <v>348</v>
      </c>
      <c r="D34" s="10"/>
      <c r="E34" s="10"/>
      <c r="F34" s="12">
        <f>'1.3.1'!L58</f>
        <v>6056464.57440454</v>
      </c>
      <c r="G34" s="11"/>
      <c r="H34" s="14"/>
      <c r="I34" s="16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</row>
    <row r="35" spans="2:20" ht="10.5" customHeight="1" thickBot="1">
      <c r="B35" s="14"/>
      <c r="C35" s="10"/>
      <c r="D35" s="10"/>
      <c r="E35" s="10"/>
      <c r="F35" s="140"/>
      <c r="G35" s="11"/>
      <c r="H35" s="14"/>
      <c r="I35" s="16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</row>
    <row r="36" spans="2:20" ht="10.5" customHeight="1" thickTop="1">
      <c r="B36" s="14"/>
      <c r="C36" s="10"/>
      <c r="D36" s="10"/>
      <c r="E36" s="10"/>
      <c r="F36" s="141"/>
      <c r="G36" s="11"/>
      <c r="H36" s="14"/>
      <c r="I36" s="16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</row>
    <row r="37" spans="2:20" ht="12" customHeight="1">
      <c r="B37" s="14">
        <f>B34+1</f>
        <v>11</v>
      </c>
      <c r="C37" s="10" t="s">
        <v>266</v>
      </c>
      <c r="D37" s="10"/>
      <c r="E37" s="10"/>
      <c r="F37" s="12">
        <f>F17+F18+F21+F26+F28+F30+F32+F34</f>
        <v>794395234.7226834</v>
      </c>
      <c r="H37" s="15">
        <f>'1.6.1'!G27</f>
        <v>106543773</v>
      </c>
      <c r="I37" s="16">
        <f>F37/H37</f>
        <v>7.456045645414523</v>
      </c>
      <c r="J37" s="10"/>
      <c r="K37" s="10"/>
      <c r="L37" s="2"/>
      <c r="M37" s="2"/>
      <c r="N37" s="2"/>
      <c r="O37" s="2"/>
      <c r="P37" s="2"/>
      <c r="Q37" s="2"/>
      <c r="R37" s="2"/>
      <c r="S37" s="2"/>
      <c r="T37" s="2"/>
    </row>
    <row r="38" spans="2:20" ht="12" customHeight="1">
      <c r="B38" s="14"/>
      <c r="C38" s="10"/>
      <c r="D38" s="10"/>
      <c r="E38" s="10"/>
      <c r="F38" s="10"/>
      <c r="H38" s="14"/>
      <c r="I38" s="10"/>
      <c r="J38" s="10"/>
      <c r="K38" s="10"/>
      <c r="L38" s="2"/>
      <c r="M38" s="2"/>
      <c r="N38" s="2"/>
      <c r="O38" s="2"/>
      <c r="P38" s="2"/>
      <c r="Q38" s="2"/>
      <c r="R38" s="2"/>
      <c r="S38" s="2"/>
      <c r="T38" s="2"/>
    </row>
    <row r="39" spans="2:20" ht="10.5" customHeight="1">
      <c r="B39" s="10"/>
      <c r="C39" s="10"/>
      <c r="D39" s="10"/>
      <c r="E39" s="10"/>
      <c r="F39" s="10"/>
      <c r="G39" s="15"/>
      <c r="H39" s="15"/>
      <c r="I39" s="10"/>
      <c r="J39" s="10"/>
      <c r="K39" s="10"/>
      <c r="L39" s="2"/>
      <c r="M39" s="2"/>
      <c r="N39" s="2"/>
      <c r="O39" s="2"/>
      <c r="P39" s="2"/>
      <c r="Q39" s="2"/>
      <c r="R39" s="2"/>
      <c r="S39" s="2"/>
      <c r="T39" s="2"/>
    </row>
    <row r="40" spans="2:20" ht="10.5" customHeight="1">
      <c r="B40" s="10"/>
      <c r="C40" s="10"/>
      <c r="D40" s="10"/>
      <c r="E40" s="10"/>
      <c r="F40" s="10"/>
      <c r="G40" s="15"/>
      <c r="H40" s="15"/>
      <c r="I40" s="10"/>
      <c r="J40" s="10"/>
      <c r="K40" s="10"/>
      <c r="L40" s="2"/>
      <c r="M40" s="2"/>
      <c r="N40" s="2"/>
      <c r="O40" s="2"/>
      <c r="P40" s="2"/>
      <c r="Q40" s="2"/>
      <c r="R40" s="2"/>
      <c r="S40" s="2"/>
      <c r="T40" s="2"/>
    </row>
    <row r="41" spans="2:20" ht="10.5" customHeight="1">
      <c r="B41" s="10"/>
      <c r="C41" s="10"/>
      <c r="D41" s="10"/>
      <c r="E41" s="10"/>
      <c r="F41" s="10"/>
      <c r="G41" s="15"/>
      <c r="H41" s="15"/>
      <c r="I41" s="10"/>
      <c r="J41" s="10"/>
      <c r="K41" s="10"/>
      <c r="L41" s="2"/>
      <c r="M41" s="2"/>
      <c r="N41" s="2"/>
      <c r="O41" s="2"/>
      <c r="P41" s="2"/>
      <c r="Q41" s="2"/>
      <c r="R41" s="2"/>
      <c r="S41" s="2"/>
      <c r="T41" s="2"/>
    </row>
    <row r="42" spans="2:20" ht="10.5" customHeight="1">
      <c r="B42" s="10"/>
      <c r="C42" s="10"/>
      <c r="D42" s="10"/>
      <c r="E42" s="10"/>
      <c r="F42" s="10"/>
      <c r="G42" s="15"/>
      <c r="H42" s="15"/>
      <c r="I42" s="10"/>
      <c r="J42" s="10"/>
      <c r="K42" s="10"/>
      <c r="L42" s="2"/>
      <c r="M42" s="2"/>
      <c r="N42" s="2"/>
      <c r="O42" s="2"/>
      <c r="P42" s="2"/>
      <c r="Q42" s="2"/>
      <c r="R42" s="2"/>
      <c r="S42" s="2"/>
      <c r="T42" s="2"/>
    </row>
    <row r="43" spans="2:20" ht="10.5" customHeight="1" thickBot="1">
      <c r="B43" s="10"/>
      <c r="C43" s="117"/>
      <c r="D43" s="117"/>
      <c r="E43" s="117"/>
      <c r="F43" s="10"/>
      <c r="G43" s="10"/>
      <c r="H43" s="10"/>
      <c r="I43" s="10"/>
      <c r="J43" s="10"/>
      <c r="K43" s="10"/>
      <c r="L43" s="2"/>
      <c r="M43" s="2"/>
      <c r="N43" s="2"/>
      <c r="O43" s="2"/>
      <c r="P43" s="2"/>
      <c r="Q43" s="2"/>
      <c r="R43" s="2"/>
      <c r="S43" s="2"/>
      <c r="T43" s="2"/>
    </row>
    <row r="44" spans="2:20" ht="10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"/>
      <c r="M44" s="2"/>
      <c r="N44" s="2"/>
      <c r="O44" s="2"/>
      <c r="P44" s="2"/>
      <c r="Q44" s="2"/>
      <c r="R44" s="2"/>
      <c r="S44" s="2"/>
      <c r="T44" s="2"/>
    </row>
    <row r="45" spans="2:20" ht="12" customHeight="1">
      <c r="B45" s="10"/>
      <c r="C45" s="10" t="s">
        <v>372</v>
      </c>
      <c r="D45" s="10"/>
      <c r="E45" s="10"/>
      <c r="F45" s="10"/>
      <c r="G45" s="10"/>
      <c r="H45" s="10"/>
      <c r="I45" s="10"/>
      <c r="J45" s="10"/>
      <c r="K45" s="10"/>
      <c r="L45" s="2"/>
      <c r="M45" s="2"/>
      <c r="N45" s="2"/>
      <c r="O45" s="2"/>
      <c r="P45" s="2"/>
      <c r="Q45" s="2"/>
      <c r="R45" s="2"/>
      <c r="S45" s="2"/>
      <c r="T45" s="2"/>
    </row>
    <row r="46" spans="2:20" ht="12" customHeight="1">
      <c r="B46" s="10"/>
      <c r="C46" s="10" t="s">
        <v>373</v>
      </c>
      <c r="D46" s="10"/>
      <c r="E46" s="10"/>
      <c r="F46" s="10"/>
      <c r="G46" s="10"/>
      <c r="H46" s="10"/>
      <c r="I46" s="10"/>
      <c r="J46" s="10"/>
      <c r="K46" s="10"/>
      <c r="L46" s="2"/>
      <c r="M46" s="2"/>
      <c r="N46" s="2"/>
      <c r="O46" s="2"/>
      <c r="P46" s="2"/>
      <c r="Q46" s="2"/>
      <c r="R46" s="2"/>
      <c r="S46" s="2"/>
      <c r="T46" s="2"/>
    </row>
    <row r="47" spans="2:20" ht="12" customHeight="1">
      <c r="B47" s="10"/>
      <c r="C47" s="88" t="s">
        <v>374</v>
      </c>
      <c r="D47" s="10"/>
      <c r="E47" s="10"/>
      <c r="F47" s="10"/>
      <c r="G47" s="10"/>
      <c r="H47" s="10"/>
      <c r="I47" s="10"/>
      <c r="J47" s="10"/>
      <c r="K47" s="10"/>
      <c r="L47" s="2"/>
      <c r="M47" s="2"/>
      <c r="N47" s="2"/>
      <c r="O47" s="2"/>
      <c r="P47" s="2"/>
      <c r="Q47" s="2"/>
      <c r="R47" s="2"/>
      <c r="S47" s="2"/>
      <c r="T47" s="2"/>
    </row>
    <row r="48" spans="2:20" ht="12" customHeight="1">
      <c r="B48" s="10"/>
      <c r="C48" s="88" t="s">
        <v>375</v>
      </c>
      <c r="D48" s="10"/>
      <c r="E48" s="10"/>
      <c r="F48" s="10"/>
      <c r="G48" s="10"/>
      <c r="H48" s="10"/>
      <c r="I48" s="10"/>
      <c r="J48" s="10"/>
      <c r="K48" s="10"/>
      <c r="L48" s="2"/>
      <c r="M48" s="2"/>
      <c r="N48" s="2"/>
      <c r="O48" s="2"/>
      <c r="P48" s="2"/>
      <c r="Q48" s="2"/>
      <c r="R48" s="2"/>
      <c r="S48" s="2"/>
      <c r="T48" s="2"/>
    </row>
    <row r="49" spans="2:20" ht="12" customHeight="1">
      <c r="B49" s="10"/>
      <c r="C49" s="88" t="s">
        <v>376</v>
      </c>
      <c r="D49" s="10"/>
      <c r="E49" s="10"/>
      <c r="F49" s="10"/>
      <c r="G49" s="10"/>
      <c r="H49" s="10"/>
      <c r="I49" s="10"/>
      <c r="J49" s="10"/>
      <c r="K49" s="10"/>
      <c r="L49" s="2"/>
      <c r="M49" s="2"/>
      <c r="N49" s="2"/>
      <c r="O49" s="2"/>
      <c r="P49" s="2"/>
      <c r="Q49" s="2"/>
      <c r="R49" s="2"/>
      <c r="S49" s="2"/>
      <c r="T49" s="2"/>
    </row>
    <row r="50" spans="2:20" ht="12" customHeight="1">
      <c r="B50" s="10"/>
      <c r="C50" s="88" t="s">
        <v>377</v>
      </c>
      <c r="D50" s="10"/>
      <c r="E50" s="10"/>
      <c r="F50" s="10"/>
      <c r="G50" s="10"/>
      <c r="H50" s="10"/>
      <c r="I50" s="10"/>
      <c r="J50" s="10"/>
      <c r="K50" s="10"/>
      <c r="L50" s="2"/>
      <c r="M50" s="2"/>
      <c r="N50" s="2"/>
      <c r="O50" s="2"/>
      <c r="P50" s="2"/>
      <c r="Q50" s="2"/>
      <c r="R50" s="2"/>
      <c r="S50" s="2"/>
      <c r="T50" s="2"/>
    </row>
    <row r="51" spans="2:20" ht="10.5" customHeight="1">
      <c r="B51" s="2"/>
      <c r="C51" s="88" t="s">
        <v>378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0.5" customHeight="1">
      <c r="B52" s="2"/>
      <c r="C52" s="88" t="s">
        <v>379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0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0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0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0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0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0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0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0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0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0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0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0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10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0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10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ht="10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0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0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ht="10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ht="10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ht="10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ht="10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10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0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0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ht="10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10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0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0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0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0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0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0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0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0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0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0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0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0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0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0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</sheetData>
  <mergeCells count="1">
    <mergeCell ref="B2:K2"/>
  </mergeCells>
  <printOptions/>
  <pageMargins left="1.01" right="0.25" top="0.6" bottom="0.25" header="0.5" footer="0.5"/>
  <pageSetup fitToHeight="1" fitToWidth="1"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C1:R96"/>
  <sheetViews>
    <sheetView workbookViewId="0" topLeftCell="A1">
      <selection activeCell="J3" sqref="J3"/>
    </sheetView>
  </sheetViews>
  <sheetFormatPr defaultColWidth="9.8515625" defaultRowHeight="12"/>
  <cols>
    <col min="1" max="1" width="4.28125" style="0" customWidth="1"/>
    <col min="2" max="2" width="8.140625" style="0" customWidth="1"/>
    <col min="3" max="3" width="4.8515625" style="0" customWidth="1"/>
    <col min="4" max="4" width="34.28125" style="0" customWidth="1"/>
    <col min="5" max="5" width="7.8515625" style="0" customWidth="1"/>
    <col min="6" max="6" width="14.28125" style="0" customWidth="1"/>
    <col min="7" max="7" width="11.421875" style="0" bestFit="1" customWidth="1"/>
    <col min="8" max="8" width="15.00390625" style="0" bestFit="1" customWidth="1"/>
    <col min="10" max="10" width="2.8515625" style="0" customWidth="1"/>
    <col min="13" max="13" width="11.8515625" style="0" bestFit="1" customWidth="1"/>
  </cols>
  <sheetData>
    <row r="1" spans="3:18" ht="12" customHeight="1">
      <c r="C1" s="10"/>
      <c r="D1" s="10"/>
      <c r="E1" s="10"/>
      <c r="F1" s="10"/>
      <c r="G1" s="10"/>
      <c r="H1" s="10"/>
      <c r="I1" s="10"/>
      <c r="J1" s="31" t="s">
        <v>37</v>
      </c>
      <c r="K1" s="2"/>
      <c r="L1" s="2"/>
      <c r="M1" s="2"/>
      <c r="N1" s="2"/>
      <c r="O1" s="2"/>
      <c r="P1" s="2"/>
      <c r="Q1" s="2"/>
      <c r="R1" s="2"/>
    </row>
    <row r="2" spans="3:18" ht="12" customHeight="1">
      <c r="C2" s="206" t="str">
        <f>'1.2'!A2</f>
        <v>Docket No. 06-057-01</v>
      </c>
      <c r="D2" s="207"/>
      <c r="E2" s="207"/>
      <c r="F2" s="207"/>
      <c r="G2" s="207"/>
      <c r="H2" s="207"/>
      <c r="I2" s="207"/>
      <c r="J2" s="207"/>
      <c r="K2" s="2"/>
      <c r="L2" s="2"/>
      <c r="M2" s="2"/>
      <c r="N2" s="2"/>
      <c r="O2" s="2"/>
      <c r="P2" s="2"/>
      <c r="Q2" s="2"/>
      <c r="R2" s="2"/>
    </row>
    <row r="3" spans="3:18" ht="12" customHeight="1">
      <c r="C3" s="10"/>
      <c r="D3" s="10"/>
      <c r="E3" s="10"/>
      <c r="F3" s="10"/>
      <c r="G3" s="10"/>
      <c r="H3" s="10"/>
      <c r="I3" s="10"/>
      <c r="J3" s="11" t="s">
        <v>371</v>
      </c>
      <c r="K3" s="2"/>
      <c r="L3" s="2"/>
      <c r="M3" s="2"/>
      <c r="N3" s="2"/>
      <c r="O3" s="2"/>
      <c r="P3" s="2"/>
      <c r="Q3" s="2"/>
      <c r="R3" s="2"/>
    </row>
    <row r="4" spans="3:18" ht="12" customHeight="1">
      <c r="C4" s="10"/>
      <c r="D4" s="10"/>
      <c r="E4" s="10"/>
      <c r="F4" s="10"/>
      <c r="G4" s="10"/>
      <c r="H4" s="10"/>
      <c r="I4" s="10"/>
      <c r="J4" s="11" t="s">
        <v>89</v>
      </c>
      <c r="K4" s="2"/>
      <c r="L4" s="2"/>
      <c r="M4" s="2"/>
      <c r="N4" s="2"/>
      <c r="O4" s="2"/>
      <c r="P4" s="2"/>
      <c r="Q4" s="2"/>
      <c r="R4" s="2"/>
    </row>
    <row r="5" spans="3:18" ht="10.5" customHeight="1">
      <c r="C5" s="10"/>
      <c r="D5" s="10"/>
      <c r="E5" s="10"/>
      <c r="F5" s="10"/>
      <c r="G5" s="10"/>
      <c r="H5" s="10"/>
      <c r="I5" s="10"/>
      <c r="J5" s="11"/>
      <c r="K5" s="2"/>
      <c r="L5" s="2"/>
      <c r="M5" s="2"/>
      <c r="N5" s="2"/>
      <c r="O5" s="2"/>
      <c r="P5" s="2"/>
      <c r="Q5" s="2"/>
      <c r="R5" s="2"/>
    </row>
    <row r="6" spans="3:18" ht="10.5" customHeight="1">
      <c r="C6" s="10"/>
      <c r="D6" s="10"/>
      <c r="E6" s="10"/>
      <c r="F6" s="10"/>
      <c r="G6" s="10"/>
      <c r="H6" s="10"/>
      <c r="I6" s="10"/>
      <c r="J6" s="10"/>
      <c r="K6" s="2"/>
      <c r="L6" s="2"/>
      <c r="M6" s="2"/>
      <c r="N6" s="2"/>
      <c r="O6" s="2"/>
      <c r="P6" s="2"/>
      <c r="Q6" s="2"/>
      <c r="R6" s="2"/>
    </row>
    <row r="7" spans="3:18" ht="10.5" customHeight="1">
      <c r="C7" s="10"/>
      <c r="D7" s="10"/>
      <c r="E7" s="10"/>
      <c r="F7" s="10"/>
      <c r="G7" s="10"/>
      <c r="H7" s="10"/>
      <c r="I7" s="10"/>
      <c r="J7" s="10"/>
      <c r="K7" s="2"/>
      <c r="L7" s="2"/>
      <c r="M7" s="2"/>
      <c r="N7" s="2"/>
      <c r="O7" s="2"/>
      <c r="P7" s="2"/>
      <c r="Q7" s="2"/>
      <c r="R7" s="2"/>
    </row>
    <row r="8" spans="3:18" ht="10.5" customHeight="1">
      <c r="C8" s="10"/>
      <c r="D8" s="10"/>
      <c r="E8" s="10"/>
      <c r="F8" s="10"/>
      <c r="G8" s="10"/>
      <c r="H8" s="10"/>
      <c r="I8" s="10"/>
      <c r="J8" s="10"/>
      <c r="K8" s="2"/>
      <c r="L8" s="2"/>
      <c r="M8" s="2"/>
      <c r="N8" s="2"/>
      <c r="O8" s="2"/>
      <c r="P8" s="2"/>
      <c r="Q8" s="2"/>
      <c r="R8" s="2"/>
    </row>
    <row r="9" spans="3:18" ht="10.5" customHeight="1">
      <c r="C9" s="10"/>
      <c r="D9" s="10"/>
      <c r="E9" s="10"/>
      <c r="F9" s="10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</row>
    <row r="10" spans="3:18" ht="10.5" customHeight="1">
      <c r="C10" s="10"/>
      <c r="D10" s="10"/>
      <c r="E10" s="10"/>
      <c r="F10" s="10"/>
      <c r="G10" s="10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</row>
    <row r="11" spans="3:18" ht="10.5" customHeight="1">
      <c r="C11" s="10"/>
      <c r="D11" s="10"/>
      <c r="E11" s="142" t="s">
        <v>275</v>
      </c>
      <c r="G11" s="10"/>
      <c r="H11" s="10"/>
      <c r="I11" s="10"/>
      <c r="J11" s="10"/>
      <c r="K11" s="2"/>
      <c r="L11" s="2"/>
      <c r="M11" s="2"/>
      <c r="N11" s="2"/>
      <c r="O11" s="2"/>
      <c r="P11" s="2"/>
      <c r="Q11" s="2"/>
      <c r="R11" s="2"/>
    </row>
    <row r="12" spans="3:18" ht="10.5" customHeight="1">
      <c r="C12" s="10"/>
      <c r="D12" s="10"/>
      <c r="E12" s="10"/>
      <c r="F12" s="10"/>
      <c r="G12" s="10"/>
      <c r="H12" s="10"/>
      <c r="I12" s="10"/>
      <c r="J12" s="10"/>
      <c r="K12" s="2"/>
      <c r="L12" s="2"/>
      <c r="M12" s="2"/>
      <c r="N12" s="2"/>
      <c r="O12" s="2"/>
      <c r="P12" s="2"/>
      <c r="Q12" s="2"/>
      <c r="R12" s="2"/>
    </row>
    <row r="13" spans="3:18" ht="10.5" customHeight="1">
      <c r="C13" s="10"/>
      <c r="D13" s="10"/>
      <c r="E13" s="10"/>
      <c r="F13" s="10"/>
      <c r="G13" s="10"/>
      <c r="H13" s="10"/>
      <c r="I13" s="10"/>
      <c r="J13" s="10"/>
      <c r="K13" s="2"/>
      <c r="L13" s="2"/>
      <c r="M13" s="2"/>
      <c r="N13" s="2"/>
      <c r="O13" s="2"/>
      <c r="P13" s="2"/>
      <c r="Q13" s="2"/>
      <c r="R13" s="2"/>
    </row>
    <row r="14" spans="3:18" ht="10.5" customHeight="1">
      <c r="C14" s="10"/>
      <c r="D14" s="10"/>
      <c r="E14" s="10"/>
      <c r="F14" s="10"/>
      <c r="G14" s="10"/>
      <c r="H14" s="10"/>
      <c r="I14" s="10"/>
      <c r="J14" s="10"/>
      <c r="K14" s="2"/>
      <c r="L14" s="2"/>
      <c r="M14" s="2"/>
      <c r="N14" s="2"/>
      <c r="O14" s="2"/>
      <c r="P14" s="2"/>
      <c r="Q14" s="2"/>
      <c r="R14" s="2"/>
    </row>
    <row r="15" spans="3:18" ht="10.5" customHeight="1">
      <c r="C15" s="10"/>
      <c r="D15" s="10"/>
      <c r="E15" s="10"/>
      <c r="F15" s="10"/>
      <c r="G15" s="10"/>
      <c r="H15" s="10"/>
      <c r="I15" s="10"/>
      <c r="J15" s="10"/>
      <c r="K15" s="2"/>
      <c r="L15" s="2"/>
      <c r="M15" s="2"/>
      <c r="N15" s="2"/>
      <c r="O15" s="2"/>
      <c r="P15" s="2"/>
      <c r="Q15" s="2"/>
      <c r="R15" s="2"/>
    </row>
    <row r="16" spans="3:18" ht="10.5" customHeight="1">
      <c r="C16" s="10"/>
      <c r="D16" s="10"/>
      <c r="E16" s="10"/>
      <c r="F16" s="10"/>
      <c r="G16" s="10"/>
      <c r="H16" s="10"/>
      <c r="I16" s="10"/>
      <c r="J16" s="10"/>
      <c r="K16" s="2"/>
      <c r="L16" s="2"/>
      <c r="M16" s="2"/>
      <c r="N16" s="2"/>
      <c r="O16" s="2"/>
      <c r="P16" s="2"/>
      <c r="Q16" s="2"/>
      <c r="R16" s="2"/>
    </row>
    <row r="17" spans="3:18" ht="12.75" customHeight="1">
      <c r="C17" s="10"/>
      <c r="D17" s="151" t="s">
        <v>221</v>
      </c>
      <c r="E17" s="146"/>
      <c r="F17" s="151" t="s">
        <v>222</v>
      </c>
      <c r="G17" s="151" t="s">
        <v>223</v>
      </c>
      <c r="H17" s="151" t="s">
        <v>224</v>
      </c>
      <c r="I17" s="10"/>
      <c r="J17" s="10"/>
      <c r="K17" s="2"/>
      <c r="L17" s="2"/>
      <c r="M17" s="2"/>
      <c r="N17" s="2"/>
      <c r="O17" s="2"/>
      <c r="P17" s="2"/>
      <c r="Q17" s="2"/>
      <c r="R17" s="2"/>
    </row>
    <row r="18" spans="3:18" ht="12.75" customHeight="1">
      <c r="C18" s="10"/>
      <c r="D18" s="146"/>
      <c r="E18" s="146"/>
      <c r="F18" s="146"/>
      <c r="G18" s="147" t="s">
        <v>273</v>
      </c>
      <c r="H18" s="146"/>
      <c r="I18" s="10"/>
      <c r="J18" s="10"/>
      <c r="K18" s="2"/>
      <c r="L18" s="2"/>
      <c r="M18" s="2"/>
      <c r="N18" s="2"/>
      <c r="O18" s="2"/>
      <c r="P18" s="2"/>
      <c r="Q18" s="2"/>
      <c r="R18" s="2"/>
    </row>
    <row r="19" spans="3:18" ht="12.75" customHeight="1" thickBot="1">
      <c r="C19" s="10"/>
      <c r="D19" s="148"/>
      <c r="E19" s="148"/>
      <c r="F19" s="149" t="s">
        <v>39</v>
      </c>
      <c r="G19" s="149" t="s">
        <v>46</v>
      </c>
      <c r="H19" s="150" t="s">
        <v>231</v>
      </c>
      <c r="I19" s="10"/>
      <c r="J19" s="10"/>
      <c r="K19" s="2"/>
      <c r="L19" s="2"/>
      <c r="M19" s="2"/>
      <c r="N19" s="2"/>
      <c r="O19" s="2"/>
      <c r="P19" s="2"/>
      <c r="Q19" s="2"/>
      <c r="R19" s="2"/>
    </row>
    <row r="20" spans="3:18" ht="10.5" customHeight="1" thickTop="1">
      <c r="C20" s="10"/>
      <c r="D20" s="10"/>
      <c r="E20" s="10"/>
      <c r="F20" s="81"/>
      <c r="G20" s="81"/>
      <c r="H20" s="81"/>
      <c r="I20" s="10"/>
      <c r="J20" s="10"/>
      <c r="K20" s="2"/>
      <c r="L20" s="2"/>
      <c r="M20" s="2"/>
      <c r="N20" s="2"/>
      <c r="O20" s="2"/>
      <c r="P20" s="2"/>
      <c r="Q20" s="2"/>
      <c r="R20" s="2"/>
    </row>
    <row r="21" spans="3:18" ht="12.75" customHeight="1">
      <c r="C21" s="14">
        <v>1</v>
      </c>
      <c r="D21" s="10" t="s">
        <v>90</v>
      </c>
      <c r="E21" s="10"/>
      <c r="F21" s="15">
        <f>'1.4.1'!H19</f>
        <v>56683010</v>
      </c>
      <c r="G21" s="16">
        <f>H21/F21</f>
        <v>4.075885825399886</v>
      </c>
      <c r="H21" s="12">
        <f>'1.4.1'!F17</f>
        <v>231033477</v>
      </c>
      <c r="I21" s="10"/>
      <c r="J21" s="10"/>
      <c r="K21" s="7"/>
      <c r="L21" s="2"/>
      <c r="M21" s="7"/>
      <c r="N21" s="2"/>
      <c r="O21" s="2"/>
      <c r="P21" s="2"/>
      <c r="Q21" s="2"/>
      <c r="R21" s="2"/>
    </row>
    <row r="22" spans="3:18" ht="12.75" customHeight="1" thickBot="1">
      <c r="C22" s="14">
        <f>C21+1</f>
        <v>2</v>
      </c>
      <c r="D22" s="10" t="s">
        <v>91</v>
      </c>
      <c r="E22" s="10"/>
      <c r="F22" s="143">
        <f>'1.2'!C32</f>
        <v>54384137</v>
      </c>
      <c r="G22" s="144">
        <f>H22/F22</f>
        <v>9.07050167956145</v>
      </c>
      <c r="H22" s="139">
        <f>'1.2'!G32</f>
        <v>493291406</v>
      </c>
      <c r="I22" s="10"/>
      <c r="J22" s="10"/>
      <c r="K22" s="2"/>
      <c r="L22" s="2"/>
      <c r="M22" s="7"/>
      <c r="N22" s="2"/>
      <c r="O22" s="2"/>
      <c r="P22" s="2"/>
      <c r="Q22" s="2"/>
      <c r="R22" s="2"/>
    </row>
    <row r="23" spans="3:18" ht="12.75" customHeight="1">
      <c r="C23" s="14">
        <f>C22+1</f>
        <v>3</v>
      </c>
      <c r="D23" s="10" t="s">
        <v>151</v>
      </c>
      <c r="E23" s="10"/>
      <c r="F23" s="15">
        <f>SUM(F21:F22)</f>
        <v>111067147</v>
      </c>
      <c r="G23" s="16">
        <f>(+H21+H22)/(+F21+F22)</f>
        <v>6.52150435627918</v>
      </c>
      <c r="H23" s="12">
        <f>SUM(H21:H22)</f>
        <v>724324883</v>
      </c>
      <c r="I23" s="10"/>
      <c r="J23" s="10"/>
      <c r="K23" s="2"/>
      <c r="L23" s="2"/>
      <c r="M23" s="2"/>
      <c r="N23" s="2"/>
      <c r="O23" s="2"/>
      <c r="P23" s="2"/>
      <c r="Q23" s="2"/>
      <c r="R23" s="2"/>
    </row>
    <row r="24" spans="3:18" ht="12.75" customHeight="1">
      <c r="C24" s="14"/>
      <c r="D24" s="10"/>
      <c r="E24" s="10"/>
      <c r="F24" s="15"/>
      <c r="G24" s="16"/>
      <c r="H24" s="12"/>
      <c r="I24" s="10"/>
      <c r="J24" s="10"/>
      <c r="K24" s="2"/>
      <c r="L24" s="2"/>
      <c r="M24" s="2"/>
      <c r="N24" s="2"/>
      <c r="O24" s="2"/>
      <c r="P24" s="2"/>
      <c r="Q24" s="2"/>
      <c r="R24" s="2"/>
    </row>
    <row r="25" spans="3:18" ht="12.75" customHeight="1">
      <c r="C25" s="14"/>
      <c r="D25" s="10"/>
      <c r="E25" s="10"/>
      <c r="F25" s="15"/>
      <c r="G25" s="16"/>
      <c r="H25" s="12"/>
      <c r="I25" s="10"/>
      <c r="J25" s="10"/>
      <c r="K25" s="2"/>
      <c r="L25" s="2"/>
      <c r="M25" s="2"/>
      <c r="N25" s="2"/>
      <c r="O25" s="2"/>
      <c r="P25" s="2"/>
      <c r="Q25" s="2"/>
      <c r="R25" s="2"/>
    </row>
    <row r="26" spans="3:18" ht="12.75" customHeight="1">
      <c r="C26" s="10"/>
      <c r="D26" s="10"/>
      <c r="E26" s="10"/>
      <c r="F26" s="10"/>
      <c r="G26" s="10"/>
      <c r="H26" s="10"/>
      <c r="I26" s="10"/>
      <c r="J26" s="10"/>
      <c r="K26" s="2"/>
      <c r="L26" s="2"/>
      <c r="M26" s="2"/>
      <c r="N26" s="2"/>
      <c r="O26" s="2"/>
      <c r="P26" s="2"/>
      <c r="Q26" s="2"/>
      <c r="R26" s="2"/>
    </row>
    <row r="27" spans="3:18" ht="12.75" customHeight="1">
      <c r="C27" s="14"/>
      <c r="D27" s="10" t="s">
        <v>92</v>
      </c>
      <c r="E27" s="10"/>
      <c r="F27" s="10"/>
      <c r="G27" s="10"/>
      <c r="H27" s="10"/>
      <c r="I27" s="10"/>
      <c r="J27" s="10"/>
      <c r="K27" s="2"/>
      <c r="L27" s="2"/>
      <c r="M27" s="2"/>
      <c r="N27" s="2"/>
      <c r="O27" s="2"/>
      <c r="P27" s="2"/>
      <c r="Q27" s="2"/>
      <c r="R27" s="2"/>
    </row>
    <row r="28" spans="3:18" ht="12.75" customHeight="1">
      <c r="C28" s="14">
        <f>C23+1</f>
        <v>4</v>
      </c>
      <c r="D28" s="10" t="s">
        <v>93</v>
      </c>
      <c r="E28" s="10"/>
      <c r="F28" s="15">
        <f>'1.3.2'!E28+'1.3.2'!E30</f>
        <v>16534361</v>
      </c>
      <c r="G28" s="23">
        <v>5.49576873</v>
      </c>
      <c r="H28" s="12">
        <f>F28*G28</f>
        <v>90869024.15433154</v>
      </c>
      <c r="I28" s="15"/>
      <c r="J28" s="10"/>
      <c r="K28" s="39"/>
      <c r="L28" s="2"/>
      <c r="M28" s="2"/>
      <c r="N28" s="2"/>
      <c r="O28" s="2"/>
      <c r="P28" s="2"/>
      <c r="Q28" s="2"/>
      <c r="R28" s="2"/>
    </row>
    <row r="29" spans="3:18" ht="12.75" customHeight="1" thickBot="1">
      <c r="C29" s="14">
        <f>C28+1</f>
        <v>5</v>
      </c>
      <c r="D29" s="10" t="s">
        <v>94</v>
      </c>
      <c r="E29" s="10"/>
      <c r="F29" s="15">
        <f>-'1.3.2'!E27-'1.3.2'!E29</f>
        <v>-13635498</v>
      </c>
      <c r="G29" s="23">
        <v>5.50494617</v>
      </c>
      <c r="H29" s="139">
        <f>F29*G29</f>
        <v>-75062682.49114266</v>
      </c>
      <c r="I29" s="10"/>
      <c r="J29" s="10"/>
      <c r="K29" s="2"/>
      <c r="L29" s="2"/>
      <c r="M29" s="2"/>
      <c r="N29" s="2"/>
      <c r="O29" s="2"/>
      <c r="P29" s="2"/>
      <c r="Q29" s="2"/>
      <c r="R29" s="2"/>
    </row>
    <row r="30" spans="3:18" ht="12.75" customHeight="1">
      <c r="C30" s="14">
        <f>C29+1</f>
        <v>6</v>
      </c>
      <c r="D30" s="15" t="s">
        <v>95</v>
      </c>
      <c r="E30" s="10"/>
      <c r="F30" s="15"/>
      <c r="G30" s="10"/>
      <c r="H30" s="12">
        <f>H28+H29</f>
        <v>15806341.663188875</v>
      </c>
      <c r="I30" s="10"/>
      <c r="J30" s="10"/>
      <c r="K30" s="6"/>
      <c r="L30" s="2"/>
      <c r="M30" s="2"/>
      <c r="N30" s="2"/>
      <c r="O30" s="2"/>
      <c r="P30" s="2"/>
      <c r="Q30" s="2"/>
      <c r="R30" s="2"/>
    </row>
    <row r="31" spans="3:18" ht="10.5" customHeight="1">
      <c r="C31" s="10"/>
      <c r="D31" s="10"/>
      <c r="E31" s="10"/>
      <c r="F31" s="10"/>
      <c r="G31" s="10"/>
      <c r="H31" s="10"/>
      <c r="I31" s="10"/>
      <c r="J31" s="10"/>
      <c r="K31" s="2"/>
      <c r="L31" s="2"/>
      <c r="M31" s="2"/>
      <c r="N31" s="2"/>
      <c r="O31" s="2"/>
      <c r="P31" s="2"/>
      <c r="Q31" s="2"/>
      <c r="R31" s="2"/>
    </row>
    <row r="32" spans="3:18" ht="10.5" customHeight="1">
      <c r="C32" s="10"/>
      <c r="D32" s="10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2"/>
      <c r="R32" s="2"/>
    </row>
    <row r="33" spans="3:18" ht="10.5" customHeight="1">
      <c r="C33" s="10"/>
      <c r="D33" s="10"/>
      <c r="E33" s="10"/>
      <c r="F33" s="10"/>
      <c r="G33" s="10"/>
      <c r="H33" s="10"/>
      <c r="I33" s="10"/>
      <c r="J33" s="10"/>
      <c r="K33" s="2"/>
      <c r="L33" s="2"/>
      <c r="M33" s="2"/>
      <c r="N33" s="2"/>
      <c r="O33" s="2"/>
      <c r="P33" s="2"/>
      <c r="Q33" s="2"/>
      <c r="R33" s="2"/>
    </row>
    <row r="34" spans="3:18" ht="10.5" customHeight="1">
      <c r="C34" s="10"/>
      <c r="D34" s="10"/>
      <c r="E34" s="10"/>
      <c r="F34" s="10"/>
      <c r="G34" s="10"/>
      <c r="H34" s="10"/>
      <c r="I34" s="10"/>
      <c r="J34" s="10"/>
      <c r="K34" s="2"/>
      <c r="L34" s="2"/>
      <c r="M34" s="2"/>
      <c r="N34" s="2"/>
      <c r="O34" s="2"/>
      <c r="P34" s="2"/>
      <c r="Q34" s="2"/>
      <c r="R34" s="2"/>
    </row>
    <row r="35" spans="3:18" ht="10.5" customHeight="1" thickBot="1">
      <c r="C35" s="10"/>
      <c r="D35" s="152"/>
      <c r="E35" s="152"/>
      <c r="F35" s="10"/>
      <c r="G35" s="40"/>
      <c r="H35" s="10"/>
      <c r="I35" s="10"/>
      <c r="J35" s="10"/>
      <c r="K35" s="2"/>
      <c r="L35" s="2"/>
      <c r="M35" s="2"/>
      <c r="N35" s="2"/>
      <c r="O35" s="2"/>
      <c r="P35" s="2"/>
      <c r="Q35" s="2"/>
      <c r="R35" s="2"/>
    </row>
    <row r="36" spans="3:18" ht="10.5" customHeight="1">
      <c r="C36" s="10"/>
      <c r="D36" s="10"/>
      <c r="E36" s="10"/>
      <c r="F36" s="10"/>
      <c r="G36" s="10"/>
      <c r="H36" s="10"/>
      <c r="I36" s="10"/>
      <c r="J36" s="10"/>
      <c r="K36" s="2"/>
      <c r="L36" s="2"/>
      <c r="M36" s="2"/>
      <c r="N36" s="2"/>
      <c r="O36" s="2"/>
      <c r="P36" s="2"/>
      <c r="Q36" s="2"/>
      <c r="R36" s="2"/>
    </row>
    <row r="37" spans="3:18" ht="12" customHeight="1">
      <c r="C37" s="10"/>
      <c r="D37" s="88" t="s">
        <v>372</v>
      </c>
      <c r="E37" s="10"/>
      <c r="F37" s="10"/>
      <c r="G37" s="10"/>
      <c r="H37" s="10"/>
      <c r="I37" s="10"/>
      <c r="J37" s="10"/>
      <c r="K37" s="2"/>
      <c r="L37" s="2"/>
      <c r="M37" s="2"/>
      <c r="N37" s="2"/>
      <c r="O37" s="2"/>
      <c r="P37" s="2"/>
      <c r="Q37" s="2"/>
      <c r="R37" s="2"/>
    </row>
    <row r="38" spans="3:18" ht="12" customHeight="1">
      <c r="C38" s="10"/>
      <c r="D38" s="88" t="s">
        <v>380</v>
      </c>
      <c r="E38" s="10"/>
      <c r="F38" s="10"/>
      <c r="G38" s="10"/>
      <c r="H38" s="10"/>
      <c r="I38" s="10"/>
      <c r="J38" s="10"/>
      <c r="K38" s="2"/>
      <c r="L38" s="2"/>
      <c r="M38" s="2"/>
      <c r="N38" s="2"/>
      <c r="O38" s="2"/>
      <c r="P38" s="2"/>
      <c r="Q38" s="2"/>
      <c r="R38" s="2"/>
    </row>
    <row r="39" spans="3:18" ht="12" customHeight="1">
      <c r="C39" s="10"/>
      <c r="D39" s="88" t="s">
        <v>274</v>
      </c>
      <c r="E39" s="10"/>
      <c r="F39" s="10"/>
      <c r="G39" s="10"/>
      <c r="H39" s="10"/>
      <c r="I39" s="10"/>
      <c r="J39" s="10"/>
      <c r="K39" s="2"/>
      <c r="L39" s="2"/>
      <c r="M39" s="2"/>
      <c r="N39" s="2"/>
      <c r="O39" s="2"/>
      <c r="P39" s="2"/>
      <c r="Q39" s="2"/>
      <c r="R39" s="2"/>
    </row>
    <row r="40" spans="3:18" ht="10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3:18" ht="10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18" ht="10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3:18" ht="10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3:18" ht="10.5" customHeight="1">
      <c r="C44" s="2"/>
      <c r="D44" s="4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3:18" ht="10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ht="10.5" customHeight="1">
      <c r="C46" s="2"/>
      <c r="D46" s="42"/>
      <c r="E46" s="43"/>
      <c r="F46" s="4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 ht="10.5" customHeight="1">
      <c r="C47" s="2"/>
      <c r="D47" s="7"/>
      <c r="E47" s="4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0.5" customHeight="1">
      <c r="C48" s="43"/>
      <c r="D48" s="7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0.5" customHeight="1">
      <c r="C49" s="2"/>
      <c r="D49" s="7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0.5" customHeight="1">
      <c r="C50" s="2"/>
      <c r="D50" s="7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 ht="10.5" customHeight="1">
      <c r="C51" s="2"/>
      <c r="D51" s="7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 ht="10.5" customHeight="1">
      <c r="C52" s="2"/>
      <c r="D52" s="7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 ht="10.5" customHeight="1">
      <c r="C53" s="2"/>
      <c r="D53" s="7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0.5" customHeight="1">
      <c r="C54" s="2"/>
      <c r="D54" s="7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0.5" customHeight="1">
      <c r="C55" s="2"/>
      <c r="D55" s="7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0.5" customHeight="1">
      <c r="C56" s="2"/>
      <c r="D56" s="7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0.5" customHeight="1">
      <c r="C57" s="2"/>
      <c r="D57" s="7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0.5" customHeight="1">
      <c r="C58" s="2"/>
      <c r="D58" s="7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0.5" customHeight="1">
      <c r="C59" s="2"/>
      <c r="D59" s="7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0.5" customHeight="1">
      <c r="C60" s="2"/>
      <c r="D60" s="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0.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0.5" customHeight="1">
      <c r="C62" s="2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0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0.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0.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0.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0.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0.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0.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0.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0.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0.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 ht="10.5" customHeight="1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3:18" ht="10.5" customHeight="1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3:18" ht="10.5" customHeight="1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3:18" ht="10.5" customHeight="1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3:18" ht="10.5" customHeight="1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3:18" ht="10.5" customHeight="1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3:18" ht="10.5" customHeight="1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3:18" ht="10.5" customHeight="1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3:18" ht="10.5" customHeight="1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3:18" ht="10.5" customHeight="1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3:18" ht="10.5" customHeight="1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3:18" ht="10.5" customHeight="1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3:18" ht="10.5" customHeight="1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3:18" ht="10.5" customHeight="1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3:18" ht="10.5" customHeight="1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3:18" ht="10.5" customHeight="1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3:18" ht="10.5" customHeight="1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3:18" ht="10.5" customHeight="1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1" spans="3:18" ht="10.5" customHeight="1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3:18" ht="10.5" customHeight="1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</row>
    <row r="93" spans="3:18" ht="10.5" customHeight="1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  <row r="94" spans="3:18" ht="10.5" customHeight="1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3:18" ht="10.5" customHeight="1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3:18" ht="10.5" customHeight="1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</sheetData>
  <mergeCells count="1">
    <mergeCell ref="C2:J2"/>
  </mergeCells>
  <printOptions/>
  <pageMargins left="1.25" right="0.25" top="0.6" bottom="0.25" header="0.5" footer="0.5"/>
  <pageSetup fitToHeight="1" fitToWidth="1"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Q95"/>
  <sheetViews>
    <sheetView workbookViewId="0" topLeftCell="A1">
      <selection activeCell="I3" sqref="I3"/>
    </sheetView>
  </sheetViews>
  <sheetFormatPr defaultColWidth="9.8515625" defaultRowHeight="12"/>
  <cols>
    <col min="1" max="1" width="3.8515625" style="0" customWidth="1"/>
    <col min="2" max="2" width="16.140625" style="0" customWidth="1"/>
    <col min="3" max="3" width="2.8515625" style="0" customWidth="1"/>
    <col min="4" max="4" width="41.7109375" style="0" customWidth="1"/>
    <col min="5" max="5" width="12.421875" style="0" bestFit="1" customWidth="1"/>
    <col min="6" max="6" width="13.8515625" style="0" bestFit="1" customWidth="1"/>
    <col min="7" max="7" width="3.8515625" style="0" customWidth="1"/>
    <col min="9" max="9" width="2.8515625" style="0" customWidth="1"/>
    <col min="11" max="11" width="3.8515625" style="0" customWidth="1"/>
  </cols>
  <sheetData>
    <row r="1" spans="1:17" ht="12.75" customHeight="1">
      <c r="A1" s="10"/>
      <c r="B1" s="10"/>
      <c r="C1" s="10"/>
      <c r="D1" s="10"/>
      <c r="E1" s="10"/>
      <c r="F1" s="10"/>
      <c r="G1" s="10"/>
      <c r="H1" s="10"/>
      <c r="I1" s="11" t="s">
        <v>37</v>
      </c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206" t="str">
        <f>'1.2'!A2</f>
        <v>Docket No. 06-057-01</v>
      </c>
      <c r="B2" s="207"/>
      <c r="C2" s="207"/>
      <c r="D2" s="207"/>
      <c r="E2" s="207"/>
      <c r="F2" s="207"/>
      <c r="G2" s="207"/>
      <c r="H2" s="207"/>
      <c r="I2" s="207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0"/>
      <c r="B3" s="10"/>
      <c r="C3" s="10"/>
      <c r="D3" s="10"/>
      <c r="E3" s="10"/>
      <c r="F3" s="10"/>
      <c r="G3" s="10"/>
      <c r="H3" s="10"/>
      <c r="I3" s="11" t="s">
        <v>371</v>
      </c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10"/>
      <c r="B4" s="10"/>
      <c r="C4" s="10"/>
      <c r="D4" s="10"/>
      <c r="E4" s="10"/>
      <c r="F4" s="10"/>
      <c r="G4" s="10"/>
      <c r="H4" s="10"/>
      <c r="I4" s="11" t="s">
        <v>96</v>
      </c>
      <c r="J4" s="2"/>
      <c r="K4" s="2"/>
      <c r="L4" s="2"/>
      <c r="M4" s="2"/>
      <c r="N4" s="2"/>
      <c r="O4" s="2"/>
      <c r="P4" s="2"/>
      <c r="Q4" s="2"/>
    </row>
    <row r="5" spans="1:17" ht="12.75" customHeight="1">
      <c r="A5" s="10"/>
      <c r="B5" s="10"/>
      <c r="C5" s="10"/>
      <c r="D5" s="10"/>
      <c r="E5" s="10"/>
      <c r="F5" s="10"/>
      <c r="G5" s="10"/>
      <c r="H5" s="10"/>
      <c r="I5" s="10"/>
      <c r="J5" s="2"/>
      <c r="K5" s="2"/>
      <c r="L5" s="2"/>
      <c r="M5" s="2"/>
      <c r="N5" s="2"/>
      <c r="O5" s="2"/>
      <c r="P5" s="2"/>
      <c r="Q5" s="2"/>
    </row>
    <row r="6" spans="1:17" ht="12.75" customHeight="1">
      <c r="A6" s="10"/>
      <c r="B6" s="10"/>
      <c r="C6" s="10"/>
      <c r="D6" s="10"/>
      <c r="E6" s="10"/>
      <c r="F6" s="10"/>
      <c r="G6" s="10"/>
      <c r="H6" s="10"/>
      <c r="I6" s="10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10"/>
      <c r="B7" s="10"/>
      <c r="C7" s="10"/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10"/>
      <c r="B8" s="10"/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10"/>
      <c r="B9" s="10"/>
      <c r="C9" s="10"/>
      <c r="D9" s="10"/>
      <c r="E9" s="10"/>
      <c r="F9" s="10"/>
      <c r="G9" s="10"/>
      <c r="H9" s="10"/>
      <c r="I9" s="10"/>
      <c r="J9" s="2"/>
      <c r="K9" s="2"/>
      <c r="L9" s="2"/>
      <c r="M9" s="2"/>
      <c r="N9" s="2"/>
      <c r="O9" s="2"/>
      <c r="P9" s="2"/>
      <c r="Q9" s="2"/>
    </row>
    <row r="10" spans="1:17" ht="12.75" customHeight="1">
      <c r="A10" s="10"/>
      <c r="B10" s="10"/>
      <c r="C10" s="10"/>
      <c r="D10" s="85" t="s">
        <v>97</v>
      </c>
      <c r="E10" s="10"/>
      <c r="F10" s="10"/>
      <c r="G10" s="10"/>
      <c r="H10" s="10"/>
      <c r="I10" s="10"/>
      <c r="J10" s="2"/>
      <c r="K10" s="2"/>
      <c r="L10" s="2"/>
      <c r="M10" s="2"/>
      <c r="N10" s="2"/>
      <c r="O10" s="2"/>
      <c r="P10" s="2"/>
      <c r="Q10" s="2"/>
    </row>
    <row r="11" spans="1:17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2"/>
      <c r="K11" s="2"/>
      <c r="L11" s="2"/>
      <c r="M11" s="2"/>
      <c r="N11" s="2"/>
      <c r="O11" s="2"/>
      <c r="P11" s="2"/>
      <c r="Q11" s="2"/>
    </row>
    <row r="12" spans="1:17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</row>
    <row r="13" spans="1:17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2"/>
      <c r="K14" s="2"/>
      <c r="L14" s="2"/>
      <c r="M14" s="2"/>
      <c r="N14" s="2"/>
      <c r="O14" s="2"/>
      <c r="P14" s="2"/>
      <c r="Q14" s="2"/>
    </row>
    <row r="15" spans="1:17" ht="12.75" customHeight="1">
      <c r="A15" s="10"/>
      <c r="B15" s="151" t="s">
        <v>221</v>
      </c>
      <c r="C15" s="146"/>
      <c r="D15" s="151" t="s">
        <v>222</v>
      </c>
      <c r="E15" s="151" t="s">
        <v>223</v>
      </c>
      <c r="F15" s="151" t="s">
        <v>224</v>
      </c>
      <c r="G15" s="10"/>
      <c r="H15" s="10"/>
      <c r="I15" s="10"/>
      <c r="J15" s="2"/>
      <c r="K15" s="2"/>
      <c r="L15" s="2"/>
      <c r="M15" s="2"/>
      <c r="N15" s="2"/>
      <c r="O15" s="2"/>
      <c r="P15" s="2"/>
      <c r="Q15" s="2"/>
    </row>
    <row r="16" spans="1:17" ht="12.75" customHeight="1">
      <c r="A16" s="10"/>
      <c r="B16" s="14"/>
      <c r="C16" s="10"/>
      <c r="D16" s="10"/>
      <c r="E16" s="10"/>
      <c r="F16" s="14" t="s">
        <v>98</v>
      </c>
      <c r="G16" s="10"/>
      <c r="H16" s="10"/>
      <c r="I16" s="10"/>
      <c r="J16" s="2"/>
      <c r="K16" s="2"/>
      <c r="L16" s="2"/>
      <c r="M16" s="2"/>
      <c r="N16" s="2"/>
      <c r="O16" s="2"/>
      <c r="P16" s="2"/>
      <c r="Q16" s="2"/>
    </row>
    <row r="17" spans="1:17" ht="12.75" customHeight="1" thickBot="1">
      <c r="A17" s="10"/>
      <c r="B17" s="113" t="s">
        <v>277</v>
      </c>
      <c r="C17" s="112"/>
      <c r="D17" s="112" t="s">
        <v>276</v>
      </c>
      <c r="E17" s="112"/>
      <c r="F17" s="113" t="s">
        <v>99</v>
      </c>
      <c r="G17" s="10"/>
      <c r="H17" s="10"/>
      <c r="I17" s="10"/>
      <c r="J17" s="2"/>
      <c r="K17" s="2"/>
      <c r="L17" s="2"/>
      <c r="M17" s="2"/>
      <c r="N17" s="2"/>
      <c r="O17" s="2"/>
      <c r="P17" s="2"/>
      <c r="Q17" s="2"/>
    </row>
    <row r="18" spans="1:17" ht="12.75" customHeight="1" thickTop="1">
      <c r="A18" s="10"/>
      <c r="B18" s="10"/>
      <c r="C18" s="10"/>
      <c r="D18" s="10"/>
      <c r="E18" s="10"/>
      <c r="F18" s="10"/>
      <c r="G18" s="10"/>
      <c r="H18" s="10"/>
      <c r="I18" s="10"/>
      <c r="J18" s="2"/>
      <c r="K18" s="2"/>
      <c r="L18" s="2"/>
      <c r="M18" s="2"/>
      <c r="N18" s="2"/>
      <c r="O18" s="2"/>
      <c r="P18" s="2"/>
      <c r="Q18" s="2"/>
    </row>
    <row r="19" spans="1:17" ht="12.75" customHeight="1">
      <c r="A19" s="10">
        <v>1</v>
      </c>
      <c r="B19" s="14" t="s">
        <v>100</v>
      </c>
      <c r="C19" s="10"/>
      <c r="D19" s="10" t="s">
        <v>101</v>
      </c>
      <c r="E19" s="10"/>
      <c r="F19" s="20">
        <v>19510111</v>
      </c>
      <c r="G19" s="10" t="s">
        <v>102</v>
      </c>
      <c r="H19" s="10"/>
      <c r="I19" s="10"/>
      <c r="J19" s="2"/>
      <c r="K19" s="2"/>
      <c r="L19" s="2"/>
      <c r="M19" s="2"/>
      <c r="N19" s="2"/>
      <c r="O19" s="2"/>
      <c r="P19" s="2"/>
      <c r="Q19" s="2"/>
    </row>
    <row r="20" spans="1:17" ht="12.75" customHeight="1">
      <c r="A20" s="10"/>
      <c r="B20" s="14"/>
      <c r="C20" s="10"/>
      <c r="D20" s="10"/>
      <c r="E20" s="10"/>
      <c r="F20" s="15"/>
      <c r="G20" s="10"/>
      <c r="H20" s="10"/>
      <c r="I20" s="10"/>
      <c r="J20" s="2"/>
      <c r="K20" s="2"/>
      <c r="L20" s="2"/>
      <c r="M20" s="2"/>
      <c r="N20" s="2"/>
      <c r="O20" s="2"/>
      <c r="P20" s="2"/>
      <c r="Q20" s="2"/>
    </row>
    <row r="21" spans="1:17" ht="12.75" customHeight="1">
      <c r="A21" s="1"/>
      <c r="B21" s="1"/>
      <c r="C21" s="1"/>
      <c r="D21" s="1"/>
      <c r="E21" s="1"/>
      <c r="F21" s="1"/>
      <c r="G21" s="1"/>
      <c r="H21" s="10"/>
      <c r="I21" s="10"/>
      <c r="J21" s="2"/>
      <c r="K21" s="2"/>
      <c r="L21" s="2"/>
      <c r="M21" s="2"/>
      <c r="N21" s="2"/>
      <c r="O21" s="2"/>
      <c r="P21" s="2"/>
      <c r="Q21" s="2"/>
    </row>
    <row r="22" spans="1:17" ht="12.75" customHeight="1">
      <c r="A22" s="10">
        <f>A19+1</f>
        <v>2</v>
      </c>
      <c r="B22" s="14" t="s">
        <v>103</v>
      </c>
      <c r="C22" s="10"/>
      <c r="D22" s="10" t="s">
        <v>104</v>
      </c>
      <c r="E22" s="10"/>
      <c r="F22" s="19">
        <v>7126292</v>
      </c>
      <c r="G22" s="10" t="s">
        <v>102</v>
      </c>
      <c r="H22" s="10"/>
      <c r="I22" s="10"/>
      <c r="J22" s="2"/>
      <c r="K22" s="2"/>
      <c r="L22" s="2"/>
      <c r="M22" s="2"/>
      <c r="N22" s="2"/>
      <c r="O22" s="2"/>
      <c r="P22" s="2"/>
      <c r="Q22" s="2"/>
    </row>
    <row r="23" spans="1:17" ht="12.75" customHeight="1">
      <c r="A23" s="10"/>
      <c r="B23" s="14"/>
      <c r="C23" s="10"/>
      <c r="D23" s="10"/>
      <c r="E23" s="10"/>
      <c r="F23" s="15"/>
      <c r="G23" s="10"/>
      <c r="H23" s="10"/>
      <c r="I23" s="10"/>
      <c r="J23" s="2"/>
      <c r="K23" s="2"/>
      <c r="L23" s="2"/>
      <c r="M23" s="2"/>
      <c r="N23" s="2"/>
      <c r="O23" s="2"/>
      <c r="P23" s="2"/>
      <c r="Q23" s="2"/>
    </row>
    <row r="24" spans="1:17" ht="12.75" customHeight="1">
      <c r="A24" s="1"/>
      <c r="B24" s="1"/>
      <c r="C24" s="1"/>
      <c r="D24" s="1"/>
      <c r="E24" s="1"/>
      <c r="F24" s="1"/>
      <c r="G24" s="10"/>
      <c r="H24" s="10"/>
      <c r="I24" s="10"/>
      <c r="J24" s="2"/>
      <c r="K24" s="2"/>
      <c r="L24" s="2"/>
      <c r="M24" s="2"/>
      <c r="N24" s="2"/>
      <c r="O24" s="2"/>
      <c r="P24" s="2"/>
      <c r="Q24" s="2"/>
    </row>
    <row r="25" spans="1:17" ht="12.75" customHeight="1">
      <c r="A25" s="10">
        <f>A22+1</f>
        <v>3</v>
      </c>
      <c r="B25" s="14" t="s">
        <v>105</v>
      </c>
      <c r="C25" s="10"/>
      <c r="D25" s="10" t="s">
        <v>106</v>
      </c>
      <c r="E25" s="20">
        <v>2213584</v>
      </c>
      <c r="G25" s="10" t="s">
        <v>102</v>
      </c>
      <c r="H25" s="10"/>
      <c r="I25" s="10"/>
      <c r="J25" s="2"/>
      <c r="K25" s="2"/>
      <c r="L25" s="2"/>
      <c r="M25" s="2"/>
      <c r="N25" s="2"/>
      <c r="O25" s="2"/>
      <c r="P25" s="2"/>
      <c r="Q25" s="2"/>
    </row>
    <row r="26" spans="1:17" ht="12.75" customHeight="1">
      <c r="A26" s="10">
        <f>A25+1</f>
        <v>4</v>
      </c>
      <c r="B26" s="14" t="s">
        <v>107</v>
      </c>
      <c r="C26" s="10"/>
      <c r="D26" s="10" t="s">
        <v>108</v>
      </c>
      <c r="E26" s="19">
        <v>-321480</v>
      </c>
      <c r="G26" s="10" t="s">
        <v>102</v>
      </c>
      <c r="H26" s="10"/>
      <c r="I26" s="10"/>
      <c r="J26" s="2"/>
      <c r="K26" s="2"/>
      <c r="L26" s="2"/>
      <c r="M26" s="2"/>
      <c r="N26" s="2"/>
      <c r="O26" s="2"/>
      <c r="P26" s="2"/>
      <c r="Q26" s="2"/>
    </row>
    <row r="27" spans="1:17" ht="12.75" customHeight="1">
      <c r="A27" s="10">
        <f>A26+1</f>
        <v>5</v>
      </c>
      <c r="B27" s="14"/>
      <c r="C27" s="10"/>
      <c r="D27" s="10" t="s">
        <v>109</v>
      </c>
      <c r="E27" s="10"/>
      <c r="F27" s="15">
        <f>E25+E26</f>
        <v>1892104</v>
      </c>
      <c r="G27" s="10"/>
      <c r="H27" s="10"/>
      <c r="I27" s="10"/>
      <c r="J27" s="2"/>
      <c r="K27" s="2"/>
      <c r="L27" s="2"/>
      <c r="M27" s="2"/>
      <c r="N27" s="2"/>
      <c r="O27" s="2"/>
      <c r="P27" s="2"/>
      <c r="Q27" s="2"/>
    </row>
    <row r="28" spans="1:17" ht="12.75" customHeight="1">
      <c r="A28" s="10"/>
      <c r="B28" s="14"/>
      <c r="C28" s="10"/>
      <c r="D28" s="10"/>
      <c r="E28" s="10"/>
      <c r="F28" s="15"/>
      <c r="G28" s="10"/>
      <c r="H28" s="10"/>
      <c r="I28" s="10"/>
      <c r="J28" s="2"/>
      <c r="K28" s="2"/>
      <c r="L28" s="2"/>
      <c r="M28" s="2"/>
      <c r="N28" s="2"/>
      <c r="O28" s="2"/>
      <c r="P28" s="2"/>
      <c r="Q28" s="2"/>
    </row>
    <row r="29" spans="1:17" ht="12.75" customHeight="1">
      <c r="A29" s="10"/>
      <c r="B29" s="14"/>
      <c r="C29" s="10"/>
      <c r="D29" s="10"/>
      <c r="E29" s="10"/>
      <c r="F29" s="19"/>
      <c r="G29" s="10"/>
      <c r="H29" s="10"/>
      <c r="I29" s="10"/>
      <c r="J29" s="2"/>
      <c r="K29" s="2"/>
      <c r="L29" s="2"/>
      <c r="M29" s="2"/>
      <c r="N29" s="2"/>
      <c r="O29" s="2"/>
      <c r="P29" s="2"/>
      <c r="Q29" s="2"/>
    </row>
    <row r="30" spans="1:17" ht="12.75" customHeight="1">
      <c r="A30" s="10">
        <f>A27+1</f>
        <v>6</v>
      </c>
      <c r="B30" s="14" t="s">
        <v>110</v>
      </c>
      <c r="C30" s="10"/>
      <c r="D30" s="10" t="s">
        <v>111</v>
      </c>
      <c r="E30" s="10"/>
      <c r="F30" s="19">
        <v>14480265</v>
      </c>
      <c r="G30" s="10" t="s">
        <v>102</v>
      </c>
      <c r="H30" s="10"/>
      <c r="I30" s="10"/>
      <c r="J30" s="2"/>
      <c r="K30" s="2"/>
      <c r="L30" s="2"/>
      <c r="M30" s="2"/>
      <c r="N30" s="2"/>
      <c r="O30" s="2"/>
      <c r="P30" s="2"/>
      <c r="Q30" s="2"/>
    </row>
    <row r="31" spans="1:17" ht="12.75" customHeight="1">
      <c r="A31" s="1"/>
      <c r="B31" s="1"/>
      <c r="C31" s="1"/>
      <c r="D31" s="1"/>
      <c r="E31" s="1"/>
      <c r="F31" s="1"/>
      <c r="G31" s="1"/>
      <c r="H31" s="10"/>
      <c r="I31" s="10"/>
      <c r="J31" s="2"/>
      <c r="K31" s="2"/>
      <c r="L31" s="2"/>
      <c r="M31" s="2"/>
      <c r="N31" s="2"/>
      <c r="O31" s="2"/>
      <c r="P31" s="2"/>
      <c r="Q31" s="2"/>
    </row>
    <row r="32" spans="1:17" ht="12.75" customHeight="1">
      <c r="A32" s="10"/>
      <c r="B32" s="14"/>
      <c r="C32" s="10"/>
      <c r="D32" s="10"/>
      <c r="E32" s="10"/>
      <c r="F32" s="10"/>
      <c r="G32" s="10"/>
      <c r="H32" s="10"/>
      <c r="I32" s="10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10">
        <f>A30+1</f>
        <v>7</v>
      </c>
      <c r="B33" s="14" t="s">
        <v>112</v>
      </c>
      <c r="C33" s="10"/>
      <c r="D33" s="10" t="s">
        <v>113</v>
      </c>
      <c r="E33" s="10"/>
      <c r="F33" s="19">
        <v>6906939</v>
      </c>
      <c r="G33" s="10" t="s">
        <v>102</v>
      </c>
      <c r="H33" s="10"/>
      <c r="I33" s="10"/>
      <c r="J33" s="2"/>
      <c r="K33" s="2"/>
      <c r="L33" s="2"/>
      <c r="M33" s="2"/>
      <c r="N33" s="2"/>
      <c r="O33" s="2"/>
      <c r="P33" s="2"/>
      <c r="Q33" s="2"/>
    </row>
    <row r="34" spans="1:17" ht="12.75" customHeight="1" thickBot="1">
      <c r="A34" s="10"/>
      <c r="B34" s="10"/>
      <c r="C34" s="10"/>
      <c r="D34" s="10"/>
      <c r="E34" s="10"/>
      <c r="F34" s="153"/>
      <c r="G34" s="10"/>
      <c r="H34" s="10"/>
      <c r="I34" s="10"/>
      <c r="J34" s="2"/>
      <c r="K34" s="2"/>
      <c r="L34" s="2"/>
      <c r="M34" s="2"/>
      <c r="N34" s="2"/>
      <c r="O34" s="2"/>
      <c r="P34" s="2"/>
      <c r="Q34" s="2"/>
    </row>
    <row r="35" spans="1:17" ht="12.75" customHeight="1" thickTop="1">
      <c r="A35" s="10"/>
      <c r="B35" s="10"/>
      <c r="C35" s="10"/>
      <c r="D35" s="10"/>
      <c r="E35" s="10"/>
      <c r="F35" s="15" t="s">
        <v>38</v>
      </c>
      <c r="G35" s="10"/>
      <c r="H35" s="10"/>
      <c r="I35" s="10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10">
        <f>A33+1</f>
        <v>8</v>
      </c>
      <c r="B36" s="10"/>
      <c r="C36" s="10"/>
      <c r="D36" s="10" t="s">
        <v>51</v>
      </c>
      <c r="E36" s="11"/>
      <c r="F36" s="12">
        <f>SUM(F19:F33)</f>
        <v>49915711</v>
      </c>
      <c r="G36" s="10"/>
      <c r="H36" s="10"/>
      <c r="I36" s="10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10"/>
      <c r="B37" s="10"/>
      <c r="C37" s="10"/>
      <c r="D37" s="10"/>
      <c r="E37" s="10"/>
      <c r="F37" s="15"/>
      <c r="G37" s="10"/>
      <c r="H37" s="10"/>
      <c r="I37" s="10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10"/>
      <c r="B38" s="10"/>
      <c r="C38" s="10"/>
      <c r="D38" s="10"/>
      <c r="E38" s="10"/>
      <c r="F38" s="15"/>
      <c r="G38" s="10"/>
      <c r="H38" s="10"/>
      <c r="I38" s="10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10"/>
      <c r="B39" s="10"/>
      <c r="C39" s="10"/>
      <c r="D39" s="10"/>
      <c r="E39" s="10"/>
      <c r="F39" s="15"/>
      <c r="G39" s="10"/>
      <c r="H39" s="10"/>
      <c r="I39" s="10"/>
      <c r="J39" s="2"/>
      <c r="K39" s="2"/>
      <c r="L39" s="2"/>
      <c r="M39" s="2"/>
      <c r="N39" s="2"/>
      <c r="O39" s="2"/>
      <c r="P39" s="2"/>
      <c r="Q39" s="2"/>
    </row>
    <row r="40" spans="1:17" ht="12.75" customHeight="1" thickBot="1">
      <c r="A40" s="126"/>
      <c r="B40" s="154"/>
      <c r="C40" s="154"/>
      <c r="D40" s="154"/>
      <c r="E40" s="10"/>
      <c r="F40" s="15"/>
      <c r="G40" s="10"/>
      <c r="H40" s="10"/>
      <c r="I40" s="10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126"/>
      <c r="B41" s="10"/>
      <c r="C41" s="10"/>
      <c r="D41" s="10"/>
      <c r="E41" s="10"/>
      <c r="F41" s="15"/>
      <c r="G41" s="10"/>
      <c r="H41" s="10"/>
      <c r="I41" s="10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10"/>
      <c r="B42" s="87" t="s">
        <v>278</v>
      </c>
      <c r="C42" s="10"/>
      <c r="D42" s="10"/>
      <c r="E42" s="10"/>
      <c r="F42" s="10"/>
      <c r="G42" s="10"/>
      <c r="H42" s="10"/>
      <c r="I42" s="10"/>
      <c r="J42" s="2"/>
      <c r="K42" s="2"/>
      <c r="L42" s="2"/>
      <c r="M42" s="2"/>
      <c r="N42" s="2"/>
      <c r="O42" s="2"/>
      <c r="P42" s="2"/>
      <c r="Q42" s="2"/>
    </row>
    <row r="43" spans="1:17" ht="12.75" customHeight="1">
      <c r="A43" s="10"/>
      <c r="B43" s="87"/>
      <c r="C43" s="10"/>
      <c r="D43" s="10"/>
      <c r="E43" s="10"/>
      <c r="F43" s="10"/>
      <c r="G43" s="10"/>
      <c r="H43" s="10"/>
      <c r="I43" s="10" t="s">
        <v>38</v>
      </c>
      <c r="J43" s="2"/>
      <c r="K43" s="2"/>
      <c r="L43" s="2"/>
      <c r="M43" s="2"/>
      <c r="N43" s="2"/>
      <c r="O43" s="2"/>
      <c r="P43" s="2"/>
      <c r="Q43" s="2"/>
    </row>
    <row r="44" spans="1:17" ht="10.5" customHeight="1">
      <c r="A44" s="2"/>
      <c r="B44" s="2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0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0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10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ht="10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ht="10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ht="10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0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ht="10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ht="10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ht="10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0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10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ht="10.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0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0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ht="10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ht="10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ht="10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1:17" ht="10.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 ht="10.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ht="10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0.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10.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10.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1:17" ht="10.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</sheetData>
  <mergeCells count="1">
    <mergeCell ref="A2:I2"/>
  </mergeCells>
  <printOptions/>
  <pageMargins left="1.25" right="0.25" top="0.6" bottom="0.25" header="0.5" footer="0.5"/>
  <pageSetup fitToHeight="1" fitToWidth="1"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B1:S94"/>
  <sheetViews>
    <sheetView workbookViewId="0" topLeftCell="A1">
      <selection activeCell="F49" sqref="F49"/>
    </sheetView>
  </sheetViews>
  <sheetFormatPr defaultColWidth="9.8515625" defaultRowHeight="12"/>
  <cols>
    <col min="2" max="2" width="3.8515625" style="0" customWidth="1"/>
    <col min="3" max="3" width="33.28125" style="0" customWidth="1"/>
    <col min="4" max="4" width="11.00390625" style="0" customWidth="1"/>
    <col min="5" max="5" width="6.8515625" style="0" customWidth="1"/>
    <col min="6" max="6" width="11.00390625" style="0" customWidth="1"/>
    <col min="7" max="7" width="15.421875" style="0" customWidth="1"/>
    <col min="8" max="8" width="13.8515625" style="0" bestFit="1" customWidth="1"/>
    <col min="9" max="9" width="15.00390625" style="0" bestFit="1" customWidth="1"/>
    <col min="10" max="10" width="5.8515625" style="0" customWidth="1"/>
    <col min="11" max="11" width="7.8515625" style="0" customWidth="1"/>
    <col min="12" max="12" width="2.8515625" style="0" customWidth="1"/>
  </cols>
  <sheetData>
    <row r="1" spans="2:19" ht="12.75" customHeight="1">
      <c r="B1" s="10"/>
      <c r="C1" s="10"/>
      <c r="D1" s="10"/>
      <c r="E1" s="10"/>
      <c r="F1" s="10"/>
      <c r="G1" s="10"/>
      <c r="H1" s="10"/>
      <c r="I1" s="10"/>
      <c r="J1" s="31" t="s">
        <v>37</v>
      </c>
      <c r="K1" s="10"/>
      <c r="M1" s="2"/>
      <c r="N1" s="2"/>
      <c r="O1" s="2"/>
      <c r="P1" s="2"/>
      <c r="Q1" s="2"/>
      <c r="R1" s="2"/>
      <c r="S1" s="2"/>
    </row>
    <row r="2" spans="3:19" ht="12.75" customHeight="1">
      <c r="C2" s="92"/>
      <c r="D2" s="92"/>
      <c r="E2" s="92"/>
      <c r="F2" s="92"/>
      <c r="G2" s="92"/>
      <c r="I2" s="92"/>
      <c r="J2" s="98" t="str">
        <f>'1.2'!A2</f>
        <v>Docket No. 06-057-01</v>
      </c>
      <c r="K2" s="92"/>
      <c r="L2" s="92"/>
      <c r="M2" s="2"/>
      <c r="N2" s="2"/>
      <c r="O2" s="2"/>
      <c r="P2" s="2"/>
      <c r="Q2" s="2"/>
      <c r="R2" s="2"/>
      <c r="S2" s="2"/>
    </row>
    <row r="3" spans="2:19" ht="12.75" customHeight="1">
      <c r="B3" s="10"/>
      <c r="C3" s="10"/>
      <c r="D3" s="10"/>
      <c r="E3" s="10"/>
      <c r="F3" s="10"/>
      <c r="G3" s="10"/>
      <c r="H3" s="10"/>
      <c r="I3" s="10"/>
      <c r="J3" s="11" t="s">
        <v>381</v>
      </c>
      <c r="K3" s="10"/>
      <c r="M3" s="2"/>
      <c r="N3" s="2"/>
      <c r="O3" s="2"/>
      <c r="P3" s="2"/>
      <c r="Q3" s="2"/>
      <c r="R3" s="2"/>
      <c r="S3" s="2"/>
    </row>
    <row r="4" spans="2:19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"/>
      <c r="N4" s="2"/>
      <c r="O4" s="2"/>
      <c r="P4" s="2"/>
      <c r="Q4" s="2"/>
      <c r="R4" s="2"/>
      <c r="S4" s="2"/>
    </row>
    <row r="5" spans="2:19" ht="12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  <c r="N5" s="2"/>
      <c r="O5" s="2"/>
      <c r="P5" s="2"/>
      <c r="Q5" s="2"/>
      <c r="R5" s="2"/>
      <c r="S5" s="2"/>
    </row>
    <row r="6" spans="2:19" ht="12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  <c r="Q6" s="2"/>
      <c r="R6" s="2"/>
      <c r="S6" s="2"/>
    </row>
    <row r="7" spans="2:19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  <c r="O7" s="2"/>
      <c r="P7" s="2"/>
      <c r="Q7" s="2"/>
      <c r="R7" s="2"/>
      <c r="S7" s="2"/>
    </row>
    <row r="8" spans="2:19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  <c r="O8" s="2"/>
      <c r="P8" s="2"/>
      <c r="Q8" s="2"/>
      <c r="R8" s="2"/>
      <c r="S8" s="2"/>
    </row>
    <row r="9" spans="2:19" ht="12.75" customHeight="1">
      <c r="B9" s="10"/>
      <c r="C9" s="10"/>
      <c r="D9" s="10"/>
      <c r="F9" s="85" t="s">
        <v>284</v>
      </c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</row>
    <row r="10" spans="2:19" ht="12.75" customHeight="1">
      <c r="B10" s="10"/>
      <c r="C10" s="10"/>
      <c r="D10" s="10"/>
      <c r="E10" s="10"/>
      <c r="F10" s="10"/>
      <c r="G10" s="10"/>
      <c r="H10" s="16"/>
      <c r="I10" s="10"/>
      <c r="J10" s="10"/>
      <c r="K10" s="10"/>
      <c r="L10" s="10"/>
      <c r="M10" s="2"/>
      <c r="N10" s="2"/>
      <c r="O10" s="2"/>
      <c r="P10" s="2"/>
      <c r="Q10" s="2"/>
      <c r="R10" s="2"/>
      <c r="S10" s="2"/>
    </row>
    <row r="11" spans="2:19" ht="12.75" customHeight="1">
      <c r="B11" s="10"/>
      <c r="C11" s="151" t="s">
        <v>221</v>
      </c>
      <c r="D11" s="146"/>
      <c r="E11" s="146"/>
      <c r="F11" s="151" t="s">
        <v>222</v>
      </c>
      <c r="G11" s="151" t="s">
        <v>223</v>
      </c>
      <c r="H11" s="151" t="s">
        <v>224</v>
      </c>
      <c r="I11" s="151" t="s">
        <v>229</v>
      </c>
      <c r="J11" s="10"/>
      <c r="K11" s="10"/>
      <c r="L11" s="10"/>
      <c r="M11" s="2"/>
      <c r="N11" s="2"/>
      <c r="O11" s="2"/>
      <c r="P11" s="2"/>
      <c r="Q11" s="2"/>
      <c r="R11" s="2"/>
      <c r="S11" s="2"/>
    </row>
    <row r="12" spans="2:19" ht="12.75" customHeight="1">
      <c r="B12" s="10"/>
      <c r="C12" s="10"/>
      <c r="D12" s="10"/>
      <c r="E12" s="10"/>
      <c r="F12" s="11" t="s">
        <v>279</v>
      </c>
      <c r="G12" s="146"/>
      <c r="H12" s="146"/>
      <c r="I12" s="146"/>
      <c r="J12" s="10"/>
      <c r="K12" s="10"/>
      <c r="L12" s="10"/>
      <c r="M12" s="2"/>
      <c r="N12" s="2"/>
      <c r="O12" s="2"/>
      <c r="P12" s="2"/>
      <c r="Q12" s="2"/>
      <c r="R12" s="2"/>
      <c r="S12" s="2"/>
    </row>
    <row r="13" spans="2:19" ht="12.75" customHeight="1" thickBot="1">
      <c r="B13" s="10"/>
      <c r="C13" s="112"/>
      <c r="D13" s="112"/>
      <c r="E13" s="112"/>
      <c r="F13" s="113" t="s">
        <v>280</v>
      </c>
      <c r="G13" s="113" t="s">
        <v>281</v>
      </c>
      <c r="H13" s="113" t="s">
        <v>120</v>
      </c>
      <c r="I13" s="111" t="s">
        <v>203</v>
      </c>
      <c r="K13" s="10"/>
      <c r="L13" s="10"/>
      <c r="M13" s="2"/>
      <c r="N13" s="2"/>
      <c r="O13" s="2"/>
      <c r="P13" s="2"/>
      <c r="Q13" s="2"/>
      <c r="R13" s="2"/>
      <c r="S13" s="2"/>
    </row>
    <row r="14" spans="2:19" ht="12.75" customHeight="1" thickTop="1">
      <c r="B14" s="10"/>
      <c r="C14" s="10"/>
      <c r="D14" s="10"/>
      <c r="E14" s="10"/>
      <c r="F14" s="14"/>
      <c r="G14" s="82"/>
      <c r="H14" s="82"/>
      <c r="I14" s="82"/>
      <c r="K14" s="10"/>
      <c r="L14" s="10"/>
      <c r="M14" s="2"/>
      <c r="N14" s="2"/>
      <c r="O14" s="2"/>
      <c r="P14" s="2"/>
      <c r="Q14" s="2"/>
      <c r="R14" s="2"/>
      <c r="S14" s="2"/>
    </row>
    <row r="15" spans="2:19" ht="12.75" customHeight="1">
      <c r="B15" s="14">
        <v>1</v>
      </c>
      <c r="C15" s="10" t="s">
        <v>382</v>
      </c>
      <c r="D15" s="10"/>
      <c r="E15" s="10"/>
      <c r="F15" s="14">
        <v>2</v>
      </c>
      <c r="G15" s="12">
        <f>'1.4.1'!F17</f>
        <v>231033477</v>
      </c>
      <c r="H15" s="12">
        <f>CHOOSE($F15,H$50,H$53,H$57)*$G15</f>
        <v>8390368.614895327</v>
      </c>
      <c r="I15" s="12">
        <f>CHOOSE($F15,I$50,I$53,I$57)*$G15</f>
        <v>222643108.38510466</v>
      </c>
      <c r="K15" s="10"/>
      <c r="L15" s="10"/>
      <c r="M15" s="2"/>
      <c r="N15" s="2"/>
      <c r="O15" s="2"/>
      <c r="P15" s="2"/>
      <c r="Q15" s="2"/>
      <c r="R15" s="2"/>
      <c r="S15" s="2"/>
    </row>
    <row r="16" spans="2:19" ht="12.75" customHeight="1">
      <c r="B16" s="14">
        <f>B15+1</f>
        <v>2</v>
      </c>
      <c r="C16" s="10" t="s">
        <v>383</v>
      </c>
      <c r="D16" s="10"/>
      <c r="E16" s="10"/>
      <c r="F16" s="14">
        <v>2</v>
      </c>
      <c r="G16" s="15">
        <f>'1.4.1'!F18</f>
        <v>-49915711</v>
      </c>
      <c r="H16" s="15">
        <f>CHOOSE($F16,H$50,H$53,H$57)*$G16</f>
        <v>-1812772.851808768</v>
      </c>
      <c r="I16" s="15">
        <f>CHOOSE($F16,I$50,I$53,I$57)*$G16</f>
        <v>-48102938.14819123</v>
      </c>
      <c r="K16" s="10"/>
      <c r="L16" s="10"/>
      <c r="M16" s="2"/>
      <c r="N16" s="2"/>
      <c r="O16" s="2"/>
      <c r="P16" s="2"/>
      <c r="Q16" s="2"/>
      <c r="R16" s="2"/>
      <c r="S16" s="2"/>
    </row>
    <row r="17" spans="2:19" ht="12.75" customHeight="1">
      <c r="B17" s="14">
        <f>B16+1</f>
        <v>3</v>
      </c>
      <c r="C17" s="10" t="s">
        <v>395</v>
      </c>
      <c r="D17" s="88" t="s">
        <v>282</v>
      </c>
      <c r="E17" s="10"/>
      <c r="F17" s="14">
        <v>1</v>
      </c>
      <c r="G17" s="15">
        <f>'1.3.1'!K50</f>
        <v>6496032</v>
      </c>
      <c r="H17" s="15">
        <f>CHOOSE($F17,H$50,H$53,H$57)*$G17</f>
        <v>205998.70065518288</v>
      </c>
      <c r="I17" s="15">
        <f>CHOOSE($F17,I$50,I$53,I$57)*$G17</f>
        <v>6290033.299344817</v>
      </c>
      <c r="K17" s="10"/>
      <c r="L17" s="10"/>
      <c r="M17" s="2"/>
      <c r="N17" s="2"/>
      <c r="O17" s="2"/>
      <c r="P17" s="2"/>
      <c r="Q17" s="2"/>
      <c r="R17" s="2"/>
      <c r="S17" s="2"/>
    </row>
    <row r="18" spans="2:19" ht="12.75" customHeight="1" thickBot="1">
      <c r="B18" s="14">
        <f>B17+1</f>
        <v>4</v>
      </c>
      <c r="C18" s="10" t="s">
        <v>114</v>
      </c>
      <c r="D18" s="88" t="s">
        <v>201</v>
      </c>
      <c r="E18" s="10"/>
      <c r="F18" s="14">
        <v>2</v>
      </c>
      <c r="G18" s="143">
        <f>'1.3.1'!K54+'1.3.1'!K51</f>
        <v>6889697.89884</v>
      </c>
      <c r="H18" s="143">
        <f>CHOOSE($F18,H$50,H$53,H$57)*$G18</f>
        <v>250210.94677347306</v>
      </c>
      <c r="I18" s="143">
        <f>CHOOSE($F18,I$50,I$53,I$57)*$G18</f>
        <v>6639486.952066527</v>
      </c>
      <c r="K18" s="10"/>
      <c r="L18" s="10"/>
      <c r="M18" s="2"/>
      <c r="N18" s="2"/>
      <c r="O18" s="2"/>
      <c r="P18" s="2"/>
      <c r="Q18" s="2"/>
      <c r="R18" s="2"/>
      <c r="S18" s="2"/>
    </row>
    <row r="19" spans="2:19" ht="12.75" customHeight="1">
      <c r="B19" s="14">
        <f>B18+1</f>
        <v>5</v>
      </c>
      <c r="C19" s="10" t="s">
        <v>115</v>
      </c>
      <c r="D19" s="10"/>
      <c r="E19" s="10"/>
      <c r="F19" s="14"/>
      <c r="G19" s="15">
        <f>G15+G16+G18+G17</f>
        <v>194503495.89884</v>
      </c>
      <c r="H19" s="15">
        <f>H15+H16+H18+H17</f>
        <v>7033805.410515215</v>
      </c>
      <c r="I19" s="15">
        <f>I15+I16+I18+I17</f>
        <v>187469690.4883248</v>
      </c>
      <c r="K19" s="10"/>
      <c r="L19" s="10"/>
      <c r="M19" s="2"/>
      <c r="N19" s="2"/>
      <c r="O19" s="2"/>
      <c r="P19" s="2"/>
      <c r="Q19" s="2"/>
      <c r="R19" s="2"/>
      <c r="S19" s="2"/>
    </row>
    <row r="20" spans="2:19" ht="12.75" customHeight="1">
      <c r="B20" s="122"/>
      <c r="F20" s="122"/>
      <c r="G20" s="15"/>
      <c r="I20" s="15"/>
      <c r="K20" s="10"/>
      <c r="L20" s="10"/>
      <c r="M20" s="2"/>
      <c r="N20" s="2"/>
      <c r="O20" s="2"/>
      <c r="P20" s="2"/>
      <c r="Q20" s="2"/>
      <c r="R20" s="2"/>
      <c r="S20" s="2"/>
    </row>
    <row r="21" spans="2:19" ht="12.75" customHeight="1">
      <c r="B21" s="14">
        <f>B19+1</f>
        <v>6</v>
      </c>
      <c r="C21" s="10" t="s">
        <v>384</v>
      </c>
      <c r="D21" s="10"/>
      <c r="E21" s="10"/>
      <c r="F21" s="14">
        <v>2</v>
      </c>
      <c r="G21" s="15">
        <f>'1.4.1'!F26</f>
        <v>493291406</v>
      </c>
      <c r="H21" s="15">
        <f>CHOOSE($F21,H$50,H$53,H$57)*$G21</f>
        <v>17914705.629002795</v>
      </c>
      <c r="I21" s="15">
        <f>CHOOSE($F21,I$50,I$53,I$57)*$G21</f>
        <v>475376700.3709972</v>
      </c>
      <c r="K21" s="10"/>
      <c r="L21" s="10"/>
      <c r="M21" s="2"/>
      <c r="N21" s="2"/>
      <c r="O21" s="2"/>
      <c r="P21" s="2"/>
      <c r="Q21" s="2"/>
      <c r="R21" s="2"/>
      <c r="S21" s="2"/>
    </row>
    <row r="22" spans="2:19" ht="12.75" customHeight="1">
      <c r="B22" s="14"/>
      <c r="C22" s="10"/>
      <c r="D22" s="10"/>
      <c r="E22" s="10"/>
      <c r="F22" s="14"/>
      <c r="G22" s="15"/>
      <c r="H22" s="15"/>
      <c r="I22" s="15"/>
      <c r="K22" s="10"/>
      <c r="L22" s="10"/>
      <c r="M22" s="2"/>
      <c r="N22" s="2"/>
      <c r="O22" s="2"/>
      <c r="P22" s="2"/>
      <c r="Q22" s="2"/>
      <c r="R22" s="2"/>
      <c r="S22" s="2"/>
    </row>
    <row r="23" spans="2:19" ht="12.75" customHeight="1">
      <c r="B23" s="14"/>
      <c r="C23" s="10"/>
      <c r="D23" s="10"/>
      <c r="E23" s="10"/>
      <c r="F23" s="14"/>
      <c r="G23" s="10"/>
      <c r="H23" s="10"/>
      <c r="I23" s="10"/>
      <c r="K23" s="10"/>
      <c r="L23" s="10"/>
      <c r="M23" s="2"/>
      <c r="N23" s="2"/>
      <c r="O23" s="2"/>
      <c r="P23" s="2"/>
      <c r="Q23" s="2"/>
      <c r="R23" s="2"/>
      <c r="S23" s="2"/>
    </row>
    <row r="24" spans="2:19" ht="12.75" customHeight="1">
      <c r="B24" s="14">
        <f>B21+1</f>
        <v>7</v>
      </c>
      <c r="C24" s="10" t="s">
        <v>396</v>
      </c>
      <c r="D24" s="10"/>
      <c r="E24" s="10"/>
      <c r="F24" s="14">
        <v>2</v>
      </c>
      <c r="G24" s="15">
        <f>'1.4.1'!F28</f>
        <v>15806341.663188875</v>
      </c>
      <c r="H24" s="15">
        <f>CHOOSE($F24,H$50,H$53,H$57)*$G24</f>
        <v>574033.8358286159</v>
      </c>
      <c r="I24" s="15">
        <f>CHOOSE($F24,I$50,I$53,I$57)*$G24</f>
        <v>15232307.82736026</v>
      </c>
      <c r="K24" s="10"/>
      <c r="L24" s="10"/>
      <c r="M24" s="2"/>
      <c r="N24" s="2"/>
      <c r="O24" s="2"/>
      <c r="P24" s="2"/>
      <c r="Q24" s="2"/>
      <c r="R24" s="2"/>
      <c r="S24" s="2"/>
    </row>
    <row r="25" spans="2:19" ht="12.75" customHeight="1">
      <c r="B25" s="14"/>
      <c r="C25" s="10"/>
      <c r="D25" s="10"/>
      <c r="E25" s="10"/>
      <c r="F25" s="14"/>
      <c r="G25" s="10"/>
      <c r="H25" s="10"/>
      <c r="I25" s="10"/>
      <c r="K25" s="10"/>
      <c r="L25" s="10"/>
      <c r="M25" s="2"/>
      <c r="N25" s="2"/>
      <c r="O25" s="2"/>
      <c r="P25" s="2"/>
      <c r="Q25" s="2"/>
      <c r="R25" s="2"/>
      <c r="S25" s="2"/>
    </row>
    <row r="26" spans="2:19" ht="12.75" customHeight="1">
      <c r="B26" s="14"/>
      <c r="C26" s="10"/>
      <c r="D26" s="10"/>
      <c r="E26" s="10"/>
      <c r="F26" s="14"/>
      <c r="G26" s="10"/>
      <c r="H26" s="10"/>
      <c r="I26" s="10"/>
      <c r="K26" s="10"/>
      <c r="L26" s="10"/>
      <c r="M26" s="2"/>
      <c r="N26" s="2"/>
      <c r="O26" s="2"/>
      <c r="P26" s="2"/>
      <c r="Q26" s="2"/>
      <c r="R26" s="2"/>
      <c r="S26" s="2"/>
    </row>
    <row r="27" spans="2:19" ht="12.75" customHeight="1">
      <c r="B27" s="14">
        <f>B24+1</f>
        <v>8</v>
      </c>
      <c r="C27" s="10" t="s">
        <v>397</v>
      </c>
      <c r="D27" s="88" t="s">
        <v>282</v>
      </c>
      <c r="E27" s="10"/>
      <c r="F27" s="14">
        <v>1</v>
      </c>
      <c r="G27" s="15">
        <f>'1.3.1'!L30</f>
        <v>62657297.5</v>
      </c>
      <c r="H27" s="15">
        <f>CHOOSE($F27,H$50,H$53,H$57)*$G27</f>
        <v>1986954.785870088</v>
      </c>
      <c r="I27" s="15">
        <f>CHOOSE($F27,I$50,I$53,I$57)*$G27</f>
        <v>60670342.71412991</v>
      </c>
      <c r="K27" s="10"/>
      <c r="L27" s="10"/>
      <c r="M27" s="2"/>
      <c r="N27" s="2"/>
      <c r="O27" s="2"/>
      <c r="P27" s="2"/>
      <c r="Q27" s="2"/>
      <c r="R27" s="2"/>
      <c r="S27" s="2"/>
    </row>
    <row r="28" spans="2:19" ht="12.75" customHeight="1">
      <c r="B28" s="14">
        <f>B27+1</f>
        <v>9</v>
      </c>
      <c r="C28" s="10" t="s">
        <v>116</v>
      </c>
      <c r="D28" s="88" t="s">
        <v>201</v>
      </c>
      <c r="E28" s="10"/>
      <c r="F28" s="14">
        <v>2</v>
      </c>
      <c r="G28" s="15">
        <f>'1.3.1'!L45</f>
        <v>1042332</v>
      </c>
      <c r="H28" s="15">
        <f>CHOOSE($F28,H$50,H$53,H$57)*$G28</f>
        <v>37854.03662128617</v>
      </c>
      <c r="I28" s="15">
        <f>CHOOSE($F28,I$50,I$53,I$57)*$G28</f>
        <v>1004477.9633787138</v>
      </c>
      <c r="K28" s="10"/>
      <c r="L28" s="10"/>
      <c r="M28" s="2"/>
      <c r="N28" s="2"/>
      <c r="O28" s="2"/>
      <c r="P28" s="2"/>
      <c r="Q28" s="2"/>
      <c r="R28" s="2"/>
      <c r="S28" s="2"/>
    </row>
    <row r="29" spans="2:19" ht="12.75" customHeight="1">
      <c r="B29" s="14"/>
      <c r="C29" s="10"/>
      <c r="D29" s="10"/>
      <c r="E29" s="10"/>
      <c r="F29" s="14"/>
      <c r="G29" s="10"/>
      <c r="H29" s="10"/>
      <c r="I29" s="10"/>
      <c r="K29" s="10"/>
      <c r="L29" s="10"/>
      <c r="M29" s="2"/>
      <c r="N29" s="2"/>
      <c r="O29" s="2"/>
      <c r="P29" s="2"/>
      <c r="Q29" s="2"/>
      <c r="R29" s="2"/>
      <c r="S29" s="2"/>
    </row>
    <row r="30" spans="2:19" ht="12.75" customHeight="1">
      <c r="B30" s="14"/>
      <c r="C30" s="10"/>
      <c r="D30" s="10"/>
      <c r="E30" s="10"/>
      <c r="F30" s="14"/>
      <c r="G30" s="10"/>
      <c r="H30" s="10"/>
      <c r="I30" s="10"/>
      <c r="K30" s="10"/>
      <c r="L30" s="10"/>
      <c r="M30" s="2"/>
      <c r="N30" s="2"/>
      <c r="O30" s="2"/>
      <c r="P30" s="2"/>
      <c r="Q30" s="2"/>
      <c r="R30" s="2"/>
      <c r="S30" s="2"/>
    </row>
    <row r="31" spans="2:19" ht="12.75" customHeight="1">
      <c r="B31" s="14">
        <f>B28+1</f>
        <v>10</v>
      </c>
      <c r="C31" s="10" t="s">
        <v>385</v>
      </c>
      <c r="D31" s="88" t="s">
        <v>282</v>
      </c>
      <c r="E31" s="10"/>
      <c r="F31" s="14">
        <v>1</v>
      </c>
      <c r="G31" s="15">
        <f>'1.3.2'!K23</f>
        <v>14025058</v>
      </c>
      <c r="H31" s="15">
        <f>CHOOSE($F31,H$50,H$53,H$57)*$G31</f>
        <v>444755.1558572338</v>
      </c>
      <c r="I31" s="15">
        <f>CHOOSE($F31,I$50,I$53,I$57)*$G31</f>
        <v>13580302.844142767</v>
      </c>
      <c r="K31" s="10"/>
      <c r="L31" s="10"/>
      <c r="M31" s="2"/>
      <c r="N31" s="2"/>
      <c r="O31" s="2"/>
      <c r="P31" s="2"/>
      <c r="Q31" s="2"/>
      <c r="R31" s="2"/>
      <c r="S31" s="2"/>
    </row>
    <row r="32" spans="2:19" ht="12.75" customHeight="1">
      <c r="B32" s="14">
        <f>B31+1</f>
        <v>11</v>
      </c>
      <c r="C32" s="10" t="s">
        <v>117</v>
      </c>
      <c r="D32" s="88" t="s">
        <v>201</v>
      </c>
      <c r="E32" s="10"/>
      <c r="F32" s="14">
        <v>2</v>
      </c>
      <c r="G32" s="15">
        <f>'1.3.2'!K31</f>
        <v>526774</v>
      </c>
      <c r="H32" s="15">
        <f>CHOOSE($F32,H$50,H$53,H$57)*$G32</f>
        <v>19130.68224629139</v>
      </c>
      <c r="I32" s="15">
        <f>CHOOSE($F32,I$50,I$53,I$57)*$G32</f>
        <v>507643.3177537086</v>
      </c>
      <c r="K32" s="10"/>
      <c r="L32" s="10"/>
      <c r="M32" s="2"/>
      <c r="N32" s="2"/>
      <c r="O32" s="2"/>
      <c r="P32" s="2"/>
      <c r="Q32" s="2"/>
      <c r="R32" s="2"/>
      <c r="S32" s="2"/>
    </row>
    <row r="33" spans="2:19" ht="12.75" customHeight="1">
      <c r="B33" s="14"/>
      <c r="C33" s="10"/>
      <c r="D33" s="10"/>
      <c r="E33" s="10"/>
      <c r="F33" s="14"/>
      <c r="G33" s="10"/>
      <c r="H33" s="10"/>
      <c r="I33" s="15"/>
      <c r="K33" s="10"/>
      <c r="L33" s="10"/>
      <c r="M33" s="2"/>
      <c r="N33" s="2"/>
      <c r="O33" s="2"/>
      <c r="P33" s="2"/>
      <c r="Q33" s="2"/>
      <c r="R33" s="2"/>
      <c r="S33" s="2"/>
    </row>
    <row r="34" spans="2:19" ht="12.75" customHeight="1">
      <c r="B34" s="14"/>
      <c r="C34" s="10"/>
      <c r="D34" s="10"/>
      <c r="E34" s="10"/>
      <c r="F34" s="14"/>
      <c r="G34" s="10"/>
      <c r="H34" s="10"/>
      <c r="I34" s="10"/>
      <c r="K34" s="10"/>
      <c r="L34" s="10"/>
      <c r="M34" s="2"/>
      <c r="N34" s="2"/>
      <c r="O34" s="2"/>
      <c r="P34" s="2"/>
      <c r="Q34" s="2"/>
      <c r="R34" s="2"/>
      <c r="S34" s="2"/>
    </row>
    <row r="35" spans="2:19" ht="12.75" customHeight="1">
      <c r="B35" s="14">
        <f>B32+1</f>
        <v>12</v>
      </c>
      <c r="C35" s="10" t="s">
        <v>398</v>
      </c>
      <c r="D35" s="10"/>
      <c r="E35" s="10"/>
      <c r="F35" s="14">
        <v>2</v>
      </c>
      <c r="G35" s="15">
        <f>'1.3.1'!K55</f>
        <v>2089135</v>
      </c>
      <c r="H35" s="15">
        <f>CHOOSE($F35,H$50,H$53,H$57)*$G35</f>
        <v>75870.44511423488</v>
      </c>
      <c r="I35" s="15">
        <f>CHOOSE($F35,I$50,I$53,I$57)*$G35</f>
        <v>2013264.554885765</v>
      </c>
      <c r="K35" s="10"/>
      <c r="L35" s="10"/>
      <c r="M35" s="2"/>
      <c r="N35" s="2"/>
      <c r="O35" s="2"/>
      <c r="P35" s="2"/>
      <c r="Q35" s="2"/>
      <c r="R35" s="2"/>
      <c r="S35" s="2"/>
    </row>
    <row r="36" spans="2:19" ht="12.75" customHeight="1">
      <c r="B36" s="14"/>
      <c r="C36" s="10"/>
      <c r="D36" s="10"/>
      <c r="E36" s="10"/>
      <c r="F36" s="14"/>
      <c r="G36" s="10"/>
      <c r="H36" s="10"/>
      <c r="I36" s="10"/>
      <c r="K36" s="10"/>
      <c r="L36" s="10"/>
      <c r="M36" s="2"/>
      <c r="N36" s="2"/>
      <c r="O36" s="2"/>
      <c r="P36" s="2"/>
      <c r="Q36" s="2"/>
      <c r="R36" s="2"/>
      <c r="S36" s="2"/>
    </row>
    <row r="37" spans="2:19" ht="12.75" customHeight="1">
      <c r="B37" s="14"/>
      <c r="C37" s="10"/>
      <c r="D37" s="10"/>
      <c r="E37" s="10"/>
      <c r="F37" s="14"/>
      <c r="G37" s="16"/>
      <c r="H37" s="10"/>
      <c r="I37" s="10"/>
      <c r="K37" s="10"/>
      <c r="L37" s="10"/>
      <c r="M37" s="2"/>
      <c r="N37" s="2"/>
      <c r="O37" s="2"/>
      <c r="P37" s="2"/>
      <c r="Q37" s="2"/>
      <c r="R37" s="2"/>
      <c r="S37" s="2"/>
    </row>
    <row r="38" spans="2:19" ht="12.75" customHeight="1">
      <c r="B38" s="14">
        <f>B35+1</f>
        <v>13</v>
      </c>
      <c r="C38" s="10" t="s">
        <v>386</v>
      </c>
      <c r="D38" s="10"/>
      <c r="E38" s="10"/>
      <c r="F38" s="14">
        <v>2</v>
      </c>
      <c r="G38" s="15">
        <f>'1.3.2'!L55</f>
        <v>4396930.08625</v>
      </c>
      <c r="H38" s="15">
        <f>CHOOSE($F38,H$50,H$53,H$57)*$G38</f>
        <v>159681.89838376106</v>
      </c>
      <c r="I38" s="15">
        <f>CHOOSE($F38,I$50,I$53,I$57)*$G38</f>
        <v>4237248.187866239</v>
      </c>
      <c r="K38" s="10"/>
      <c r="L38" s="10"/>
      <c r="M38" s="2"/>
      <c r="N38" s="2"/>
      <c r="O38" s="2"/>
      <c r="P38" s="2"/>
      <c r="Q38" s="2"/>
      <c r="R38" s="2"/>
      <c r="S38" s="2"/>
    </row>
    <row r="39" spans="2:19" ht="12.75" customHeight="1">
      <c r="B39" s="14"/>
      <c r="C39" s="10"/>
      <c r="D39" s="10"/>
      <c r="E39" s="10"/>
      <c r="F39" s="14"/>
      <c r="G39" s="15"/>
      <c r="H39" s="15"/>
      <c r="I39" s="15"/>
      <c r="K39" s="10"/>
      <c r="L39" s="10"/>
      <c r="M39" s="2"/>
      <c r="N39" s="2"/>
      <c r="O39" s="2"/>
      <c r="P39" s="2"/>
      <c r="Q39" s="2"/>
      <c r="R39" s="2"/>
      <c r="S39" s="2"/>
    </row>
    <row r="40" spans="2:19" ht="12.75" customHeight="1" thickBot="1">
      <c r="B40" s="14">
        <f>B38+1</f>
        <v>14</v>
      </c>
      <c r="C40" s="10" t="s">
        <v>387</v>
      </c>
      <c r="D40" s="10"/>
      <c r="E40" s="10"/>
      <c r="F40" s="14">
        <v>2</v>
      </c>
      <c r="G40" s="201">
        <f>'1.3.1'!L58</f>
        <v>6056464.57440454</v>
      </c>
      <c r="H40" s="201">
        <f>CHOOSE($F40,H$50,H$53,H$57)*$G40</f>
        <v>219950.67962514033</v>
      </c>
      <c r="I40" s="201">
        <f>CHOOSE($F40,I$50,I$53,I$57)*$G40</f>
        <v>5836513.894779399</v>
      </c>
      <c r="J40" s="10"/>
      <c r="K40" s="10"/>
      <c r="L40" s="10"/>
      <c r="M40" s="2"/>
      <c r="N40" s="2"/>
      <c r="O40" s="2"/>
      <c r="P40" s="2"/>
      <c r="Q40" s="2"/>
      <c r="R40" s="2"/>
      <c r="S40" s="2"/>
    </row>
    <row r="41" spans="2:19" ht="12.75" customHeight="1" thickTop="1">
      <c r="B41" s="14"/>
      <c r="C41" s="10"/>
      <c r="D41" s="10"/>
      <c r="E41" s="10"/>
      <c r="F41" s="10"/>
      <c r="G41" s="100"/>
      <c r="H41" s="100"/>
      <c r="I41" s="100"/>
      <c r="J41" s="10"/>
      <c r="K41" s="10"/>
      <c r="L41" s="10"/>
      <c r="M41" s="2"/>
      <c r="N41" s="2"/>
      <c r="O41" s="2"/>
      <c r="P41" s="2"/>
      <c r="Q41" s="2"/>
      <c r="R41" s="2"/>
      <c r="S41" s="2"/>
    </row>
    <row r="42" spans="2:19" ht="12.75" customHeight="1">
      <c r="B42" s="14">
        <f>B40+1</f>
        <v>15</v>
      </c>
      <c r="C42" s="10" t="s">
        <v>118</v>
      </c>
      <c r="D42" s="10"/>
      <c r="E42" s="10"/>
      <c r="F42" s="10"/>
      <c r="G42" s="12">
        <f>SUM(G19:G40)</f>
        <v>794395234.7226834</v>
      </c>
      <c r="H42" s="12">
        <f>SUM(H19:H40)</f>
        <v>28466742.559064664</v>
      </c>
      <c r="I42" s="12">
        <f>SUM(I19:I40)</f>
        <v>765928492.1636187</v>
      </c>
      <c r="J42" s="10"/>
      <c r="K42" s="10"/>
      <c r="L42" s="10"/>
      <c r="M42" s="2"/>
      <c r="N42" s="2"/>
      <c r="O42" s="2"/>
      <c r="P42" s="2"/>
      <c r="Q42" s="2"/>
      <c r="R42" s="2"/>
      <c r="S42" s="2"/>
    </row>
    <row r="43" spans="2:19" ht="12.75" customHeight="1">
      <c r="B43" s="14"/>
      <c r="C43" s="10"/>
      <c r="D43" s="10"/>
      <c r="E43" s="10"/>
      <c r="F43" s="10"/>
      <c r="G43" s="12"/>
      <c r="H43" s="12"/>
      <c r="I43" s="12"/>
      <c r="J43" s="10"/>
      <c r="K43" s="10"/>
      <c r="L43" s="10"/>
      <c r="M43" s="2"/>
      <c r="N43" s="2"/>
      <c r="O43" s="2"/>
      <c r="P43" s="2"/>
      <c r="Q43" s="2"/>
      <c r="R43" s="2"/>
      <c r="S43" s="2"/>
    </row>
    <row r="44" spans="2:19" ht="12.75" customHeight="1">
      <c r="B44" s="10"/>
      <c r="C44" s="10"/>
      <c r="D44" s="10"/>
      <c r="E44" s="10"/>
      <c r="F44" s="10"/>
      <c r="G44" s="12"/>
      <c r="H44" s="12"/>
      <c r="I44" s="12"/>
      <c r="J44" s="10"/>
      <c r="K44" s="10"/>
      <c r="L44" s="10"/>
      <c r="M44" s="2"/>
      <c r="N44" s="2"/>
      <c r="O44" s="2"/>
      <c r="P44" s="2"/>
      <c r="Q44" s="2"/>
      <c r="R44" s="2"/>
      <c r="S44" s="2"/>
    </row>
    <row r="45" spans="2:19" ht="12.75" customHeight="1" thickBot="1">
      <c r="B45" s="10"/>
      <c r="C45" s="103"/>
      <c r="D45" s="103"/>
      <c r="E45" s="103"/>
      <c r="F45" s="10"/>
      <c r="G45" s="10"/>
      <c r="H45" s="10"/>
      <c r="I45" s="10"/>
      <c r="J45" s="10"/>
      <c r="K45" s="10"/>
      <c r="L45" s="10"/>
      <c r="M45" s="2"/>
      <c r="N45" s="2"/>
      <c r="O45" s="2"/>
      <c r="P45" s="2"/>
      <c r="Q45" s="2"/>
      <c r="R45" s="2"/>
      <c r="S45" s="2"/>
    </row>
    <row r="46" spans="2:19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"/>
      <c r="N46" s="2"/>
      <c r="O46" s="2"/>
      <c r="P46" s="2"/>
      <c r="Q46" s="2"/>
      <c r="R46" s="2"/>
      <c r="S46" s="2"/>
    </row>
    <row r="47" spans="2:19" ht="12.75" customHeight="1" thickBot="1">
      <c r="B47" s="11" t="s">
        <v>119</v>
      </c>
      <c r="C47" s="154" t="s">
        <v>283</v>
      </c>
      <c r="D47" s="154"/>
      <c r="E47" s="154"/>
      <c r="F47" s="154"/>
      <c r="G47" s="155" t="s">
        <v>51</v>
      </c>
      <c r="H47" s="155" t="s">
        <v>120</v>
      </c>
      <c r="I47" s="155" t="s">
        <v>203</v>
      </c>
      <c r="J47" s="10"/>
      <c r="K47" s="10"/>
      <c r="L47" s="10"/>
      <c r="M47" s="2"/>
      <c r="N47" s="2"/>
      <c r="O47" s="2"/>
      <c r="P47" s="2"/>
      <c r="Q47" s="2"/>
      <c r="R47" s="2"/>
      <c r="S47" s="2"/>
    </row>
    <row r="48" spans="2:19" ht="12.75" customHeight="1">
      <c r="B48" s="10"/>
      <c r="C48" s="10"/>
      <c r="D48" s="10"/>
      <c r="E48" s="10"/>
      <c r="F48" s="10"/>
      <c r="G48" s="11"/>
      <c r="H48" s="11"/>
      <c r="I48" s="11"/>
      <c r="J48" s="10"/>
      <c r="K48" s="10"/>
      <c r="L48" s="10"/>
      <c r="M48" s="2"/>
      <c r="N48" s="2"/>
      <c r="O48" s="2"/>
      <c r="P48" s="2"/>
      <c r="Q48" s="2"/>
      <c r="R48" s="2"/>
      <c r="S48" s="2"/>
    </row>
    <row r="49" spans="2:19" ht="12.75" customHeight="1">
      <c r="B49" s="10"/>
      <c r="C49" s="10" t="s">
        <v>121</v>
      </c>
      <c r="D49" s="10"/>
      <c r="E49" s="10" t="s">
        <v>122</v>
      </c>
      <c r="F49" s="10"/>
      <c r="G49" s="19">
        <v>1106256</v>
      </c>
      <c r="H49" s="19">
        <v>35081</v>
      </c>
      <c r="I49" s="15">
        <f>G49-H49</f>
        <v>1071175</v>
      </c>
      <c r="J49" s="10"/>
      <c r="K49" s="10"/>
      <c r="L49" s="10"/>
      <c r="M49" s="2"/>
      <c r="N49" s="2"/>
      <c r="O49" s="2"/>
      <c r="P49" s="2"/>
      <c r="Q49" s="2"/>
      <c r="R49" s="2"/>
      <c r="S49" s="2"/>
    </row>
    <row r="50" spans="2:19" ht="12.75" customHeight="1">
      <c r="B50" s="10"/>
      <c r="C50" s="10"/>
      <c r="D50" s="10"/>
      <c r="E50" s="10" t="s">
        <v>123</v>
      </c>
      <c r="F50" s="10"/>
      <c r="G50" s="44">
        <f>H50+I50</f>
        <v>1</v>
      </c>
      <c r="H50" s="44">
        <f>H49/G49</f>
        <v>0.031711466423684935</v>
      </c>
      <c r="I50" s="44">
        <f>I49/G49</f>
        <v>0.9682885335763151</v>
      </c>
      <c r="J50" s="10"/>
      <c r="K50" s="10"/>
      <c r="L50" s="10"/>
      <c r="M50" s="2"/>
      <c r="N50" s="2"/>
      <c r="O50" s="2"/>
      <c r="P50" s="2"/>
      <c r="Q50" s="2"/>
      <c r="R50" s="2"/>
      <c r="S50" s="2"/>
    </row>
    <row r="51" spans="2:19" ht="12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"/>
      <c r="N51" s="2"/>
      <c r="O51" s="2"/>
      <c r="P51" s="2"/>
      <c r="Q51" s="2"/>
      <c r="R51" s="2"/>
      <c r="S51" s="2"/>
    </row>
    <row r="52" spans="2:19" ht="12.75" customHeight="1">
      <c r="B52" s="10"/>
      <c r="C52" s="10" t="s">
        <v>124</v>
      </c>
      <c r="D52" s="10"/>
      <c r="E52" s="10" t="s">
        <v>122</v>
      </c>
      <c r="F52" s="10"/>
      <c r="G52" s="15">
        <f>H52+I52</f>
        <v>106543773</v>
      </c>
      <c r="H52" s="15">
        <f>'1.6.1'!G26</f>
        <v>3869316</v>
      </c>
      <c r="I52" s="15">
        <f>'1.6.1'!G25</f>
        <v>102674457</v>
      </c>
      <c r="J52" s="10"/>
      <c r="K52" s="10"/>
      <c r="L52" s="10"/>
      <c r="M52" s="2"/>
      <c r="N52" s="2"/>
      <c r="O52" s="2"/>
      <c r="P52" s="2"/>
      <c r="Q52" s="2"/>
      <c r="R52" s="2"/>
      <c r="S52" s="2"/>
    </row>
    <row r="53" spans="2:19" ht="12.75" customHeight="1">
      <c r="B53" s="10"/>
      <c r="C53" s="10"/>
      <c r="D53" s="10"/>
      <c r="E53" s="10" t="s">
        <v>123</v>
      </c>
      <c r="F53" s="10"/>
      <c r="G53" s="44">
        <f>H53+I53</f>
        <v>1</v>
      </c>
      <c r="H53" s="44">
        <f>H52/G52</f>
        <v>0.03631667896724476</v>
      </c>
      <c r="I53" s="44">
        <f>I52/G52</f>
        <v>0.9636833210327552</v>
      </c>
      <c r="J53" s="10"/>
      <c r="K53" s="10"/>
      <c r="L53" s="10"/>
      <c r="M53" s="2"/>
      <c r="N53" s="2"/>
      <c r="O53" s="2"/>
      <c r="P53" s="2"/>
      <c r="Q53" s="2"/>
      <c r="R53" s="2"/>
      <c r="S53" s="2"/>
    </row>
    <row r="54" spans="2:19" ht="12" customHeight="1">
      <c r="B54" s="1"/>
      <c r="C54" s="1"/>
      <c r="D54" s="1"/>
      <c r="E54" s="1"/>
      <c r="F54" s="1"/>
      <c r="G54" s="1"/>
      <c r="H54" s="1"/>
      <c r="I54" s="1"/>
      <c r="J54" s="1"/>
      <c r="K54" s="10"/>
      <c r="L54" s="10"/>
      <c r="M54" s="2"/>
      <c r="N54" s="2"/>
      <c r="O54" s="2"/>
      <c r="P54" s="2"/>
      <c r="Q54" s="2"/>
      <c r="R54" s="2"/>
      <c r="S54" s="2"/>
    </row>
    <row r="55" spans="2:19" ht="10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0.5" customHeight="1">
      <c r="B56" s="2"/>
      <c r="C56" s="10"/>
      <c r="D56" s="10"/>
      <c r="E56" s="10"/>
      <c r="F56" s="10"/>
      <c r="G56" s="15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0.5" customHeight="1">
      <c r="B57" s="2"/>
      <c r="C57" s="10"/>
      <c r="D57" s="10"/>
      <c r="E57" s="10"/>
      <c r="F57" s="10"/>
      <c r="G57" s="44"/>
      <c r="H57" s="44"/>
      <c r="I57" s="44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0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0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0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0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0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0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0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0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0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0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0.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2:19" ht="10.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2:19" ht="10.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2:19" ht="10.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2:19" ht="10.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2:19" ht="10.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2:19" ht="10.5" customHeight="1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2:19" ht="10.5" customHeight="1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2:19" ht="10.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2:19" ht="10.5" customHeight="1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2:19" ht="10.5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2:19" ht="10.5" customHeight="1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2:19" ht="10.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2:19" ht="10.5" customHeight="1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2:19" ht="10.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2:19" ht="10.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2:19" ht="10.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2:19" ht="10.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2:19" ht="10.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2:19" ht="10.5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2:19" ht="10.5" customHeight="1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2:19" ht="10.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2:19" ht="10.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2:19" ht="10.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2:19" ht="10.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2:19" ht="10.5" customHeight="1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2:19" ht="10.5" customHeight="1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</sheetData>
  <printOptions/>
  <pageMargins left="1.25" right="0.25" top="0.6" bottom="0.25" header="0.5" footer="0.5"/>
  <pageSetup fitToHeight="1" fitToWidth="1" horizontalDpi="1200" verticalDpi="12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B1:T97"/>
  <sheetViews>
    <sheetView workbookViewId="0" topLeftCell="A4">
      <selection activeCell="C51" sqref="C51"/>
    </sheetView>
  </sheetViews>
  <sheetFormatPr defaultColWidth="9.8515625" defaultRowHeight="12"/>
  <cols>
    <col min="1" max="1" width="6.7109375" style="0" customWidth="1"/>
    <col min="2" max="2" width="3.8515625" style="0" customWidth="1"/>
    <col min="3" max="3" width="25.28125" style="0" customWidth="1"/>
    <col min="4" max="4" width="16.140625" style="0" customWidth="1"/>
    <col min="5" max="5" width="14.421875" style="0" customWidth="1"/>
    <col min="6" max="6" width="15.28125" style="0" customWidth="1"/>
    <col min="7" max="7" width="15.140625" style="0" customWidth="1"/>
    <col min="8" max="8" width="17.7109375" style="0" bestFit="1" customWidth="1"/>
    <col min="9" max="9" width="9.28125" style="0" customWidth="1"/>
    <col min="10" max="10" width="7.8515625" style="0" customWidth="1"/>
    <col min="11" max="11" width="2.8515625" style="0" customWidth="1"/>
  </cols>
  <sheetData>
    <row r="1" spans="2:20" ht="12.75" customHeight="1">
      <c r="B1" s="10"/>
      <c r="C1" s="10"/>
      <c r="D1" s="10"/>
      <c r="E1" s="10"/>
      <c r="F1" s="10"/>
      <c r="G1" s="10"/>
      <c r="H1" s="10"/>
      <c r="I1" s="11" t="s">
        <v>37</v>
      </c>
      <c r="J1" s="10"/>
      <c r="L1" s="2"/>
      <c r="M1" s="2"/>
      <c r="N1" s="2"/>
      <c r="O1" s="2"/>
      <c r="P1" s="2"/>
      <c r="Q1" s="2"/>
      <c r="R1" s="2"/>
      <c r="S1" s="2"/>
      <c r="T1" s="2"/>
    </row>
    <row r="2" spans="3:20" ht="12.75" customHeight="1">
      <c r="C2" s="92"/>
      <c r="D2" s="92"/>
      <c r="E2" s="92"/>
      <c r="F2" s="92"/>
      <c r="G2" s="92"/>
      <c r="I2" s="98" t="str">
        <f>'1.2'!A2</f>
        <v>Docket No. 06-057-01</v>
      </c>
      <c r="J2" s="92"/>
      <c r="K2" s="92"/>
      <c r="L2" s="2"/>
      <c r="M2" s="2"/>
      <c r="N2" s="2"/>
      <c r="O2" s="2"/>
      <c r="P2" s="2"/>
      <c r="Q2" s="2"/>
      <c r="R2" s="2"/>
      <c r="S2" s="2"/>
      <c r="T2" s="2"/>
    </row>
    <row r="3" spans="2:20" ht="12.75" customHeight="1">
      <c r="B3" s="10"/>
      <c r="C3" s="10"/>
      <c r="D3" s="10"/>
      <c r="E3" s="10"/>
      <c r="F3" s="10"/>
      <c r="G3" s="10"/>
      <c r="H3" s="10"/>
      <c r="I3" s="11" t="s">
        <v>388</v>
      </c>
      <c r="J3" s="10"/>
      <c r="L3" s="2"/>
      <c r="M3" s="2"/>
      <c r="N3" s="2"/>
      <c r="O3" s="2"/>
      <c r="P3" s="2"/>
      <c r="Q3" s="2"/>
      <c r="R3" s="2"/>
      <c r="S3" s="2"/>
      <c r="T3" s="2"/>
    </row>
    <row r="4" spans="2:20" ht="12.75" customHeight="1">
      <c r="B4" s="10"/>
      <c r="C4" s="10"/>
      <c r="D4" s="10"/>
      <c r="E4" s="10"/>
      <c r="F4" s="10"/>
      <c r="G4" s="10"/>
      <c r="H4" s="10"/>
      <c r="I4" s="11" t="s">
        <v>325</v>
      </c>
      <c r="J4" s="10"/>
      <c r="L4" s="2"/>
      <c r="M4" s="2"/>
      <c r="N4" s="2"/>
      <c r="O4" s="2"/>
      <c r="P4" s="2"/>
      <c r="Q4" s="2"/>
      <c r="R4" s="2"/>
      <c r="S4" s="2"/>
      <c r="T4" s="2"/>
    </row>
    <row r="5" spans="2:20" ht="12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2"/>
      <c r="M5" s="2"/>
      <c r="N5" s="2"/>
      <c r="O5" s="2"/>
      <c r="P5" s="2"/>
      <c r="Q5" s="2"/>
      <c r="R5" s="2"/>
      <c r="S5" s="2"/>
      <c r="T5" s="2"/>
    </row>
    <row r="6" spans="2:20" ht="12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2"/>
      <c r="M6" s="2"/>
      <c r="N6" s="2"/>
      <c r="O6" s="2"/>
      <c r="P6" s="2"/>
      <c r="Q6" s="2"/>
      <c r="R6" s="2"/>
      <c r="S6" s="2"/>
      <c r="T6" s="2"/>
    </row>
    <row r="7" spans="2:20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2"/>
      <c r="M7" s="2"/>
      <c r="N7" s="2"/>
      <c r="O7" s="2"/>
      <c r="P7" s="2"/>
      <c r="Q7" s="2"/>
      <c r="R7" s="2"/>
      <c r="S7" s="2"/>
      <c r="T7" s="2"/>
    </row>
    <row r="8" spans="2:20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  <c r="M8" s="2"/>
      <c r="N8" s="2"/>
      <c r="O8" s="2"/>
      <c r="P8" s="2"/>
      <c r="Q8" s="2"/>
      <c r="R8" s="2"/>
      <c r="S8" s="2"/>
      <c r="T8" s="2"/>
    </row>
    <row r="9" spans="2:20" ht="12.75" customHeight="1">
      <c r="B9" s="10"/>
      <c r="C9" s="10"/>
      <c r="D9" s="10"/>
      <c r="E9" s="85" t="s">
        <v>125</v>
      </c>
      <c r="F9" s="10"/>
      <c r="G9" s="10"/>
      <c r="H9" s="10"/>
      <c r="I9" s="10"/>
      <c r="J9" s="10"/>
      <c r="K9" s="10"/>
      <c r="L9" s="2"/>
      <c r="M9" s="2"/>
      <c r="N9" s="2"/>
      <c r="O9" s="2"/>
      <c r="P9" s="2"/>
      <c r="Q9" s="2"/>
      <c r="R9" s="2"/>
      <c r="S9" s="2"/>
      <c r="T9" s="2"/>
    </row>
    <row r="10" spans="2:20" ht="12.75" customHeight="1">
      <c r="B10" s="10"/>
      <c r="C10" s="10"/>
      <c r="D10" s="10"/>
      <c r="F10" s="14"/>
      <c r="G10" s="10"/>
      <c r="H10" s="10"/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</row>
    <row r="11" spans="2:20" ht="12.75" customHeight="1">
      <c r="B11" s="10"/>
      <c r="C11" s="10"/>
      <c r="D11" s="10"/>
      <c r="E11" s="85"/>
      <c r="F11" s="14"/>
      <c r="G11" s="10"/>
      <c r="H11" s="10"/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</row>
    <row r="12" spans="2:20" ht="12.75" customHeight="1">
      <c r="B12" s="10"/>
      <c r="C12" s="151" t="s">
        <v>221</v>
      </c>
      <c r="D12" s="151" t="s">
        <v>222</v>
      </c>
      <c r="E12" s="151" t="s">
        <v>223</v>
      </c>
      <c r="F12" s="151" t="s">
        <v>224</v>
      </c>
      <c r="G12" s="151" t="s">
        <v>229</v>
      </c>
      <c r="H12" s="151" t="s">
        <v>230</v>
      </c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</row>
    <row r="13" spans="2:20" ht="12.75" customHeight="1" thickBot="1">
      <c r="B13" s="10"/>
      <c r="C13" s="112"/>
      <c r="D13" s="112"/>
      <c r="E13" s="112"/>
      <c r="F13" s="113" t="s">
        <v>285</v>
      </c>
      <c r="G13" s="113" t="s">
        <v>142</v>
      </c>
      <c r="H13" s="113" t="s">
        <v>51</v>
      </c>
      <c r="I13" s="10"/>
      <c r="J13" s="10"/>
      <c r="K13" s="10"/>
      <c r="L13" s="2"/>
      <c r="M13" s="2"/>
      <c r="N13" s="3"/>
      <c r="O13" s="2"/>
      <c r="P13" s="2"/>
      <c r="Q13" s="2"/>
      <c r="R13" s="2"/>
      <c r="S13" s="2"/>
      <c r="T13" s="2"/>
    </row>
    <row r="14" spans="2:20" ht="13.5" customHeight="1" thickTop="1">
      <c r="B14" s="14">
        <v>1</v>
      </c>
      <c r="C14" s="10" t="s">
        <v>389</v>
      </c>
      <c r="D14" s="10"/>
      <c r="E14" s="10"/>
      <c r="F14" s="10"/>
      <c r="G14" s="10"/>
      <c r="H14" s="12">
        <f>'1.5'!I42</f>
        <v>765928492.1636187</v>
      </c>
      <c r="J14" s="10"/>
      <c r="K14" s="10"/>
      <c r="L14" s="2"/>
      <c r="M14" s="2"/>
      <c r="N14" s="3"/>
      <c r="O14" s="2"/>
      <c r="P14" s="2"/>
      <c r="Q14" s="2"/>
      <c r="R14" s="2"/>
      <c r="S14" s="2"/>
      <c r="T14" s="2"/>
    </row>
    <row r="15" spans="2:20" ht="12.75" customHeight="1">
      <c r="B15" s="14"/>
      <c r="C15" s="88" t="s">
        <v>126</v>
      </c>
      <c r="D15" s="10"/>
      <c r="E15" s="10"/>
      <c r="F15" s="10"/>
      <c r="G15" s="10"/>
      <c r="H15" s="12"/>
      <c r="J15" s="10"/>
      <c r="K15" s="10"/>
      <c r="L15" s="2"/>
      <c r="M15" s="2"/>
      <c r="N15" s="3"/>
      <c r="O15" s="2"/>
      <c r="P15" s="2"/>
      <c r="Q15" s="2"/>
      <c r="R15" s="2"/>
      <c r="S15" s="2"/>
      <c r="T15" s="2"/>
    </row>
    <row r="16" spans="2:20" ht="12.75" customHeight="1">
      <c r="B16" s="14">
        <f>B14+1</f>
        <v>2</v>
      </c>
      <c r="C16" s="10" t="s">
        <v>286</v>
      </c>
      <c r="D16" s="10"/>
      <c r="F16" s="156">
        <v>18.25</v>
      </c>
      <c r="G16" s="19">
        <v>1772</v>
      </c>
      <c r="H16" s="15">
        <f>-G16*F16</f>
        <v>-32339</v>
      </c>
      <c r="J16" s="10"/>
      <c r="K16" s="10"/>
      <c r="L16" s="2"/>
      <c r="M16" s="2"/>
      <c r="N16" s="45"/>
      <c r="O16" s="2"/>
      <c r="P16" s="2"/>
      <c r="Q16" s="2"/>
      <c r="R16" s="2"/>
      <c r="S16" s="2"/>
      <c r="T16" s="2"/>
    </row>
    <row r="17" spans="2:20" ht="12.75" customHeight="1">
      <c r="B17" s="14">
        <f>B16+1</f>
        <v>3</v>
      </c>
      <c r="C17" s="10" t="s">
        <v>287</v>
      </c>
      <c r="D17" s="10"/>
      <c r="E17" s="90"/>
      <c r="F17" s="93" t="s">
        <v>304</v>
      </c>
      <c r="H17" s="15">
        <f>-E17*F17</f>
        <v>0</v>
      </c>
      <c r="J17" s="10"/>
      <c r="K17" s="10"/>
      <c r="L17" s="2"/>
      <c r="M17" s="2"/>
      <c r="N17" s="45"/>
      <c r="O17" s="2"/>
      <c r="P17" s="2"/>
      <c r="Q17" s="2"/>
      <c r="R17" s="2"/>
      <c r="S17" s="2"/>
      <c r="T17" s="2"/>
    </row>
    <row r="18" spans="2:20" ht="12.75" customHeight="1">
      <c r="B18" s="14">
        <f>B17+1</f>
        <v>4</v>
      </c>
      <c r="C18" s="10" t="s">
        <v>288</v>
      </c>
      <c r="D18" s="10"/>
      <c r="F18" s="80">
        <f>Mac!D43/0.985/0.9801</f>
        <v>8.752333791778668</v>
      </c>
      <c r="G18" s="19">
        <f>1902405</f>
        <v>1902405</v>
      </c>
      <c r="H18" s="167">
        <f>-G18*F18</f>
        <v>-16650483.567148697</v>
      </c>
      <c r="J18" s="10"/>
      <c r="K18" s="10"/>
      <c r="L18" s="2"/>
      <c r="M18" s="2"/>
      <c r="N18" s="45"/>
      <c r="O18" s="2"/>
      <c r="P18" s="2"/>
      <c r="Q18" s="2"/>
      <c r="R18" s="2"/>
      <c r="S18" s="2"/>
      <c r="T18" s="2"/>
    </row>
    <row r="19" spans="2:20" ht="12.75" customHeight="1">
      <c r="B19" s="14">
        <f>B18+1</f>
        <v>5</v>
      </c>
      <c r="C19" s="10" t="s">
        <v>127</v>
      </c>
      <c r="D19" s="10"/>
      <c r="E19" s="10"/>
      <c r="F19" s="10"/>
      <c r="G19" s="10"/>
      <c r="H19" s="12">
        <f>H14+H16+H17+H18</f>
        <v>749245669.59647</v>
      </c>
      <c r="J19" s="10"/>
      <c r="K19" s="10"/>
      <c r="L19" s="2"/>
      <c r="M19" s="2"/>
      <c r="N19" s="45"/>
      <c r="O19" s="2"/>
      <c r="P19" s="2"/>
      <c r="Q19" s="2"/>
      <c r="R19" s="2"/>
      <c r="S19" s="2"/>
      <c r="T19" s="2"/>
    </row>
    <row r="20" spans="2:20" ht="12.75" customHeight="1">
      <c r="B20" s="121"/>
      <c r="C20" s="1"/>
      <c r="D20" s="1"/>
      <c r="E20" s="1"/>
      <c r="F20" s="1"/>
      <c r="G20" s="1"/>
      <c r="H20" s="1"/>
      <c r="I20" s="1"/>
      <c r="J20" s="10"/>
      <c r="K20" s="10"/>
      <c r="L20" s="2"/>
      <c r="M20" s="2"/>
      <c r="N20" s="45"/>
      <c r="O20" s="2"/>
      <c r="P20" s="2"/>
      <c r="Q20" s="2"/>
      <c r="R20" s="2"/>
      <c r="S20" s="2"/>
      <c r="T20" s="2"/>
    </row>
    <row r="21" spans="2:20" ht="12.75" customHeight="1"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45"/>
      <c r="O21" s="2"/>
      <c r="P21" s="2"/>
      <c r="Q21" s="2"/>
      <c r="R21" s="2"/>
      <c r="S21" s="2"/>
      <c r="T21" s="2"/>
    </row>
    <row r="22" spans="2:20" ht="12.75" customHeight="1">
      <c r="B22" s="121"/>
      <c r="C22" s="1"/>
      <c r="D22" s="1"/>
      <c r="E22" s="1"/>
      <c r="F22" s="1"/>
      <c r="G22" s="1"/>
      <c r="H22" s="1"/>
      <c r="I22" s="1"/>
      <c r="J22" s="10"/>
      <c r="K22" s="10"/>
      <c r="L22" s="2"/>
      <c r="M22" s="2"/>
      <c r="N22" s="45"/>
      <c r="O22" s="2"/>
      <c r="P22" s="2"/>
      <c r="Q22" s="2"/>
      <c r="R22" s="2"/>
      <c r="S22" s="2"/>
      <c r="T22" s="2"/>
    </row>
    <row r="23" spans="2:20" ht="12.75" customHeight="1" thickBot="1">
      <c r="B23" s="14"/>
      <c r="C23" s="10" t="s">
        <v>289</v>
      </c>
      <c r="D23" s="10"/>
      <c r="E23" s="155" t="s">
        <v>290</v>
      </c>
      <c r="F23" s="157" t="s">
        <v>291</v>
      </c>
      <c r="G23" s="157" t="s">
        <v>292</v>
      </c>
      <c r="H23" s="11"/>
      <c r="I23" s="10"/>
      <c r="J23" s="10"/>
      <c r="K23" s="10"/>
      <c r="L23" s="2"/>
      <c r="M23" s="2"/>
      <c r="N23" s="45"/>
      <c r="O23" s="2"/>
      <c r="P23" s="2"/>
      <c r="Q23" s="2"/>
      <c r="R23" s="2"/>
      <c r="S23" s="2"/>
      <c r="T23" s="2"/>
    </row>
    <row r="24" spans="2:20" ht="12.75" customHeight="1">
      <c r="B24" s="14"/>
      <c r="C24" s="10"/>
      <c r="D24" s="10"/>
      <c r="E24" s="11"/>
      <c r="F24" s="10"/>
      <c r="G24" s="11"/>
      <c r="H24" s="11"/>
      <c r="I24" s="10"/>
      <c r="J24" s="10"/>
      <c r="K24" s="10"/>
      <c r="L24" s="2"/>
      <c r="M24" s="2"/>
      <c r="N24" s="45"/>
      <c r="O24" s="2"/>
      <c r="P24" s="2"/>
      <c r="Q24" s="2"/>
      <c r="R24" s="2"/>
      <c r="S24" s="2"/>
      <c r="T24" s="2"/>
    </row>
    <row r="25" spans="2:20" ht="12.75" customHeight="1">
      <c r="B25" s="14">
        <f>B19+1</f>
        <v>6</v>
      </c>
      <c r="C25" s="10" t="s">
        <v>129</v>
      </c>
      <c r="D25" s="10"/>
      <c r="E25" s="19">
        <v>100772052</v>
      </c>
      <c r="F25" s="15">
        <f>E17+G18</f>
        <v>1902405</v>
      </c>
      <c r="G25" s="46">
        <f>E25+F25</f>
        <v>102674457</v>
      </c>
      <c r="I25" s="10"/>
      <c r="J25" s="10"/>
      <c r="K25" s="10"/>
      <c r="L25" s="2"/>
      <c r="M25" s="2"/>
      <c r="N25" s="45"/>
      <c r="O25" s="2"/>
      <c r="P25" s="2"/>
      <c r="Q25" s="2"/>
      <c r="R25" s="2"/>
      <c r="S25" s="2"/>
      <c r="T25" s="2"/>
    </row>
    <row r="26" spans="2:20" ht="12.75" customHeight="1">
      <c r="B26" s="14">
        <f>B25+1</f>
        <v>7</v>
      </c>
      <c r="C26" s="10" t="s">
        <v>130</v>
      </c>
      <c r="D26" s="10"/>
      <c r="E26" s="19">
        <v>3730478</v>
      </c>
      <c r="F26" s="19">
        <v>138838</v>
      </c>
      <c r="G26" s="168">
        <f>E26+F26</f>
        <v>3869316</v>
      </c>
      <c r="I26" s="10"/>
      <c r="J26" s="10"/>
      <c r="K26" s="10"/>
      <c r="L26" s="2"/>
      <c r="M26" s="2"/>
      <c r="N26" s="45"/>
      <c r="O26" s="2"/>
      <c r="P26" s="2"/>
      <c r="Q26" s="2"/>
      <c r="R26" s="2"/>
      <c r="S26" s="2"/>
      <c r="T26" s="2"/>
    </row>
    <row r="27" spans="2:20" ht="12.75" customHeight="1">
      <c r="B27" s="14">
        <f>B26+1</f>
        <v>8</v>
      </c>
      <c r="C27" s="10" t="s">
        <v>128</v>
      </c>
      <c r="D27" s="10"/>
      <c r="E27" s="10"/>
      <c r="F27" s="10"/>
      <c r="G27" s="15">
        <f>SUM(G25:G26)</f>
        <v>106543773</v>
      </c>
      <c r="I27" s="10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</row>
    <row r="28" spans="2:20" ht="12.75" customHeight="1">
      <c r="B28" s="14"/>
      <c r="C28" s="10"/>
      <c r="D28" s="10"/>
      <c r="E28" s="10"/>
      <c r="F28" s="10"/>
      <c r="G28" s="10"/>
      <c r="H28" s="10"/>
      <c r="I28" s="12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</row>
    <row r="29" spans="2:20" ht="12.75" customHeight="1">
      <c r="B29" s="14">
        <f>B27+1</f>
        <v>9</v>
      </c>
      <c r="C29" s="10" t="s">
        <v>293</v>
      </c>
      <c r="D29" s="10"/>
      <c r="E29" s="10"/>
      <c r="F29" s="10"/>
      <c r="G29" s="10"/>
      <c r="H29" s="15">
        <f>(-'1.6.2'!F18)</f>
        <v>-89985750.55377318</v>
      </c>
      <c r="J29" s="10"/>
      <c r="K29" s="10"/>
      <c r="L29" s="2"/>
      <c r="M29" s="2"/>
      <c r="N29" s="2"/>
      <c r="O29" s="47"/>
      <c r="P29" s="2"/>
      <c r="Q29" s="2"/>
      <c r="R29" s="2"/>
      <c r="S29" s="2"/>
      <c r="T29" s="2"/>
    </row>
    <row r="30" spans="2:20" ht="12.75" customHeight="1" thickBot="1">
      <c r="B30" s="14">
        <f>B29+1</f>
        <v>10</v>
      </c>
      <c r="C30" s="10" t="s">
        <v>327</v>
      </c>
      <c r="D30" s="10"/>
      <c r="E30" s="10"/>
      <c r="F30" s="10"/>
      <c r="G30" s="10"/>
      <c r="H30" s="183">
        <f>-'1.5'!I40</f>
        <v>-5836513.894779399</v>
      </c>
      <c r="J30" s="10"/>
      <c r="K30" s="10"/>
      <c r="L30" s="2"/>
      <c r="M30" s="2"/>
      <c r="N30" s="2"/>
      <c r="O30" s="47"/>
      <c r="P30" s="2"/>
      <c r="Q30" s="2"/>
      <c r="R30" s="2"/>
      <c r="S30" s="2"/>
      <c r="T30" s="2"/>
    </row>
    <row r="31" spans="2:20" ht="12.75" customHeight="1" thickTop="1">
      <c r="B31" s="14"/>
      <c r="C31" s="10"/>
      <c r="D31" s="10"/>
      <c r="E31" s="10"/>
      <c r="F31" s="10"/>
      <c r="G31" s="10"/>
      <c r="H31" s="158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</row>
    <row r="32" spans="2:20" ht="12.75" customHeight="1">
      <c r="B32" s="14">
        <f>B30+1</f>
        <v>11</v>
      </c>
      <c r="C32" s="10" t="s">
        <v>131</v>
      </c>
      <c r="D32" s="10"/>
      <c r="E32" s="10"/>
      <c r="F32" s="10"/>
      <c r="G32" s="10"/>
      <c r="H32" s="12">
        <f>H19+H29+H30</f>
        <v>653423405.1479174</v>
      </c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</row>
    <row r="33" spans="2:20" ht="12.75" customHeight="1">
      <c r="B33" s="14"/>
      <c r="C33" s="10"/>
      <c r="D33" s="10"/>
      <c r="E33" s="10"/>
      <c r="F33" s="10"/>
      <c r="G33" s="10"/>
      <c r="H33" s="126"/>
      <c r="I33" s="10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</row>
    <row r="34" spans="2:20" ht="12.75" customHeight="1"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</row>
    <row r="35" spans="2:20" ht="12.75" customHeight="1">
      <c r="B35" s="14"/>
      <c r="C35" s="10"/>
      <c r="D35" s="10"/>
      <c r="E35" s="10"/>
      <c r="F35" s="10"/>
      <c r="G35" s="83"/>
      <c r="H35" s="83"/>
      <c r="I35" s="83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</row>
    <row r="36" spans="2:20" ht="12.75" customHeight="1">
      <c r="B36" s="14"/>
      <c r="C36" s="10"/>
      <c r="D36" s="10"/>
      <c r="E36" s="10"/>
      <c r="F36" s="11" t="s">
        <v>132</v>
      </c>
      <c r="G36" s="11" t="s">
        <v>133</v>
      </c>
      <c r="H36" s="11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</row>
    <row r="37" spans="2:20" ht="12.75" customHeight="1" thickBot="1">
      <c r="B37" s="14"/>
      <c r="C37" s="10"/>
      <c r="D37" s="10"/>
      <c r="E37" s="10"/>
      <c r="F37" s="162" t="str">
        <f>"06-057-"&amp;Mac!A1</f>
        <v>06-057-01</v>
      </c>
      <c r="G37" s="163" t="s">
        <v>211</v>
      </c>
      <c r="H37" s="164" t="s">
        <v>134</v>
      </c>
      <c r="J37" s="10"/>
      <c r="K37" s="10"/>
      <c r="L37" s="2"/>
      <c r="M37" s="2"/>
      <c r="N37" s="2"/>
      <c r="O37" s="2"/>
      <c r="P37" s="2"/>
      <c r="Q37" s="2"/>
      <c r="R37" s="2"/>
      <c r="S37" s="2"/>
      <c r="T37" s="2"/>
    </row>
    <row r="38" spans="2:20" ht="12.75" customHeight="1">
      <c r="B38" s="14"/>
      <c r="C38" s="96" t="s">
        <v>294</v>
      </c>
      <c r="D38" s="10"/>
      <c r="E38" s="10"/>
      <c r="F38" s="11"/>
      <c r="G38" s="11"/>
      <c r="H38" s="11"/>
      <c r="J38" s="10"/>
      <c r="K38" s="10"/>
      <c r="L38" s="2"/>
      <c r="M38" s="2"/>
      <c r="N38" s="1"/>
      <c r="O38" s="1"/>
      <c r="P38" s="1"/>
      <c r="Q38" s="1"/>
      <c r="R38" s="1"/>
      <c r="S38" s="1"/>
      <c r="T38" s="2"/>
    </row>
    <row r="39" spans="2:20" ht="12.75" customHeight="1">
      <c r="B39" s="14">
        <f>B32+1</f>
        <v>12</v>
      </c>
      <c r="C39" s="10" t="s">
        <v>135</v>
      </c>
      <c r="D39" s="10"/>
      <c r="E39" s="10"/>
      <c r="F39" s="16">
        <f>ROUND((H32)/E25,5)</f>
        <v>6.48417</v>
      </c>
      <c r="G39" s="23">
        <v>7.49309</v>
      </c>
      <c r="H39" s="16">
        <f>F39-G39</f>
        <v>-1.0089199999999998</v>
      </c>
      <c r="J39" s="10"/>
      <c r="K39" s="10"/>
      <c r="L39" s="2"/>
      <c r="M39" s="2"/>
      <c r="N39" s="1"/>
      <c r="O39" s="1"/>
      <c r="P39" s="1"/>
      <c r="Q39" s="1"/>
      <c r="R39" s="1"/>
      <c r="S39" s="1"/>
      <c r="T39" s="2"/>
    </row>
    <row r="40" spans="2:20" ht="12.75" customHeight="1">
      <c r="B40" s="14">
        <f>B39+1</f>
        <v>13</v>
      </c>
      <c r="C40" s="88" t="s">
        <v>302</v>
      </c>
      <c r="D40" s="49"/>
      <c r="E40" s="10"/>
      <c r="F40" s="159">
        <f>H62</f>
        <v>0.38094</v>
      </c>
      <c r="G40" s="160">
        <v>0.32215</v>
      </c>
      <c r="H40" s="161">
        <f>F40-G40</f>
        <v>0.05879000000000001</v>
      </c>
      <c r="J40" s="10"/>
      <c r="K40" s="10"/>
      <c r="L40" s="2"/>
      <c r="M40" s="2"/>
      <c r="N40" s="1"/>
      <c r="O40" s="1"/>
      <c r="P40" s="1"/>
      <c r="Q40" s="1"/>
      <c r="R40" s="1"/>
      <c r="S40" s="1"/>
      <c r="T40" s="2"/>
    </row>
    <row r="41" spans="2:20" ht="12.75" customHeight="1">
      <c r="B41" s="14">
        <f>B40+1</f>
        <v>14</v>
      </c>
      <c r="C41" s="10" t="s">
        <v>319</v>
      </c>
      <c r="D41" s="10"/>
      <c r="E41" s="10"/>
      <c r="F41" s="16">
        <f>F39+F40</f>
        <v>6.86511</v>
      </c>
      <c r="G41" s="16">
        <f>G39+G40</f>
        <v>7.815239999999999</v>
      </c>
      <c r="H41" s="16">
        <f>H39+H40</f>
        <v>-0.9501299999999998</v>
      </c>
      <c r="J41" s="10"/>
      <c r="K41" s="10"/>
      <c r="L41" s="2"/>
      <c r="M41" s="2"/>
      <c r="N41" s="1"/>
      <c r="O41" s="1"/>
      <c r="P41" s="1"/>
      <c r="Q41" s="1"/>
      <c r="R41" s="1"/>
      <c r="S41" s="1"/>
      <c r="T41" s="2"/>
    </row>
    <row r="42" spans="2:20" ht="12.75" customHeight="1">
      <c r="B42" s="14"/>
      <c r="C42" s="1"/>
      <c r="D42" s="1"/>
      <c r="E42" s="1"/>
      <c r="F42" s="1"/>
      <c r="G42" s="1"/>
      <c r="H42" s="1"/>
      <c r="J42" s="10"/>
      <c r="K42" s="10"/>
      <c r="L42" s="2"/>
      <c r="M42" s="2"/>
      <c r="N42" s="1"/>
      <c r="O42" s="1"/>
      <c r="P42" s="1"/>
      <c r="Q42" s="1"/>
      <c r="R42" s="1"/>
      <c r="S42" s="1"/>
      <c r="T42" s="2"/>
    </row>
    <row r="43" spans="2:20" ht="12.75" customHeight="1">
      <c r="B43" s="14"/>
      <c r="C43" s="10"/>
      <c r="D43" s="10"/>
      <c r="E43" s="10"/>
      <c r="F43" s="11"/>
      <c r="G43" s="1"/>
      <c r="H43" s="11"/>
      <c r="J43" s="10"/>
      <c r="K43" s="10"/>
      <c r="L43" s="2"/>
      <c r="M43" s="2"/>
      <c r="N43" s="1"/>
      <c r="O43" s="1"/>
      <c r="P43" s="1"/>
      <c r="Q43" s="1"/>
      <c r="R43" s="1"/>
      <c r="S43" s="1"/>
      <c r="T43" s="2"/>
    </row>
    <row r="44" spans="2:20" ht="12.75" customHeight="1">
      <c r="B44" s="14"/>
      <c r="C44" s="10"/>
      <c r="D44" s="10"/>
      <c r="E44" s="10"/>
      <c r="F44" s="48"/>
      <c r="G44" s="11"/>
      <c r="H44" s="84"/>
      <c r="J44" s="10"/>
      <c r="K44" s="10"/>
      <c r="L44" s="2"/>
      <c r="M44" s="2"/>
      <c r="N44" s="1"/>
      <c r="O44" s="1"/>
      <c r="P44" s="1"/>
      <c r="Q44" s="1"/>
      <c r="R44" s="1"/>
      <c r="S44" s="1"/>
      <c r="T44" s="2"/>
    </row>
    <row r="45" spans="2:20" ht="12.75" customHeight="1">
      <c r="B45" s="14"/>
      <c r="C45" s="96" t="s">
        <v>295</v>
      </c>
      <c r="D45" s="10"/>
      <c r="E45" s="10"/>
      <c r="F45" s="11"/>
      <c r="G45" s="11"/>
      <c r="H45" s="11"/>
      <c r="J45" s="10"/>
      <c r="K45" s="10"/>
      <c r="L45" s="2"/>
      <c r="M45" s="2"/>
      <c r="N45" s="1"/>
      <c r="O45" s="1"/>
      <c r="P45" s="1"/>
      <c r="Q45" s="1"/>
      <c r="R45" s="1"/>
      <c r="S45" s="1"/>
      <c r="T45" s="2"/>
    </row>
    <row r="46" spans="2:20" ht="12.75" customHeight="1">
      <c r="B46" s="14">
        <f>B41+1</f>
        <v>15</v>
      </c>
      <c r="C46" s="10" t="s">
        <v>136</v>
      </c>
      <c r="D46" s="10"/>
      <c r="E46" s="10"/>
      <c r="F46" s="52" t="str">
        <f>F17</f>
        <v>($6.80 - $7.30)</v>
      </c>
      <c r="G46" s="80" t="str">
        <f>F46</f>
        <v>($6.80 - $7.30)</v>
      </c>
      <c r="H46" s="16"/>
      <c r="J46" s="10"/>
      <c r="K46" s="10"/>
      <c r="L46" s="2"/>
      <c r="M46" s="2"/>
      <c r="N46" s="1"/>
      <c r="O46" s="1"/>
      <c r="P46" s="1"/>
      <c r="Q46" s="1"/>
      <c r="R46" s="1"/>
      <c r="S46" s="1"/>
      <c r="T46" s="2"/>
    </row>
    <row r="47" spans="2:20" ht="12.75" customHeight="1">
      <c r="B47" s="10"/>
      <c r="C47" s="11" t="s">
        <v>137</v>
      </c>
      <c r="D47" s="10"/>
      <c r="E47" s="10"/>
      <c r="F47" s="10"/>
      <c r="G47" s="16"/>
      <c r="H47" s="16"/>
      <c r="I47" s="16"/>
      <c r="J47" s="10"/>
      <c r="K47" s="10"/>
      <c r="L47" s="2"/>
      <c r="M47" s="2"/>
      <c r="N47" s="1"/>
      <c r="O47" s="1"/>
      <c r="P47" s="1"/>
      <c r="Q47" s="1"/>
      <c r="R47" s="1"/>
      <c r="S47" s="1"/>
      <c r="T47" s="2"/>
    </row>
    <row r="48" spans="2:20" ht="12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"/>
      <c r="M48" s="2"/>
      <c r="N48" s="1"/>
      <c r="O48" s="1"/>
      <c r="P48" s="1"/>
      <c r="Q48" s="1"/>
      <c r="R48" s="1"/>
      <c r="S48" s="1"/>
      <c r="T48" s="2"/>
    </row>
    <row r="49" spans="2:20" ht="12.75" customHeight="1" thickBot="1">
      <c r="B49" s="10"/>
      <c r="C49" s="103"/>
      <c r="D49" s="103"/>
      <c r="E49" s="103"/>
      <c r="F49" s="10"/>
      <c r="G49" s="10"/>
      <c r="H49" s="10"/>
      <c r="I49" s="10"/>
      <c r="J49" s="10"/>
      <c r="K49" s="10"/>
      <c r="L49" s="2"/>
      <c r="M49" s="2"/>
      <c r="N49" s="1"/>
      <c r="O49" s="1"/>
      <c r="P49" s="1"/>
      <c r="Q49" s="1"/>
      <c r="R49" s="1"/>
      <c r="S49" s="1"/>
      <c r="T49" s="2"/>
    </row>
    <row r="50" spans="2:20" ht="12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"/>
      <c r="M50" s="2"/>
      <c r="N50" s="1"/>
      <c r="O50" s="1"/>
      <c r="P50" s="1"/>
      <c r="Q50" s="1"/>
      <c r="R50" s="1"/>
      <c r="S50" s="1"/>
      <c r="T50" s="2"/>
    </row>
    <row r="51" spans="2:20" ht="12.75" customHeight="1">
      <c r="B51" s="10"/>
      <c r="C51" s="87" t="s">
        <v>390</v>
      </c>
      <c r="D51" s="10"/>
      <c r="E51" s="10"/>
      <c r="F51" s="10"/>
      <c r="G51" s="10"/>
      <c r="H51" s="10"/>
      <c r="I51" s="10"/>
      <c r="J51" s="10"/>
      <c r="K51" s="10"/>
      <c r="L51" s="2"/>
      <c r="M51" s="2"/>
      <c r="N51" s="1"/>
      <c r="O51" s="1"/>
      <c r="P51" s="1"/>
      <c r="Q51" s="1"/>
      <c r="R51" s="1"/>
      <c r="S51" s="1"/>
      <c r="T51" s="2"/>
    </row>
    <row r="52" spans="2:20" ht="12.75" customHeight="1">
      <c r="B52" s="10"/>
      <c r="C52" s="87"/>
      <c r="D52" s="10"/>
      <c r="E52" s="10"/>
      <c r="F52" s="10"/>
      <c r="G52" s="10"/>
      <c r="H52" s="10"/>
      <c r="I52" s="10"/>
      <c r="J52" s="10"/>
      <c r="K52" s="10"/>
      <c r="L52" s="2"/>
      <c r="M52" s="2"/>
      <c r="N52" s="1"/>
      <c r="O52" s="1"/>
      <c r="P52" s="1"/>
      <c r="Q52" s="1"/>
      <c r="R52" s="1"/>
      <c r="S52" s="1"/>
      <c r="T52" s="2"/>
    </row>
    <row r="53" spans="2:20" ht="12.75" customHeight="1">
      <c r="B53" s="10"/>
      <c r="C53" s="87" t="s">
        <v>296</v>
      </c>
      <c r="D53" s="10"/>
      <c r="E53" s="169" t="s">
        <v>39</v>
      </c>
      <c r="F53" s="169" t="s">
        <v>297</v>
      </c>
      <c r="G53" s="169" t="s">
        <v>298</v>
      </c>
      <c r="H53" s="170" t="s">
        <v>299</v>
      </c>
      <c r="I53" s="10"/>
      <c r="J53" s="10"/>
      <c r="K53" s="10"/>
      <c r="L53" s="2"/>
      <c r="M53" s="2"/>
      <c r="N53" s="1"/>
      <c r="O53" s="1"/>
      <c r="P53" s="1"/>
      <c r="Q53" s="1"/>
      <c r="R53" s="1"/>
      <c r="S53" s="1"/>
      <c r="T53" s="2"/>
    </row>
    <row r="54" spans="2:20" ht="12.75" customHeight="1">
      <c r="B54" s="10"/>
      <c r="C54" s="10"/>
      <c r="D54" s="10" t="s">
        <v>138</v>
      </c>
      <c r="E54" s="15">
        <f>G16</f>
        <v>1772</v>
      </c>
      <c r="F54" s="15"/>
      <c r="G54" s="37">
        <f>F16</f>
        <v>18.25</v>
      </c>
      <c r="H54" s="12">
        <f>E54*G54</f>
        <v>32339</v>
      </c>
      <c r="I54" s="10"/>
      <c r="J54" s="10"/>
      <c r="K54" s="10"/>
      <c r="L54" s="2"/>
      <c r="M54" s="2"/>
      <c r="N54" s="1"/>
      <c r="O54" s="1"/>
      <c r="P54" s="1"/>
      <c r="Q54" s="1"/>
      <c r="R54" s="1"/>
      <c r="S54" s="1"/>
      <c r="T54" s="2"/>
    </row>
    <row r="55" spans="2:20" ht="12.75" customHeight="1">
      <c r="B55" s="10"/>
      <c r="C55" s="10"/>
      <c r="D55" s="10" t="s">
        <v>139</v>
      </c>
      <c r="E55" s="91">
        <f>E17</f>
        <v>0</v>
      </c>
      <c r="F55" s="15"/>
      <c r="G55" s="79" t="str">
        <f>F17</f>
        <v>($6.80 - $7.30)</v>
      </c>
      <c r="H55" s="12">
        <f>E55*G55</f>
        <v>0</v>
      </c>
      <c r="I55" s="10"/>
      <c r="J55" s="10"/>
      <c r="K55" s="10"/>
      <c r="L55" s="2"/>
      <c r="M55" s="2"/>
      <c r="N55" s="1"/>
      <c r="O55" s="1"/>
      <c r="P55" s="1"/>
      <c r="Q55" s="1"/>
      <c r="R55" s="1"/>
      <c r="S55" s="1"/>
      <c r="T55" s="2"/>
    </row>
    <row r="56" spans="2:20" ht="12.75" customHeight="1">
      <c r="B56" s="10"/>
      <c r="C56" s="10"/>
      <c r="D56" s="10" t="s">
        <v>140</v>
      </c>
      <c r="E56" s="15">
        <f>G18</f>
        <v>1902405</v>
      </c>
      <c r="F56" s="15"/>
      <c r="G56" s="16">
        <f>F18</f>
        <v>8.752333791778668</v>
      </c>
      <c r="H56" s="12">
        <f>E56*G56</f>
        <v>16650483.567148697</v>
      </c>
      <c r="I56" s="10"/>
      <c r="J56" s="10"/>
      <c r="K56" s="10"/>
      <c r="L56" s="2"/>
      <c r="M56" s="2"/>
      <c r="N56" s="1"/>
      <c r="O56" s="1"/>
      <c r="P56" s="1"/>
      <c r="Q56" s="1"/>
      <c r="R56" s="1"/>
      <c r="S56" s="1"/>
      <c r="T56" s="2"/>
    </row>
    <row r="57" spans="2:20" ht="12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1"/>
      <c r="O57" s="1"/>
      <c r="P57" s="1"/>
      <c r="Q57" s="1"/>
      <c r="R57" s="1"/>
      <c r="S57" s="1"/>
      <c r="T57" s="2"/>
    </row>
    <row r="58" spans="2:20" ht="12.75" customHeight="1">
      <c r="B58" s="10"/>
      <c r="C58" s="88" t="s">
        <v>300</v>
      </c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1"/>
      <c r="O58" s="1"/>
      <c r="P58" s="1"/>
      <c r="Q58" s="1"/>
      <c r="R58" s="1"/>
      <c r="S58" s="1"/>
      <c r="T58" s="2"/>
    </row>
    <row r="59" spans="2:20" ht="12.75" customHeight="1">
      <c r="B59" s="10"/>
      <c r="C59" s="10"/>
      <c r="D59" s="10"/>
      <c r="E59" s="10"/>
      <c r="F59" s="10"/>
      <c r="G59" s="10"/>
      <c r="H59" s="10"/>
      <c r="I59" s="50"/>
      <c r="J59" s="10"/>
      <c r="K59" s="10"/>
      <c r="L59" s="2"/>
      <c r="M59" s="2"/>
      <c r="N59" s="1"/>
      <c r="O59" s="1"/>
      <c r="P59" s="1"/>
      <c r="Q59" s="1"/>
      <c r="R59" s="1"/>
      <c r="S59" s="1"/>
      <c r="T59" s="2"/>
    </row>
    <row r="60" spans="2:20" ht="12.75" customHeight="1">
      <c r="B60" s="10"/>
      <c r="C60" s="88" t="s">
        <v>303</v>
      </c>
      <c r="D60" s="10"/>
      <c r="E60" s="12">
        <v>37965553</v>
      </c>
      <c r="F60" s="20"/>
      <c r="G60" s="10"/>
      <c r="H60" s="12"/>
      <c r="I60" s="51"/>
      <c r="J60" s="10"/>
      <c r="K60" s="10"/>
      <c r="L60" s="2"/>
      <c r="M60" s="2"/>
      <c r="N60" s="1"/>
      <c r="O60" s="1"/>
      <c r="P60" s="1"/>
      <c r="Q60" s="1"/>
      <c r="R60" s="1"/>
      <c r="S60" s="1"/>
      <c r="T60" s="2"/>
    </row>
    <row r="61" spans="2:20" ht="12.75" customHeight="1">
      <c r="B61" s="10"/>
      <c r="C61" s="10" t="s">
        <v>141</v>
      </c>
      <c r="D61" s="10"/>
      <c r="E61" s="145">
        <f>'1.6.2'!F19</f>
        <v>-422899</v>
      </c>
      <c r="F61" s="12"/>
      <c r="G61" s="10"/>
      <c r="H61" s="12"/>
      <c r="I61" s="10"/>
      <c r="J61" s="10"/>
      <c r="K61" s="10"/>
      <c r="L61" s="2"/>
      <c r="M61" s="2"/>
      <c r="N61" s="1"/>
      <c r="O61" s="1"/>
      <c r="P61" s="1"/>
      <c r="Q61" s="1"/>
      <c r="R61" s="1"/>
      <c r="S61" s="1"/>
      <c r="T61" s="2"/>
    </row>
    <row r="62" spans="2:20" ht="12.75" customHeight="1">
      <c r="B62" s="10"/>
      <c r="C62" s="88" t="s">
        <v>301</v>
      </c>
      <c r="D62" s="10"/>
      <c r="E62" s="12">
        <f>E60-E61</f>
        <v>38388452</v>
      </c>
      <c r="F62" s="19">
        <f>E25</f>
        <v>100772052</v>
      </c>
      <c r="G62" s="14" t="s">
        <v>142</v>
      </c>
      <c r="H62" s="52">
        <f>ROUND(+E62/F62,5)</f>
        <v>0.38094</v>
      </c>
      <c r="J62" s="10"/>
      <c r="K62" s="10"/>
      <c r="L62" s="45"/>
      <c r="M62" s="2"/>
      <c r="N62" s="1"/>
      <c r="O62" s="1"/>
      <c r="P62" s="1"/>
      <c r="Q62" s="1"/>
      <c r="R62" s="1"/>
      <c r="S62" s="1"/>
      <c r="T62" s="2"/>
    </row>
    <row r="63" spans="2:20" ht="10.5" customHeight="1">
      <c r="B63" s="2"/>
      <c r="C63" s="2"/>
      <c r="D63" s="2"/>
      <c r="E63" s="6"/>
      <c r="F63" s="6"/>
      <c r="G63" s="2"/>
      <c r="H63" s="7"/>
      <c r="I63" s="53"/>
      <c r="J63" s="2"/>
      <c r="K63" s="2"/>
      <c r="L63" s="45"/>
      <c r="M63" s="2"/>
      <c r="N63" s="1"/>
      <c r="O63" s="1"/>
      <c r="P63" s="1"/>
      <c r="Q63" s="1"/>
      <c r="R63" s="1"/>
      <c r="S63" s="1"/>
      <c r="T63" s="2"/>
    </row>
    <row r="64" spans="2:20" ht="10.5" customHeight="1">
      <c r="B64" s="2"/>
      <c r="C64" s="2"/>
      <c r="D64" s="2"/>
      <c r="E64" s="2"/>
      <c r="F64" s="2"/>
      <c r="G64" s="6"/>
      <c r="H64" s="2"/>
      <c r="I64" s="54"/>
      <c r="J64" s="1"/>
      <c r="K64" s="2"/>
      <c r="L64" s="45"/>
      <c r="M64" s="2"/>
      <c r="N64" s="1"/>
      <c r="O64" s="1"/>
      <c r="P64" s="1"/>
      <c r="Q64" s="1"/>
      <c r="R64" s="1"/>
      <c r="S64" s="1"/>
      <c r="T64" s="2"/>
    </row>
    <row r="65" spans="2:20" ht="10.5" customHeight="1">
      <c r="B65" s="2"/>
      <c r="C65" s="2"/>
      <c r="D65" s="2"/>
      <c r="E65" s="2"/>
      <c r="F65" s="2"/>
      <c r="G65" s="6"/>
      <c r="H65" s="2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  <c r="T65" s="2"/>
    </row>
    <row r="66" spans="2:20" ht="10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  <c r="T66" s="2"/>
    </row>
    <row r="67" spans="2:20" ht="10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  <c r="T67" s="2"/>
    </row>
    <row r="68" spans="2:20" ht="10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  <c r="T68" s="2"/>
    </row>
    <row r="69" spans="2:20" ht="10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  <c r="T69" s="2"/>
    </row>
    <row r="70" spans="2:20" ht="10.5" customHeight="1">
      <c r="B70" s="2"/>
      <c r="C70" s="2"/>
      <c r="D70" s="85" t="s">
        <v>143</v>
      </c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  <c r="Q70" s="1"/>
      <c r="R70" s="1"/>
      <c r="S70" s="1"/>
      <c r="T70" s="2"/>
    </row>
    <row r="71" spans="2:20" ht="10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2"/>
      <c r="S71" s="2"/>
      <c r="T71" s="2"/>
    </row>
    <row r="72" spans="2:20" ht="10.5" customHeight="1">
      <c r="B72" s="2"/>
      <c r="C72" s="41" t="s">
        <v>144</v>
      </c>
      <c r="D72" s="41" t="s">
        <v>145</v>
      </c>
      <c r="E72" s="1"/>
      <c r="F72" s="1"/>
      <c r="G72" s="1"/>
      <c r="H72" s="2"/>
      <c r="I72" s="2"/>
      <c r="J72" s="2"/>
      <c r="K72" s="2"/>
      <c r="L72" s="1"/>
      <c r="M72" s="1"/>
      <c r="N72" s="1"/>
      <c r="O72" s="1"/>
      <c r="P72" s="1"/>
      <c r="Q72" s="1"/>
      <c r="R72" s="2"/>
      <c r="S72" s="2"/>
      <c r="T72" s="2"/>
    </row>
    <row r="73" spans="2:20" ht="10.5" customHeight="1">
      <c r="B73" s="2"/>
      <c r="C73" s="53" t="s">
        <v>146</v>
      </c>
      <c r="D73" s="53" t="s">
        <v>147</v>
      </c>
      <c r="E73" s="86" t="s">
        <v>148</v>
      </c>
      <c r="F73" s="55"/>
      <c r="G73" s="1"/>
      <c r="H73" s="2"/>
      <c r="I73" s="2"/>
      <c r="J73" s="2"/>
      <c r="K73" s="2"/>
      <c r="L73" s="1"/>
      <c r="M73" s="1"/>
      <c r="N73" s="1"/>
      <c r="O73" s="1"/>
      <c r="P73" s="1"/>
      <c r="Q73" s="1"/>
      <c r="R73" s="2"/>
      <c r="S73" s="2"/>
      <c r="T73" s="2"/>
    </row>
    <row r="74" spans="2:20" ht="10.5" customHeight="1">
      <c r="B74" s="2"/>
      <c r="C74" s="56"/>
      <c r="D74" s="6"/>
      <c r="E74" s="57"/>
      <c r="F74" s="1"/>
      <c r="G74" s="1"/>
      <c r="H74" s="2"/>
      <c r="I74" s="2"/>
      <c r="J74" s="2"/>
      <c r="K74" s="2"/>
      <c r="L74" s="1"/>
      <c r="M74" s="1"/>
      <c r="N74" s="1"/>
      <c r="O74" s="1"/>
      <c r="P74" s="1"/>
      <c r="Q74" s="1"/>
      <c r="R74" s="2"/>
      <c r="S74" s="2"/>
      <c r="T74" s="2"/>
    </row>
    <row r="75" spans="2:20" ht="10.5" customHeight="1">
      <c r="B75" s="2"/>
      <c r="C75" s="58"/>
      <c r="D75" s="6"/>
      <c r="E75" s="57"/>
      <c r="F75" s="1"/>
      <c r="G75" s="1"/>
      <c r="H75" s="2"/>
      <c r="I75" s="2"/>
      <c r="J75" s="2"/>
      <c r="K75" s="2"/>
      <c r="L75" s="1"/>
      <c r="M75" s="1"/>
      <c r="N75" s="1"/>
      <c r="O75" s="1"/>
      <c r="P75" s="1"/>
      <c r="Q75" s="1"/>
      <c r="R75" s="2"/>
      <c r="S75" s="2"/>
      <c r="T75" s="2"/>
    </row>
    <row r="76" spans="2:20" ht="10.5" customHeight="1">
      <c r="B76" s="2"/>
      <c r="C76" s="56">
        <v>-11225284</v>
      </c>
      <c r="D76" s="58">
        <v>-4001694</v>
      </c>
      <c r="E76" s="59">
        <f>E77-1</f>
        <v>1996</v>
      </c>
      <c r="F76" s="1"/>
      <c r="G76" s="1"/>
      <c r="H76" s="2"/>
      <c r="I76" s="2"/>
      <c r="J76" s="2"/>
      <c r="K76" s="2"/>
      <c r="L76" s="1"/>
      <c r="M76" s="1"/>
      <c r="N76" s="1"/>
      <c r="O76" s="1"/>
      <c r="P76" s="1"/>
      <c r="Q76" s="1"/>
      <c r="R76" s="2"/>
      <c r="S76" s="2"/>
      <c r="T76" s="2"/>
    </row>
    <row r="77" spans="2:20" ht="10.5" customHeight="1">
      <c r="B77" s="2"/>
      <c r="C77" s="56">
        <v>6392934</v>
      </c>
      <c r="D77" s="58">
        <f aca="true" t="shared" si="0" ref="D77:D85">D76+C77</f>
        <v>2391240</v>
      </c>
      <c r="E77" s="59">
        <f>E78-1</f>
        <v>1997</v>
      </c>
      <c r="F77" s="1"/>
      <c r="G77" s="1"/>
      <c r="H77" s="2"/>
      <c r="I77" s="2"/>
      <c r="J77" s="2"/>
      <c r="K77" s="2"/>
      <c r="L77" s="1"/>
      <c r="M77" s="1"/>
      <c r="N77" s="1"/>
      <c r="O77" s="1"/>
      <c r="P77" s="1"/>
      <c r="Q77" s="1"/>
      <c r="R77" s="2"/>
      <c r="S77" s="2"/>
      <c r="T77" s="2"/>
    </row>
    <row r="78" spans="2:20" ht="10.5" customHeight="1">
      <c r="B78" s="2"/>
      <c r="C78" s="56">
        <v>5741749</v>
      </c>
      <c r="D78" s="58">
        <f t="shared" si="0"/>
        <v>8132989</v>
      </c>
      <c r="E78" s="59">
        <f>E79-1</f>
        <v>1998</v>
      </c>
      <c r="F78" s="1"/>
      <c r="G78" s="1"/>
      <c r="H78" s="2"/>
      <c r="I78" s="2"/>
      <c r="J78" s="2"/>
      <c r="K78" s="2"/>
      <c r="L78" s="1"/>
      <c r="M78" s="1"/>
      <c r="N78" s="1"/>
      <c r="O78" s="1"/>
      <c r="P78" s="1"/>
      <c r="Q78" s="1"/>
      <c r="R78" s="2"/>
      <c r="S78" s="2"/>
      <c r="T78" s="2"/>
    </row>
    <row r="79" spans="2:20" ht="10.5" customHeight="1">
      <c r="B79" s="2"/>
      <c r="C79" s="58">
        <v>1305346</v>
      </c>
      <c r="D79" s="58">
        <f t="shared" si="0"/>
        <v>9438335</v>
      </c>
      <c r="E79" s="60">
        <v>1999</v>
      </c>
      <c r="F79" s="1"/>
      <c r="G79" s="1"/>
      <c r="H79" s="2"/>
      <c r="I79" s="2"/>
      <c r="J79" s="2"/>
      <c r="K79" s="2"/>
      <c r="L79" s="1"/>
      <c r="M79" s="1"/>
      <c r="N79" s="1"/>
      <c r="O79" s="1"/>
      <c r="P79" s="1"/>
      <c r="Q79" s="1"/>
      <c r="R79" s="2"/>
      <c r="S79" s="2"/>
      <c r="T79" s="2"/>
    </row>
    <row r="80" spans="2:20" ht="10.5" customHeight="1">
      <c r="B80" s="2"/>
      <c r="C80" s="58">
        <v>-710856</v>
      </c>
      <c r="D80" s="58">
        <f t="shared" si="0"/>
        <v>8727479</v>
      </c>
      <c r="E80" s="41">
        <f aca="true" t="shared" si="1" ref="E80:E85">E79+1</f>
        <v>2000</v>
      </c>
      <c r="F80" s="2"/>
      <c r="G80" s="1"/>
      <c r="H80" s="2"/>
      <c r="I80" s="2"/>
      <c r="J80" s="2"/>
      <c r="K80" s="2"/>
      <c r="L80" s="1"/>
      <c r="M80" s="1"/>
      <c r="N80" s="1"/>
      <c r="O80" s="1"/>
      <c r="P80" s="1"/>
      <c r="Q80" s="1"/>
      <c r="R80" s="2"/>
      <c r="S80" s="2"/>
      <c r="T80" s="2"/>
    </row>
    <row r="81" spans="2:20" ht="10.5" customHeight="1">
      <c r="B81" s="2"/>
      <c r="C81" s="58">
        <v>-7210807</v>
      </c>
      <c r="D81" s="58">
        <f t="shared" si="0"/>
        <v>1516672</v>
      </c>
      <c r="E81" s="41">
        <f t="shared" si="1"/>
        <v>2001</v>
      </c>
      <c r="F81" s="1"/>
      <c r="G81" s="6"/>
      <c r="H81" s="2"/>
      <c r="I81" s="2"/>
      <c r="J81" s="2"/>
      <c r="K81" s="2"/>
      <c r="L81" s="1"/>
      <c r="M81" s="1"/>
      <c r="N81" s="1"/>
      <c r="O81" s="1"/>
      <c r="P81" s="1"/>
      <c r="Q81" s="1"/>
      <c r="R81" s="2"/>
      <c r="S81" s="2"/>
      <c r="T81" s="2"/>
    </row>
    <row r="82" spans="2:20" ht="10.5" customHeight="1">
      <c r="B82" s="2"/>
      <c r="C82" s="56">
        <v>-6990442</v>
      </c>
      <c r="D82" s="58">
        <f t="shared" si="0"/>
        <v>-5473770</v>
      </c>
      <c r="E82" s="41">
        <f t="shared" si="1"/>
        <v>2002</v>
      </c>
      <c r="F82" s="1"/>
      <c r="G82" s="57"/>
      <c r="H82" s="2"/>
      <c r="I82" s="2"/>
      <c r="J82" s="2"/>
      <c r="K82" s="2"/>
      <c r="L82" s="1"/>
      <c r="M82" s="1"/>
      <c r="N82" s="1"/>
      <c r="O82" s="1"/>
      <c r="P82" s="1"/>
      <c r="Q82" s="1"/>
      <c r="R82" s="2"/>
      <c r="S82" s="2"/>
      <c r="T82" s="2"/>
    </row>
    <row r="83" spans="2:20" ht="10.5" customHeight="1">
      <c r="B83" s="2"/>
      <c r="C83" s="56">
        <v>7135637</v>
      </c>
      <c r="D83" s="58">
        <f t="shared" si="0"/>
        <v>1661867</v>
      </c>
      <c r="E83" s="41">
        <f t="shared" si="1"/>
        <v>2003</v>
      </c>
      <c r="F83" s="1"/>
      <c r="G83" s="1"/>
      <c r="H83" s="2"/>
      <c r="I83" s="2"/>
      <c r="J83" s="2"/>
      <c r="K83" s="2"/>
      <c r="L83" s="1"/>
      <c r="M83" s="1"/>
      <c r="N83" s="1"/>
      <c r="O83" s="1"/>
      <c r="P83" s="1"/>
      <c r="Q83" s="1"/>
      <c r="R83" s="2"/>
      <c r="S83" s="2"/>
      <c r="T83" s="2"/>
    </row>
    <row r="84" spans="2:20" ht="10.5" customHeight="1">
      <c r="B84" s="2"/>
      <c r="C84" s="58">
        <v>490403</v>
      </c>
      <c r="D84" s="58">
        <f t="shared" si="0"/>
        <v>2152270</v>
      </c>
      <c r="E84" s="41">
        <f t="shared" si="1"/>
        <v>2004</v>
      </c>
      <c r="F84" s="1"/>
      <c r="G84" s="1"/>
      <c r="H84" s="2"/>
      <c r="I84" s="2"/>
      <c r="J84" s="2"/>
      <c r="K84" s="2"/>
      <c r="L84" s="1"/>
      <c r="M84" s="1"/>
      <c r="N84" s="1"/>
      <c r="O84" s="1"/>
      <c r="P84" s="1"/>
      <c r="Q84" s="1"/>
      <c r="R84" s="2"/>
      <c r="S84" s="2"/>
      <c r="T84" s="2"/>
    </row>
    <row r="85" spans="2:20" ht="10.5" customHeight="1">
      <c r="B85" s="2"/>
      <c r="C85" s="58">
        <v>-2575169</v>
      </c>
      <c r="D85" s="58">
        <f t="shared" si="0"/>
        <v>-422899</v>
      </c>
      <c r="E85" s="41">
        <f t="shared" si="1"/>
        <v>2005</v>
      </c>
      <c r="F85" s="1"/>
      <c r="G85" s="1"/>
      <c r="H85" s="2"/>
      <c r="I85" s="2"/>
      <c r="J85" s="2"/>
      <c r="K85" s="2"/>
      <c r="L85" s="1"/>
      <c r="M85" s="1"/>
      <c r="N85" s="1"/>
      <c r="O85" s="1"/>
      <c r="P85" s="1"/>
      <c r="Q85" s="1"/>
      <c r="R85" s="2"/>
      <c r="S85" s="2"/>
      <c r="T85" s="2"/>
    </row>
    <row r="86" spans="2:20" ht="10.5" customHeight="1">
      <c r="B86" s="2"/>
      <c r="C86" s="1"/>
      <c r="D86" s="1"/>
      <c r="E86" s="1"/>
      <c r="F86" s="1"/>
      <c r="G86" s="1"/>
      <c r="H86" s="2"/>
      <c r="I86" s="2"/>
      <c r="J86" s="2"/>
      <c r="K86" s="2"/>
      <c r="L86" s="1"/>
      <c r="M86" s="1"/>
      <c r="N86" s="1"/>
      <c r="O86" s="1"/>
      <c r="P86" s="1"/>
      <c r="Q86" s="1"/>
      <c r="R86" s="2"/>
      <c r="S86" s="2"/>
      <c r="T86" s="2"/>
    </row>
    <row r="87" spans="2:20" ht="10.5" customHeight="1">
      <c r="B87" s="2"/>
      <c r="C87" s="1"/>
      <c r="D87" s="1"/>
      <c r="E87" s="1"/>
      <c r="F87" s="1"/>
      <c r="G87" s="1"/>
      <c r="H87" s="2"/>
      <c r="I87" s="2"/>
      <c r="J87" s="2"/>
      <c r="K87" s="2"/>
      <c r="L87" s="1"/>
      <c r="M87" s="1"/>
      <c r="N87" s="1"/>
      <c r="O87" s="1"/>
      <c r="P87" s="1"/>
      <c r="Q87" s="1"/>
      <c r="R87" s="2"/>
      <c r="S87" s="2"/>
      <c r="T87" s="2"/>
    </row>
    <row r="88" spans="2:20" ht="10.5" customHeight="1">
      <c r="B88" s="2"/>
      <c r="C88" s="1"/>
      <c r="D88" s="1"/>
      <c r="E88" s="1"/>
      <c r="F88" s="1"/>
      <c r="G88" s="1"/>
      <c r="H88" s="2"/>
      <c r="I88" s="2"/>
      <c r="J88" s="2"/>
      <c r="K88" s="2"/>
      <c r="L88" s="1"/>
      <c r="M88" s="1"/>
      <c r="N88" s="1"/>
      <c r="O88" s="1"/>
      <c r="P88" s="1"/>
      <c r="Q88" s="1"/>
      <c r="R88" s="2"/>
      <c r="S88" s="2"/>
      <c r="T88" s="2"/>
    </row>
    <row r="89" spans="2:20" ht="10.5" customHeight="1">
      <c r="B89" s="2"/>
      <c r="C89" s="1"/>
      <c r="D89" s="1"/>
      <c r="E89" s="1"/>
      <c r="F89" s="1"/>
      <c r="G89" s="1"/>
      <c r="H89" s="2"/>
      <c r="I89" s="2"/>
      <c r="J89" s="2"/>
      <c r="K89" s="2"/>
      <c r="L89" s="1"/>
      <c r="M89" s="1"/>
      <c r="N89" s="1"/>
      <c r="O89" s="1"/>
      <c r="P89" s="1"/>
      <c r="Q89" s="1"/>
      <c r="R89" s="2"/>
      <c r="S89" s="2"/>
      <c r="T89" s="2"/>
    </row>
    <row r="90" spans="2:20" ht="10.5" customHeight="1">
      <c r="B90" s="2"/>
      <c r="C90" s="1"/>
      <c r="D90" s="1"/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0.5" customHeight="1">
      <c r="B91" s="2"/>
      <c r="C91" s="1"/>
      <c r="D91" s="1"/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0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0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0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0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0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</sheetData>
  <printOptions/>
  <pageMargins left="0.94" right="0.54" top="0.6" bottom="0.2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drg4708</dc:creator>
  <cp:keywords/>
  <dc:description/>
  <cp:lastModifiedBy>lm</cp:lastModifiedBy>
  <cp:lastPrinted>2006-01-27T17:02:30Z</cp:lastPrinted>
  <dcterms:created xsi:type="dcterms:W3CDTF">2004-10-18T22:12:08Z</dcterms:created>
  <dcterms:modified xsi:type="dcterms:W3CDTF">2006-01-27T22:36:35Z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800971298</vt:i4>
  </property>
  <property fmtid="{D5CDD505-2E9C-101B-9397-08002B2CF9AE}" pid="3" name="_EmailSubject">
    <vt:lpwstr>Questar Gas Company Amended Pass Through Filing in Docket 06-057-01</vt:lpwstr>
  </property>
  <property fmtid="{D5CDD505-2E9C-101B-9397-08002B2CF9AE}" pid="4" name="_AuthorEmail">
    <vt:lpwstr>Evelyn.Zimmerman@questar.com</vt:lpwstr>
  </property>
  <property fmtid="{D5CDD505-2E9C-101B-9397-08002B2CF9AE}" pid="5" name="_AuthorEmailDisplayName">
    <vt:lpwstr>Evelyn Zimmerman</vt:lpwstr>
  </property>
</Properties>
</file>