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9120" tabRatio="853" activeTab="0"/>
  </bookViews>
  <sheets>
    <sheet name="2008 Budget (2007 comparison)" sheetId="1" r:id="rId1"/>
    <sheet name="2008 Budget Notes" sheetId="2" r:id="rId2"/>
    <sheet name="2008 Budget Input Detail" sheetId="3" r:id="rId3"/>
    <sheet name="2007 Budget Summary" sheetId="4" r:id="rId4"/>
  </sheets>
  <definedNames>
    <definedName name="_xlnm.Print_Area" localSheetId="0">'2008 Budget (2007 comparison)'!$A$1:$AJ$31</definedName>
    <definedName name="_xlnm.Print_Titles" localSheetId="0">'2008 Budget (2007 comparison)'!$B:$C,'2008 Budget (2007 comparison)'!$1:$4</definedName>
    <definedName name="_xlnm.Print_Titles" localSheetId="2">'2008 Budget Input Detail'!$B:$C,'2008 Budget Input Detail'!$5:$6</definedName>
  </definedNames>
  <calcPr fullCalcOnLoad="1"/>
</workbook>
</file>

<file path=xl/sharedStrings.xml><?xml version="1.0" encoding="utf-8"?>
<sst xmlns="http://schemas.openxmlformats.org/spreadsheetml/2006/main" count="598" uniqueCount="278">
  <si>
    <t>Category</t>
  </si>
  <si>
    <t>Contractor Administration</t>
  </si>
  <si>
    <t>QGC Audit Services</t>
  </si>
  <si>
    <t>Market Transformation</t>
  </si>
  <si>
    <t>Total</t>
  </si>
  <si>
    <t>TOTAL</t>
  </si>
  <si>
    <t>Projected Participants</t>
  </si>
  <si>
    <t>/1</t>
  </si>
  <si>
    <t>Incentives (Rebates)</t>
  </si>
  <si>
    <t>/2</t>
  </si>
  <si>
    <t>yrs</t>
  </si>
  <si>
    <t>Low Income Weatherization</t>
  </si>
  <si>
    <t>/6</t>
  </si>
  <si>
    <t>Special State Program Funding</t>
  </si>
  <si>
    <t>Residential Appliances</t>
  </si>
  <si>
    <t>Commercial Equipment</t>
  </si>
  <si>
    <t>/1a</t>
  </si>
  <si>
    <t>/3</t>
  </si>
  <si>
    <t>/1b</t>
  </si>
  <si>
    <t>/1c</t>
  </si>
  <si>
    <t>Efficiency Measures Incentives</t>
  </si>
  <si>
    <t>/4</t>
  </si>
  <si>
    <t>/7</t>
  </si>
  <si>
    <t>QGC Management &amp; Admin.</t>
  </si>
  <si>
    <t>Contractor Ongoing Marketing</t>
  </si>
  <si>
    <t>/8</t>
  </si>
  <si>
    <t>/5</t>
  </si>
  <si>
    <t>/9</t>
  </si>
  <si>
    <t>QGC Program Development</t>
  </si>
  <si>
    <t>QGC Development Marketing</t>
  </si>
  <si>
    <t>Contractor Development Marketing</t>
  </si>
  <si>
    <t>Contractor Program Development</t>
  </si>
  <si>
    <t>Process &amp; Impact Evaluation</t>
  </si>
  <si>
    <t>Advertising / Creative Development</t>
  </si>
  <si>
    <t>Public Relations</t>
  </si>
  <si>
    <t>Online Search Advertising</t>
  </si>
  <si>
    <t>Media Purchases</t>
  </si>
  <si>
    <t>/7a</t>
  </si>
  <si>
    <t>/7b</t>
  </si>
  <si>
    <t>/7c</t>
  </si>
  <si>
    <t>% of Total</t>
  </si>
  <si>
    <t>Evaluation</t>
  </si>
  <si>
    <t>Simple Payback</t>
  </si>
  <si>
    <t>/2a</t>
  </si>
  <si>
    <t>Percent of Total Budget</t>
  </si>
  <si>
    <t xml:space="preserve">Design </t>
  </si>
  <si>
    <t>A</t>
  </si>
  <si>
    <t>B</t>
  </si>
  <si>
    <t>C</t>
  </si>
  <si>
    <t>D</t>
  </si>
  <si>
    <t>F</t>
  </si>
  <si>
    <t>E</t>
  </si>
  <si>
    <t>G</t>
  </si>
  <si>
    <t>H</t>
  </si>
  <si>
    <t>I</t>
  </si>
  <si>
    <t>Nexant program design and participation projections including foAudits technology and mail-in rebates (1,695 on-site audits, 1,695 mail-in audits and 501 weatherization rebate participants)</t>
  </si>
  <si>
    <t>Funding for State of Utah Low Income Weatherization Assistance Program</t>
  </si>
  <si>
    <t>Funding for State Energy Program Building Code Training</t>
  </si>
  <si>
    <t>New Home Construction</t>
  </si>
  <si>
    <t>Program Management plus 300 hours @ $58/hr., including 65% overhead, for analysis, reconciliations, cost effectiveness, etc.</t>
  </si>
  <si>
    <t>200 hours @ $67/hr, including 65% overhead, for program marketing material development</t>
  </si>
  <si>
    <t>Based on current market rates with 3rd-party service providers</t>
  </si>
  <si>
    <t>Questar Gas Company</t>
  </si>
  <si>
    <t>Docket No. 05-057-T01</t>
  </si>
  <si>
    <t>Included measures for participating audit customers, inlcude: Water Heater Blanket ($14 * 734), Low Flow Shower Head ($6.20 * 1,102), Faucet Aerator ($3.00 * 2,204) and Pipe Insulation ($4.00 * 1,763)</t>
  </si>
  <si>
    <t>Residential Audit</t>
  </si>
  <si>
    <t>QGC DSM Exhibit 1.9</t>
  </si>
  <si>
    <t>PECI Program Design and Participation Projections per contract</t>
  </si>
  <si>
    <t>One FTE Builder Marketing Reps</t>
  </si>
  <si>
    <t>Nexant Program Design and Participation Projections per contract</t>
  </si>
  <si>
    <t>Richter7 Marketing Development and Advertising and Analysis and Campaign Research / Evaluation Proposal</t>
  </si>
  <si>
    <t>100 hours/month @ $75/hr, including 65% overhead, for DSM marketing development and $20,000 for marketing material production and supplies</t>
  </si>
  <si>
    <t>QGC DSM Programs - First Year Budget</t>
  </si>
  <si>
    <t>QGC Field Representatives</t>
  </si>
  <si>
    <t>Projected Annual Net Dth Savings</t>
  </si>
  <si>
    <t>Projected 1st Yr Net Avoided Cost</t>
  </si>
  <si>
    <t>Projected total rebate participation: Weatherization = 501, Audit = 339; trade-ally management costs ($32,500); and admin. for mail-in audits ($45*1,695 =$76,275)</t>
  </si>
  <si>
    <t xml:space="preserve">QGC Audit Techs performing 1,695 audits (3 hours per audit), including vehicle and equipment costs = $75 / hr., plus full-time coordinator @ $67/hr, including 65% overhead.  Costs have been reduced by </t>
  </si>
  <si>
    <t>20% to reflect non-DSM related costs.</t>
  </si>
  <si>
    <t>20 hours/month @ $67/hr, including 65% overhead, for program marketing and 20 hours/month @ $67/hr, including 65% overhead for sales / promotions</t>
  </si>
  <si>
    <t>Design</t>
  </si>
  <si>
    <t>QGC Labor</t>
  </si>
  <si>
    <t>Travel</t>
  </si>
  <si>
    <t>Consultant / Contracted Services</t>
  </si>
  <si>
    <t>Meals-Overnight</t>
  </si>
  <si>
    <t>Meals-Overtime</t>
  </si>
  <si>
    <t>Computer Hardware</t>
  </si>
  <si>
    <t>Advertising</t>
  </si>
  <si>
    <t>Supplies &amp; Equipment</t>
  </si>
  <si>
    <t>Dues, Publications, Subscriptions</t>
  </si>
  <si>
    <t>Warehouse Supplies &amp; Equipment</t>
  </si>
  <si>
    <t>Postage and Express</t>
  </si>
  <si>
    <t>Implementation</t>
  </si>
  <si>
    <t>Management, support, research</t>
  </si>
  <si>
    <t>Training, contractor meetings</t>
  </si>
  <si>
    <t>Contract mailings</t>
  </si>
  <si>
    <t>Contractor meetings</t>
  </si>
  <si>
    <t>Energy Efficiency measures</t>
  </si>
  <si>
    <t>Miscellaneous</t>
  </si>
  <si>
    <t>CEE, AESP</t>
  </si>
  <si>
    <t>Home Energy Audits</t>
  </si>
  <si>
    <t>Auditor Vehicles</t>
  </si>
  <si>
    <t>Administration</t>
  </si>
  <si>
    <t>Training, contractor meetings, associations</t>
  </si>
  <si>
    <t>Management, support, development, delivery, field reps, Auditors, Mail-in</t>
  </si>
  <si>
    <t>Contractor work - evaluations</t>
  </si>
  <si>
    <t>New Employee(s)</t>
  </si>
  <si>
    <t>Miscellaneous, QGC marketing, New Employee(s)</t>
  </si>
  <si>
    <t>Management, support,</t>
  </si>
  <si>
    <t>Management, support, measurement, verification, reporting</t>
  </si>
  <si>
    <t>ThermWise Appliance Rebates</t>
  </si>
  <si>
    <t>ThermWise Builder Rebates</t>
  </si>
  <si>
    <t>ThermWise Home Energy Audits</t>
  </si>
  <si>
    <t>ThermWise Business Rebates</t>
  </si>
  <si>
    <t>ThermWise Multi-Family Rebates</t>
  </si>
  <si>
    <t>ThermWise Business Custom Rebates</t>
  </si>
  <si>
    <t>ThermWise Business Design Assistance</t>
  </si>
  <si>
    <t>ThermWise Business Recommission</t>
  </si>
  <si>
    <t>Contractor work, rebate processing, contractor administration</t>
  </si>
  <si>
    <t>Miscellaneous, QGC marketing &amp; development</t>
  </si>
  <si>
    <t>Management, support, administration</t>
  </si>
  <si>
    <t>R7 - Creative, Media, Bill Inserts, Sponsorships, Public Relations</t>
  </si>
  <si>
    <t>Contractor work, contractor development &amp; marketing, Low Income Funding, Codes Funding, Incentives</t>
  </si>
  <si>
    <t>Resource Code and Description</t>
  </si>
  <si>
    <t>Portfolio Work</t>
  </si>
  <si>
    <t>2007 - 2008 Variance</t>
  </si>
  <si>
    <t>Variance Description</t>
  </si>
  <si>
    <t>Work Description</t>
  </si>
  <si>
    <t>Questar Gas Project Code</t>
  </si>
  <si>
    <t>n/a</t>
  </si>
  <si>
    <t>Evaluation Total</t>
  </si>
  <si>
    <t>Design Total</t>
  </si>
  <si>
    <t>Implementation Total</t>
  </si>
  <si>
    <t>Administration Total</t>
  </si>
  <si>
    <t>2007 Approved Budget</t>
  </si>
  <si>
    <t>FO Maintenance $3k, Nexant $2.5k</t>
  </si>
  <si>
    <t>QGC Labor at 55%</t>
  </si>
  <si>
    <t>Design team meeting</t>
  </si>
  <si>
    <t>Auditor tools</t>
  </si>
  <si>
    <t>Targeted direct mail advertising</t>
  </si>
  <si>
    <t>Equipment listing subscriptions / books</t>
  </si>
  <si>
    <t>10k 1st class, 2.5k @ $4 ea.</t>
  </si>
  <si>
    <t>5 hrs / mo. @ $40 / hr.</t>
  </si>
  <si>
    <t>5 vehicles</t>
  </si>
  <si>
    <t>2007 EE measures plus 5% cost</t>
  </si>
  <si>
    <t>ThermWise Weatherization Rebates</t>
  </si>
  <si>
    <t>Nexant program revision design work</t>
  </si>
  <si>
    <t>10 hrs / mo. @ $40 / hr.</t>
  </si>
  <si>
    <t>Marketing collateral</t>
  </si>
  <si>
    <t>PDA's (3)</t>
  </si>
  <si>
    <t>Design &amp; IT modifcations 50 hrs @ $40/hr.</t>
  </si>
  <si>
    <t>2k rebates @ $19 process &amp; $250 avg incentive</t>
  </si>
  <si>
    <t>Design &amp; modifcations 50 hrs @ $40/hr.</t>
  </si>
  <si>
    <t>Design &amp; modifcations 100 hrs @ $40/hr.</t>
  </si>
  <si>
    <t>Advertsing supplies and props</t>
  </si>
  <si>
    <t>Media purchases</t>
  </si>
  <si>
    <t>QGC management / support 200 @ $40/hr.</t>
  </si>
  <si>
    <t>Creative development &amp; Codes Training</t>
  </si>
  <si>
    <t>QGC management / support 120 @ $40/hr.</t>
  </si>
  <si>
    <t>PECI program revision design work</t>
  </si>
  <si>
    <t>Marketing collateral &amp; direct advertising</t>
  </si>
  <si>
    <t>$750k rebates, rebate admin.,  prog. Mgt. $100k</t>
  </si>
  <si>
    <t>20hrs / mo. @ $40 / hr.</t>
  </si>
  <si>
    <t>120 hrs @ $40 / hr. - field work and mgt.</t>
  </si>
  <si>
    <t>$1.2 mil. rebates, $250k rebate admin.</t>
  </si>
  <si>
    <t>5hrs / mo. @ $40 / hr.</t>
  </si>
  <si>
    <t>1k rebates @ $24 process &amp; $160 avg incentive</t>
  </si>
  <si>
    <t>Low Income Weatherization 2008</t>
  </si>
  <si>
    <t>% of Total 2008</t>
  </si>
  <si>
    <t>Resource Code Totals</t>
  </si>
  <si>
    <t>Transportation Equipment</t>
  </si>
  <si>
    <t>$150k engineering and admin. &amp; $30k field marketing</t>
  </si>
  <si>
    <t>Design 100 hrs @ $40/hr.</t>
  </si>
  <si>
    <t>Nexant program design work</t>
  </si>
  <si>
    <t>240 hrs / mo. @ $40 / hr.</t>
  </si>
  <si>
    <t>Direct publications advertising &amp; trade shows</t>
  </si>
  <si>
    <t>$150k engineering, rebate admin., $30k marketing &amp; $50 incentives</t>
  </si>
  <si>
    <t>Percentage</t>
  </si>
  <si>
    <t>$166k engineering, rebate admin., $30k marketing &amp; $10 incentives</t>
  </si>
  <si>
    <t>$175k engineering, rebate admin., $30k marketing &amp; $98 incentives</t>
  </si>
  <si>
    <t>Total All Programs 2008</t>
  </si>
  <si>
    <t>Residential Audit (combined w/ Wx - 2007)</t>
  </si>
  <si>
    <t>250 hrs @ $40 / hr. - field work and mgt.</t>
  </si>
  <si>
    <t>2007 New Home Construction</t>
  </si>
  <si>
    <t>2007 Residential Appliances</t>
  </si>
  <si>
    <t>2007 Commercial Equipment</t>
  </si>
  <si>
    <t>2007 Low Income Weatherization</t>
  </si>
  <si>
    <t>2007 Total</t>
  </si>
  <si>
    <t>2008 Total</t>
  </si>
  <si>
    <t>QGC Implementation Labor costs determined by avg. actual In-home Auditor and Supervisor Labor costs (Mar-Jul 2007) annualized plus peak month Mail-in labor costs annualized.
2008 expected combined audits to be 106% of 2007.  To date in 2007 monthly In-home audit avg. is 142 vs. 141 projected and mail-in is 56 / mo. vs. 141 projected.  However, participation through a Winter heating season has not yet happened to be able to measure true customer participation on an annual basis.
For 2008 there are no budgeted design costs and Evaluation Costs are projected to be 4x's the 2007 level in anticipation of possible regulatory requirements for evaluations in 2008 (QGC estimates reasonable evaluation costs of $25k).</t>
  </si>
  <si>
    <t>QGC Labor Overhead (70%)</t>
  </si>
  <si>
    <t>J</t>
  </si>
  <si>
    <t>K</t>
  </si>
  <si>
    <t>L</t>
  </si>
  <si>
    <t>M</t>
  </si>
  <si>
    <t>N</t>
  </si>
  <si>
    <t>O</t>
  </si>
  <si>
    <t>P</t>
  </si>
  <si>
    <t>Q</t>
  </si>
  <si>
    <t>R</t>
  </si>
  <si>
    <t>S</t>
  </si>
  <si>
    <t>T</t>
  </si>
  <si>
    <t>V</t>
  </si>
  <si>
    <t>W</t>
  </si>
  <si>
    <t>X</t>
  </si>
  <si>
    <t>Y</t>
  </si>
  <si>
    <t>Z</t>
  </si>
  <si>
    <t>QGC Management includes, labor and labor overhead for in-direct labor, travel, travel meals, supplies, materials and postage. 
Program participation estimated to increase from 2007 projected levels.  2008 estimates based on 3500 &amp; 7500 ENERGY STAR washer rebates for tiers 1 &amp; 2 respecitively, 2000 clothes dryer rebates, 200 water heater rebates, 225 tankles water heater rebates, 2700 90+ furnance rebates, 1000 residential boiler rebates and 200 ventless heater rebates.
Evaluation Costs are projected to be more than 3x's the 2007 level in anticipation of possible regulatory requirements for evaluations in 2008.</t>
  </si>
  <si>
    <t>QGC Management includes, labor and labor overhead for both in-direct labor and direct labor for a Program Manger, as well as estimates for travel, travel meals, supplies, materials and postage. 
Program participation estimated to decrease from 2007 projected levels.  2008 estimates based on 1400 ENERGY STAR homes rebates, 50 water heater rebates, 150 tankles water heater rebates, 1500 90+ furnance rebates and 200 residential boiler rebates.
Evaluation Costs are projected to be more than 3x's the 2007 level in anticipation of possible regulatory requirements for evaluations in 2008.</t>
  </si>
  <si>
    <t>Repeat funding for 2008.
No evaluation costs have been budgeted for funding of the LIWAP.</t>
  </si>
  <si>
    <t>Total QGC Management Labor for New Programs = 1.15 FTE (2400 hours).</t>
  </si>
  <si>
    <t>Newly Proposed Program for 2008.
Projected participants equal to 750 units ($800 per rebate) in existing multi-family dwellings, 100 units ($750 per rebate) in new multi-family construction @ savings of 18 Dth / unit.</t>
  </si>
  <si>
    <t>ThermWise Business Recommis-sioning</t>
  </si>
  <si>
    <t>QGC Management includes, labor and labor overhead estimates, travel, travel meals, supplies, materials and postage. 
Program participation estimated to increase from 2007 projected levels.  2008 estimates based on Nexant projections included in program design document.
Evaluation Costs are projected to be 4x's the 2007 level in anticipation of possible regulatory requirements for evaluations in 2008 (QGC estimates reasonable evaluation costs of $25k).</t>
  </si>
  <si>
    <t>QGC Management includes, labor and labor overhead estimates, travel, travel meals, supplies, materials and postage. 
Advertising for 2008 will be very similar to 2007 with some new production and increased television media, possibly extending television media year round (every 2 weeks) and decreased print media. 
Codes Training expected to repeat for 2008 with more emphasis on specifics on energy codes in residential construction.  
$30,000 has been budget for CEE, AESP and other energy efficiency assocation dues, fees and project participation to advance energy efficiency and programs.
Evaluation Costs are projected to be the same as the 2007 level.
Total QGC Management Labor for All Current Programs = 1.5 FTE (3108 hours).</t>
  </si>
  <si>
    <t>QGC Management includes, labor and labor overhead estimates, travel, travel meals, supplies, materials and postage. 
Program participation estimated to increase from 2007 projected levels.  2008 estimates based on Nexant estimates in program design document and include increase in implementation adn ongoing marketing.
Evaluation Costs are projected to be more than 2x's the 2007 level in anticipation of possible regulatory requirements for evaluations in 2008.</t>
  </si>
  <si>
    <t>Design costs include 2008 &amp; 2009 ($5k ea.)  programs</t>
  </si>
  <si>
    <t>Newly Proposed Program for 2008.
Projected participants equal to 50 in GS Commercial / Industial @ savings of 120 Dth / project / year.</t>
  </si>
  <si>
    <t>ThermWise Home Energy Audit 2008</t>
  </si>
  <si>
    <t>ThermWise Weatherization Rebates 2008</t>
  </si>
  <si>
    <t>ThermWise Builder Rebates 2008</t>
  </si>
  <si>
    <t>ThermWise Appliances Rebates 2008</t>
  </si>
  <si>
    <t>ThermWise Business Rebates 2008</t>
  </si>
  <si>
    <t>2008/2007 Budget $ / % Increase (Decrease)</t>
  </si>
  <si>
    <t>2008/2007 Dth Savings Increase (Decrease)</t>
  </si>
  <si>
    <t>2008 / 2007
Difference 
 Dollars ($)       %</t>
  </si>
  <si>
    <t>ThermWise Multi-Family Rebates 2008</t>
  </si>
  <si>
    <t>ThermWise Business Custom Rebates 2008</t>
  </si>
  <si>
    <t>New 2008 Programs</t>
  </si>
  <si>
    <t>Total 2008 Programs</t>
  </si>
  <si>
    <t>Current Programs</t>
  </si>
  <si>
    <t>Weatherization (included in Audit - 2007)</t>
  </si>
  <si>
    <t>2007 Market Transformation</t>
  </si>
  <si>
    <t>Market Transformation 2008</t>
  </si>
  <si>
    <t>% of Total 2007</t>
  </si>
  <si>
    <t>2008 Budget Notes</t>
  </si>
  <si>
    <t>/10</t>
  </si>
  <si>
    <t>/11</t>
  </si>
  <si>
    <t>/12</t>
  </si>
  <si>
    <t>/13</t>
  </si>
  <si>
    <t>/14</t>
  </si>
  <si>
    <t>/16</t>
  </si>
  <si>
    <t>/17</t>
  </si>
  <si>
    <t>/18</t>
  </si>
  <si>
    <t>/19</t>
  </si>
  <si>
    <t>/20</t>
  </si>
  <si>
    <t>/21</t>
  </si>
  <si>
    <t>/15</t>
  </si>
  <si>
    <t>/22</t>
  </si>
  <si>
    <t>Questar Gas Company
Docket No. 07-057-08
QGC DSM Exhibit 2.11 (Budget)</t>
  </si>
  <si>
    <t>Current Programs (continued)</t>
  </si>
  <si>
    <t>Current Programs (summary)</t>
  </si>
  <si>
    <t>/23</t>
  </si>
  <si>
    <t>Questar Gas Company
Docket No. 07-057-08
QGC DSM Exhibit 2.11</t>
  </si>
  <si>
    <t>Program design updates for 2009 program.</t>
  </si>
  <si>
    <t>$5k per program for program design updates for 2008 and $5k per program for 2009 programs.</t>
  </si>
  <si>
    <t>New program design for 2009 (new) programs.</t>
  </si>
  <si>
    <t>$15k per program for new program designs for 2008 and $5k per program for program design updates for 2009 programs.</t>
  </si>
  <si>
    <t>Three (3) FTE Questar Gas employees (with associated overhead) dedicated to program and DSM management, including: department manager, program manager for ThermWise Builder Rebates and Multi-family programs and a DSM Business Development Analyst.</t>
  </si>
  <si>
    <t>Targeted advertising and/or direct mail for Audit (particularly mail-in audit) and Weatherization programs to increase customer awareness and participation.</t>
  </si>
  <si>
    <t>PECI marketing work to introduce and provide updates to suppliers, dealers and builders regarding program changes and offerings.</t>
  </si>
  <si>
    <t>Work provided by Nexant for consulting on Audit program.</t>
  </si>
  <si>
    <t>Work provided by PECI to develop program materials and implement programs and program changes.</t>
  </si>
  <si>
    <t>Work by Nexant for market development of new program measures (primarily cooking) as well as increased development of remaining program (existing) measures.</t>
  </si>
  <si>
    <t>Participation in energy efficiency industry associations (CEE, AESP, ACEEE, SWEEP, etc.) to further advance natural gas energy efficiency and conservation in the Utah market.</t>
  </si>
  <si>
    <t>Work by PECI and Nexant to administer program including all rebate processing, customer service, program coordination, interface with Questar Gas departments and program delivery to the market.</t>
  </si>
  <si>
    <t>Program specific marketing, including field representation, trade ally relations, marketing collateral development and delivery, trade and consumer shows and event sponsorship opportunities.</t>
  </si>
  <si>
    <t>Program specific advertising development and placement, such as: co-op advertising and media placement in trade magazines, billboards, UTA, parade of home, etc.</t>
  </si>
  <si>
    <t>New and updated television, radio and print production for general education, awareness, conservation and market transformation advertising of the ThermWise brand and campaign.</t>
  </si>
  <si>
    <t>Media purchases (television, radio, print) for general education, awareness, conservation and market transformation advertising of the ThermWise brand / campaign.</t>
  </si>
  <si>
    <t>Seven (7) FTE Questar Gas employees (with overhead) dedicated to the Audit programs, including (5) full-time in-home auditors, (1) in-home auditor supervisor, and (1) full-time mail-in audit coordinator (Note: in 2007 the mail-in audit coordination and delivery was budgeted as a contractor service - Line 8, Column B).</t>
  </si>
  <si>
    <t>Funding for the State Energy Program (SEP) Codes Training ($50k) as well as funding for the Low Income Weatherization Assistance Program (LIWAP) ($250k).</t>
  </si>
  <si>
    <t>Customer rebates to be paid based on projected participants and related per unit rebate amounts as described in individual program design documents.</t>
  </si>
  <si>
    <t>Energy efficiency measures (water heater blankets, low-flow showerheads, faucet aerators and water pipe insulation) provided to customers participating in the Audit program.</t>
  </si>
  <si>
    <t>Expected evaluation contractor costs ($25k per program) and QGC support for performing 1st Year Program Evaluations for all programs (current and new) during 2008.  These projected costs are based on the Division of Public Utilities QGC Evaluation Plan which is currently pending before the Public Service Commission.</t>
  </si>
  <si>
    <t>Projected participants provided by the implementation contractors for each program based on market experience, actual program participants (from partial year 2007) and 2008 economic and market expectations.</t>
  </si>
  <si>
    <t>Projected Dth savings for each program based on projected program participation and deemed savings provided by the implementation contractors.</t>
  </si>
  <si>
    <t>Projected Annual Dth Savings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</si>
</sst>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_);\(#,##0.00000\)"/>
    <numFmt numFmtId="166" formatCode="[$-409]dddd\,\ mmmm\ dd\,\ yyyy"/>
    <numFmt numFmtId="167" formatCode="m/d/yy;@"/>
    <numFmt numFmtId="168" formatCode="0.0%"/>
    <numFmt numFmtId="169" formatCode="#,##0.0"/>
    <numFmt numFmtId="170" formatCode="&quot;$&quot;#,##0.0"/>
    <numFmt numFmtId="171" formatCode="&quot;$&quot;#,##0.00"/>
    <numFmt numFmtId="172" formatCode="mm/dd/yyyy"/>
  </numFmts>
  <fonts count="20">
    <font>
      <sz val="10"/>
      <name val="Arial"/>
      <family val="0"/>
    </font>
    <font>
      <sz val="8"/>
      <name val="Arial"/>
      <family val="0"/>
    </font>
    <font>
      <b/>
      <sz val="10"/>
      <name val="Arial"/>
      <family val="2"/>
    </font>
    <font>
      <sz val="9"/>
      <name val="Arial"/>
      <family val="0"/>
    </font>
    <font>
      <u val="single"/>
      <sz val="10"/>
      <color indexed="12"/>
      <name val="Arial"/>
      <family val="0"/>
    </font>
    <font>
      <u val="single"/>
      <sz val="10"/>
      <color indexed="36"/>
      <name val="Arial"/>
      <family val="0"/>
    </font>
    <font>
      <b/>
      <sz val="14"/>
      <name val="Arial"/>
      <family val="2"/>
    </font>
    <font>
      <sz val="10"/>
      <color indexed="12"/>
      <name val="Arial"/>
      <family val="0"/>
    </font>
    <font>
      <b/>
      <sz val="10"/>
      <color indexed="12"/>
      <name val="Arial"/>
      <family val="0"/>
    </font>
    <font>
      <sz val="10"/>
      <color indexed="8"/>
      <name val="Arial"/>
      <family val="0"/>
    </font>
    <font>
      <b/>
      <sz val="10"/>
      <color indexed="8"/>
      <name val="Arial"/>
      <family val="0"/>
    </font>
    <font>
      <sz val="14"/>
      <name val="Arial"/>
      <family val="0"/>
    </font>
    <font>
      <sz val="14"/>
      <name val="Times New Roman"/>
      <family val="1"/>
    </font>
    <font>
      <b/>
      <sz val="8"/>
      <name val="Arial"/>
      <family val="2"/>
    </font>
    <font>
      <sz val="8"/>
      <color indexed="58"/>
      <name val="CG Times"/>
      <family val="1"/>
    </font>
    <font>
      <b/>
      <sz val="10"/>
      <color indexed="57"/>
      <name val="Arial"/>
      <family val="2"/>
    </font>
    <font>
      <sz val="10"/>
      <color indexed="57"/>
      <name val="Arial"/>
      <family val="2"/>
    </font>
    <font>
      <b/>
      <sz val="10"/>
      <color indexed="17"/>
      <name val="Arial"/>
      <family val="2"/>
    </font>
    <font>
      <b/>
      <sz val="9"/>
      <name val="Arial"/>
      <family val="2"/>
    </font>
    <font>
      <b/>
      <sz val="12"/>
      <name val="Arial"/>
      <family val="0"/>
    </font>
  </fonts>
  <fills count="9">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s>
  <borders count="54">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thin"/>
      <right>
        <color indexed="63"/>
      </right>
      <top>
        <color indexed="63"/>
      </top>
      <bottom>
        <color indexed="63"/>
      </bottom>
    </border>
    <border>
      <left style="medium"/>
      <right>
        <color indexed="63"/>
      </right>
      <top style="medium"/>
      <bottom style="mediu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thin"/>
      <bottom style="thin"/>
    </border>
    <border>
      <left style="medium"/>
      <right style="medium"/>
      <top style="thin"/>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4">
    <xf numFmtId="0" fontId="0" fillId="0" borderId="0" xfId="0" applyAlignment="1">
      <alignment/>
    </xf>
    <xf numFmtId="0" fontId="0" fillId="2" borderId="0" xfId="0" applyFill="1" applyBorder="1" applyAlignment="1">
      <alignment/>
    </xf>
    <xf numFmtId="0" fontId="0" fillId="2" borderId="1" xfId="0" applyFill="1" applyBorder="1" applyAlignment="1">
      <alignment/>
    </xf>
    <xf numFmtId="168" fontId="0" fillId="2" borderId="0" xfId="0" applyNumberFormat="1" applyFill="1" applyBorder="1" applyAlignment="1">
      <alignment/>
    </xf>
    <xf numFmtId="0" fontId="2" fillId="2" borderId="2" xfId="0" applyFont="1" applyFill="1" applyBorder="1" applyAlignment="1">
      <alignment/>
    </xf>
    <xf numFmtId="0" fontId="11" fillId="0" borderId="0" xfId="0" applyFont="1" applyAlignment="1">
      <alignment/>
    </xf>
    <xf numFmtId="0" fontId="2" fillId="3" borderId="0" xfId="0" applyFont="1" applyFill="1" applyAlignment="1">
      <alignment horizontal="center"/>
    </xf>
    <xf numFmtId="0" fontId="0" fillId="3" borderId="0" xfId="0" applyFill="1" applyAlignment="1">
      <alignment/>
    </xf>
    <xf numFmtId="0" fontId="6" fillId="3" borderId="0" xfId="0" applyFont="1" applyFill="1" applyAlignment="1">
      <alignment horizontal="center"/>
    </xf>
    <xf numFmtId="0" fontId="11" fillId="3" borderId="0" xfId="0" applyFont="1" applyFill="1" applyAlignment="1">
      <alignment/>
    </xf>
    <xf numFmtId="0" fontId="0" fillId="3" borderId="3" xfId="0" applyFont="1" applyFill="1" applyBorder="1" applyAlignment="1">
      <alignment/>
    </xf>
    <xf numFmtId="164" fontId="9" fillId="3" borderId="4" xfId="0" applyNumberFormat="1" applyFont="1" applyFill="1" applyBorder="1" applyAlignment="1">
      <alignment/>
    </xf>
    <xf numFmtId="0" fontId="9" fillId="3" borderId="4" xfId="0" applyFont="1" applyFill="1" applyBorder="1" applyAlignment="1" quotePrefix="1">
      <alignment/>
    </xf>
    <xf numFmtId="164" fontId="0" fillId="3" borderId="4" xfId="0" applyNumberFormat="1" applyFont="1" applyFill="1" applyBorder="1" applyAlignment="1">
      <alignment/>
    </xf>
    <xf numFmtId="0" fontId="0" fillId="3" borderId="4" xfId="0" applyFont="1" applyFill="1" applyBorder="1" applyAlignment="1" quotePrefix="1">
      <alignment/>
    </xf>
    <xf numFmtId="0" fontId="7" fillId="3" borderId="4" xfId="0" applyFont="1" applyFill="1" applyBorder="1" applyAlignment="1">
      <alignment/>
    </xf>
    <xf numFmtId="164" fontId="2" fillId="3" borderId="4" xfId="0" applyNumberFormat="1" applyFont="1" applyFill="1" applyBorder="1" applyAlignment="1">
      <alignment/>
    </xf>
    <xf numFmtId="168" fontId="0" fillId="3" borderId="5" xfId="0" applyNumberFormat="1" applyFill="1" applyBorder="1" applyAlignment="1">
      <alignment/>
    </xf>
    <xf numFmtId="0" fontId="0" fillId="3" borderId="6" xfId="0" applyFont="1" applyFill="1" applyBorder="1" applyAlignment="1">
      <alignment/>
    </xf>
    <xf numFmtId="0" fontId="0" fillId="3" borderId="7" xfId="0" applyFont="1" applyFill="1" applyBorder="1" applyAlignment="1" quotePrefix="1">
      <alignment/>
    </xf>
    <xf numFmtId="0" fontId="7" fillId="3" borderId="7" xfId="0" applyFont="1" applyFill="1" applyBorder="1" applyAlignment="1">
      <alignment/>
    </xf>
    <xf numFmtId="164" fontId="2" fillId="3" borderId="7" xfId="0" applyNumberFormat="1" applyFont="1" applyFill="1" applyBorder="1" applyAlignment="1">
      <alignment/>
    </xf>
    <xf numFmtId="168" fontId="0" fillId="3" borderId="8" xfId="0" applyNumberFormat="1" applyFill="1" applyBorder="1" applyAlignment="1">
      <alignment/>
    </xf>
    <xf numFmtId="0" fontId="9" fillId="3" borderId="7" xfId="0" applyFont="1" applyFill="1" applyBorder="1" applyAlignment="1" quotePrefix="1">
      <alignment/>
    </xf>
    <xf numFmtId="0" fontId="9" fillId="3" borderId="7" xfId="0" applyFont="1" applyFill="1" applyBorder="1" applyAlignment="1" quotePrefix="1">
      <alignment horizontal="left"/>
    </xf>
    <xf numFmtId="0" fontId="9" fillId="3" borderId="7" xfId="0" applyFont="1" applyFill="1" applyBorder="1" applyAlignment="1">
      <alignment/>
    </xf>
    <xf numFmtId="0" fontId="7" fillId="3" borderId="7" xfId="0" applyFont="1" applyFill="1" applyBorder="1" applyAlignment="1" quotePrefix="1">
      <alignment/>
    </xf>
    <xf numFmtId="0" fontId="2" fillId="3" borderId="9" xfId="0" applyFont="1" applyFill="1" applyBorder="1" applyAlignment="1">
      <alignment/>
    </xf>
    <xf numFmtId="164" fontId="10" fillId="3" borderId="10" xfId="0" applyNumberFormat="1" applyFont="1" applyFill="1" applyBorder="1" applyAlignment="1">
      <alignment/>
    </xf>
    <xf numFmtId="0" fontId="10" fillId="3" borderId="10" xfId="0" applyFont="1" applyFill="1" applyBorder="1" applyAlignment="1">
      <alignment/>
    </xf>
    <xf numFmtId="0" fontId="8" fillId="3" borderId="10" xfId="0" applyFont="1" applyFill="1" applyBorder="1" applyAlignment="1">
      <alignment/>
    </xf>
    <xf numFmtId="164" fontId="2" fillId="3" borderId="10" xfId="0" applyNumberFormat="1" applyFont="1" applyFill="1" applyBorder="1" applyAlignment="1">
      <alignment/>
    </xf>
    <xf numFmtId="168" fontId="0" fillId="3" borderId="11" xfId="0" applyNumberFormat="1" applyFill="1" applyBorder="1" applyAlignment="1">
      <alignment/>
    </xf>
    <xf numFmtId="0" fontId="0" fillId="3" borderId="12" xfId="0" applyFill="1" applyBorder="1" applyAlignment="1">
      <alignment/>
    </xf>
    <xf numFmtId="3" fontId="9" fillId="3" borderId="13" xfId="0" applyNumberFormat="1" applyFont="1" applyFill="1" applyBorder="1" applyAlignment="1">
      <alignment/>
    </xf>
    <xf numFmtId="0" fontId="9" fillId="3" borderId="13" xfId="0" applyFont="1" applyFill="1" applyBorder="1" applyAlignment="1" quotePrefix="1">
      <alignment/>
    </xf>
    <xf numFmtId="0" fontId="9" fillId="3" borderId="14" xfId="0" applyFont="1" applyFill="1" applyBorder="1" applyAlignment="1" quotePrefix="1">
      <alignment/>
    </xf>
    <xf numFmtId="0" fontId="9" fillId="3" borderId="14" xfId="0" applyFont="1" applyFill="1" applyBorder="1" applyAlignment="1" quotePrefix="1">
      <alignment horizontal="left"/>
    </xf>
    <xf numFmtId="3" fontId="7" fillId="3" borderId="13" xfId="0" applyNumberFormat="1" applyFont="1" applyFill="1" applyBorder="1" applyAlignment="1">
      <alignment/>
    </xf>
    <xf numFmtId="0" fontId="7" fillId="3" borderId="13" xfId="0" applyFont="1" applyFill="1" applyBorder="1" applyAlignment="1">
      <alignment/>
    </xf>
    <xf numFmtId="3" fontId="0" fillId="3" borderId="13" xfId="0" applyNumberFormat="1" applyFill="1" applyBorder="1" applyAlignment="1">
      <alignment/>
    </xf>
    <xf numFmtId="0" fontId="0" fillId="3" borderId="13" xfId="0" applyFill="1" applyBorder="1" applyAlignment="1">
      <alignment/>
    </xf>
    <xf numFmtId="164" fontId="0" fillId="3" borderId="15" xfId="0" applyNumberFormat="1" applyFill="1" applyBorder="1" applyAlignment="1">
      <alignment/>
    </xf>
    <xf numFmtId="0" fontId="0" fillId="3" borderId="6" xfId="0" applyFill="1" applyBorder="1" applyAlignment="1">
      <alignment/>
    </xf>
    <xf numFmtId="3" fontId="9" fillId="3" borderId="7" xfId="0" applyNumberFormat="1" applyFont="1" applyFill="1" applyBorder="1" applyAlignment="1">
      <alignment/>
    </xf>
    <xf numFmtId="3" fontId="7" fillId="3" borderId="7" xfId="0" applyNumberFormat="1" applyFont="1" applyFill="1" applyBorder="1" applyAlignment="1">
      <alignment/>
    </xf>
    <xf numFmtId="3" fontId="0" fillId="3" borderId="7" xfId="0" applyNumberFormat="1" applyFill="1" applyBorder="1" applyAlignment="1">
      <alignment/>
    </xf>
    <xf numFmtId="0" fontId="0" fillId="3" borderId="7" xfId="0" applyFill="1" applyBorder="1" applyAlignment="1">
      <alignment/>
    </xf>
    <xf numFmtId="164" fontId="0" fillId="3" borderId="8" xfId="0" applyNumberFormat="1" applyFill="1" applyBorder="1" applyAlignment="1">
      <alignment/>
    </xf>
    <xf numFmtId="0" fontId="0" fillId="3" borderId="6" xfId="0" applyFill="1" applyBorder="1" applyAlignment="1">
      <alignment wrapText="1"/>
    </xf>
    <xf numFmtId="164" fontId="9" fillId="3" borderId="7" xfId="0" applyNumberFormat="1" applyFont="1" applyFill="1" applyBorder="1" applyAlignment="1">
      <alignment/>
    </xf>
    <xf numFmtId="171" fontId="7" fillId="3" borderId="7" xfId="0" applyNumberFormat="1" applyFont="1" applyFill="1" applyBorder="1" applyAlignment="1">
      <alignment/>
    </xf>
    <xf numFmtId="164" fontId="0" fillId="3" borderId="7" xfId="0" applyNumberFormat="1" applyFill="1" applyBorder="1" applyAlignment="1">
      <alignment/>
    </xf>
    <xf numFmtId="4" fontId="0" fillId="3" borderId="8" xfId="0" applyNumberFormat="1" applyFill="1" applyBorder="1" applyAlignment="1">
      <alignment/>
    </xf>
    <xf numFmtId="0" fontId="0" fillId="3" borderId="9" xfId="0" applyFill="1" applyBorder="1" applyAlignment="1">
      <alignment wrapText="1"/>
    </xf>
    <xf numFmtId="4" fontId="0" fillId="3" borderId="10" xfId="0" applyNumberFormat="1" applyFill="1" applyBorder="1" applyAlignment="1">
      <alignment/>
    </xf>
    <xf numFmtId="0" fontId="0" fillId="3" borderId="10" xfId="0" applyFill="1" applyBorder="1" applyAlignment="1">
      <alignment/>
    </xf>
    <xf numFmtId="169" fontId="0" fillId="3" borderId="10" xfId="0" applyNumberFormat="1" applyFill="1" applyBorder="1" applyAlignment="1">
      <alignment/>
    </xf>
    <xf numFmtId="0" fontId="0" fillId="3" borderId="11" xfId="0" applyFill="1" applyBorder="1" applyAlignment="1">
      <alignment/>
    </xf>
    <xf numFmtId="0" fontId="0" fillId="3" borderId="0" xfId="0" applyFill="1" applyBorder="1" applyAlignment="1">
      <alignment wrapText="1"/>
    </xf>
    <xf numFmtId="4" fontId="0" fillId="3" borderId="0" xfId="0" applyNumberFormat="1" applyFill="1" applyBorder="1" applyAlignment="1">
      <alignment/>
    </xf>
    <xf numFmtId="0" fontId="0" fillId="3" borderId="0" xfId="0" applyFill="1" applyBorder="1" applyAlignment="1">
      <alignment/>
    </xf>
    <xf numFmtId="169" fontId="0" fillId="3" borderId="0" xfId="0" applyNumberFormat="1" applyFill="1" applyBorder="1" applyAlignment="1">
      <alignment/>
    </xf>
    <xf numFmtId="0" fontId="0" fillId="3" borderId="0" xfId="0" applyFill="1" applyAlignment="1">
      <alignment wrapText="1"/>
    </xf>
    <xf numFmtId="164" fontId="0" fillId="3" borderId="0" xfId="0" applyNumberFormat="1" applyFill="1" applyAlignment="1">
      <alignment/>
    </xf>
    <xf numFmtId="0" fontId="3" fillId="3" borderId="0" xfId="0" applyFont="1" applyFill="1" applyAlignment="1" quotePrefix="1">
      <alignment/>
    </xf>
    <xf numFmtId="0" fontId="3" fillId="3" borderId="0" xfId="0" applyFont="1" applyFill="1" applyAlignment="1" quotePrefix="1">
      <alignment horizontal="left"/>
    </xf>
    <xf numFmtId="0" fontId="3" fillId="3" borderId="0" xfId="0" applyFont="1" applyFill="1" applyAlignment="1">
      <alignment horizontal="left"/>
    </xf>
    <xf numFmtId="0" fontId="3" fillId="3" borderId="0" xfId="0" applyFont="1" applyFill="1" applyAlignment="1">
      <alignment/>
    </xf>
    <xf numFmtId="165" fontId="0" fillId="3" borderId="0" xfId="0" applyNumberFormat="1" applyFill="1" applyAlignment="1">
      <alignment/>
    </xf>
    <xf numFmtId="0" fontId="11" fillId="3" borderId="0" xfId="0" applyFont="1" applyFill="1" applyAlignment="1">
      <alignment horizontal="center"/>
    </xf>
    <xf numFmtId="0" fontId="0" fillId="3" borderId="0" xfId="0" applyFill="1" applyAlignment="1">
      <alignment horizontal="center"/>
    </xf>
    <xf numFmtId="168" fontId="0" fillId="3" borderId="0" xfId="0" applyNumberFormat="1" applyFill="1" applyAlignment="1">
      <alignment horizontal="center"/>
    </xf>
    <xf numFmtId="0" fontId="2" fillId="4" borderId="16" xfId="0" applyFont="1" applyFill="1" applyBorder="1" applyAlignment="1">
      <alignment/>
    </xf>
    <xf numFmtId="0" fontId="2" fillId="4" borderId="17" xfId="0" applyFont="1" applyFill="1" applyBorder="1" applyAlignment="1">
      <alignment horizontal="center"/>
    </xf>
    <xf numFmtId="0" fontId="2" fillId="4" borderId="18" xfId="0" applyFont="1" applyFill="1" applyBorder="1" applyAlignment="1">
      <alignment horizontal="center" wrapText="1"/>
    </xf>
    <xf numFmtId="0" fontId="2" fillId="3" borderId="0" xfId="0" applyFont="1" applyFill="1" applyAlignment="1">
      <alignment horizontal="center" vertical="center"/>
    </xf>
    <xf numFmtId="0" fontId="2" fillId="3" borderId="0" xfId="0" applyFont="1" applyFill="1" applyAlignment="1">
      <alignment vertical="center"/>
    </xf>
    <xf numFmtId="167" fontId="2" fillId="3" borderId="0" xfId="0" applyNumberFormat="1" applyFont="1" applyFill="1" applyAlignment="1">
      <alignment horizontal="center" vertical="center"/>
    </xf>
    <xf numFmtId="0" fontId="2" fillId="0" borderId="0" xfId="0" applyFont="1" applyAlignment="1">
      <alignment/>
    </xf>
    <xf numFmtId="0" fontId="0" fillId="0" borderId="0" xfId="0" applyFill="1" applyAlignment="1">
      <alignment wrapText="1"/>
    </xf>
    <xf numFmtId="0" fontId="2" fillId="0" borderId="0" xfId="0" applyFont="1" applyAlignment="1">
      <alignment/>
    </xf>
    <xf numFmtId="0" fontId="1" fillId="0" borderId="0" xfId="0" applyFont="1" applyAlignment="1">
      <alignment/>
    </xf>
    <xf numFmtId="0" fontId="1" fillId="5" borderId="0" xfId="0" applyFont="1" applyFill="1" applyAlignment="1">
      <alignment/>
    </xf>
    <xf numFmtId="0" fontId="2" fillId="6" borderId="4" xfId="0" applyFont="1" applyFill="1" applyBorder="1" applyAlignment="1">
      <alignment horizontal="right" wrapText="1"/>
    </xf>
    <xf numFmtId="0" fontId="2" fillId="2" borderId="4" xfId="0" applyFont="1" applyFill="1" applyBorder="1" applyAlignment="1">
      <alignment horizontal="right" wrapText="1"/>
    </xf>
    <xf numFmtId="0" fontId="2" fillId="4" borderId="4" xfId="0" applyFont="1" applyFill="1" applyBorder="1" applyAlignment="1">
      <alignment horizontal="right" wrapText="1"/>
    </xf>
    <xf numFmtId="0" fontId="2" fillId="6" borderId="7" xfId="0" applyFont="1" applyFill="1" applyBorder="1" applyAlignment="1">
      <alignment horizontal="right"/>
    </xf>
    <xf numFmtId="0" fontId="2" fillId="2" borderId="7" xfId="0" applyFont="1" applyFill="1" applyBorder="1" applyAlignment="1">
      <alignment horizontal="right"/>
    </xf>
    <xf numFmtId="0" fontId="2" fillId="4" borderId="7" xfId="0" applyFont="1" applyFill="1" applyBorder="1" applyAlignment="1">
      <alignment horizontal="right"/>
    </xf>
    <xf numFmtId="0" fontId="1" fillId="0" borderId="0" xfId="0" applyFont="1" applyAlignment="1">
      <alignment/>
    </xf>
    <xf numFmtId="38" fontId="14" fillId="0" borderId="0" xfId="0" applyNumberFormat="1" applyFont="1" applyFill="1" applyAlignment="1">
      <alignment/>
    </xf>
    <xf numFmtId="38" fontId="0" fillId="0" borderId="0" xfId="0" applyNumberFormat="1" applyAlignment="1">
      <alignment/>
    </xf>
    <xf numFmtId="6" fontId="0" fillId="0" borderId="0" xfId="0" applyNumberFormat="1" applyAlignment="1">
      <alignment/>
    </xf>
    <xf numFmtId="6" fontId="0" fillId="5" borderId="0" xfId="0" applyNumberFormat="1" applyFill="1" applyAlignment="1">
      <alignment/>
    </xf>
    <xf numFmtId="9" fontId="0" fillId="0" borderId="0" xfId="0" applyNumberFormat="1" applyAlignment="1">
      <alignment/>
    </xf>
    <xf numFmtId="6" fontId="2" fillId="0" borderId="0" xfId="0" applyNumberFormat="1" applyFont="1" applyAlignment="1">
      <alignment/>
    </xf>
    <xf numFmtId="0" fontId="13" fillId="0" borderId="0" xfId="0" applyFont="1" applyAlignment="1">
      <alignment/>
    </xf>
    <xf numFmtId="0" fontId="13" fillId="0" borderId="0" xfId="0" applyFont="1" applyAlignment="1">
      <alignment/>
    </xf>
    <xf numFmtId="0" fontId="1" fillId="0" borderId="0" xfId="0" applyFont="1" applyAlignment="1">
      <alignment horizontal="right" vertical="top" wrapText="1"/>
    </xf>
    <xf numFmtId="2" fontId="0" fillId="0" borderId="0" xfId="0" applyNumberFormat="1" applyAlignment="1">
      <alignment/>
    </xf>
    <xf numFmtId="0" fontId="2" fillId="7" borderId="17" xfId="0" applyFont="1" applyFill="1" applyBorder="1" applyAlignment="1">
      <alignment horizontal="center"/>
    </xf>
    <xf numFmtId="0" fontId="2" fillId="7" borderId="18" xfId="0" applyFont="1" applyFill="1" applyBorder="1" applyAlignment="1">
      <alignment horizontal="center" wrapText="1"/>
    </xf>
    <xf numFmtId="0" fontId="0" fillId="3" borderId="19" xfId="0" applyFont="1" applyFill="1" applyBorder="1" applyAlignment="1">
      <alignment/>
    </xf>
    <xf numFmtId="0" fontId="0" fillId="3" borderId="20" xfId="0" applyFont="1" applyFill="1" applyBorder="1" applyAlignment="1">
      <alignment/>
    </xf>
    <xf numFmtId="0" fontId="2" fillId="3" borderId="21" xfId="0" applyFont="1" applyFill="1" applyBorder="1" applyAlignment="1">
      <alignment/>
    </xf>
    <xf numFmtId="0" fontId="0" fillId="3" borderId="22" xfId="0" applyFill="1" applyBorder="1" applyAlignment="1">
      <alignment/>
    </xf>
    <xf numFmtId="0" fontId="2" fillId="2" borderId="23" xfId="0" applyFont="1" applyFill="1" applyBorder="1" applyAlignment="1">
      <alignment horizontal="right" wrapText="1"/>
    </xf>
    <xf numFmtId="0" fontId="0" fillId="0" borderId="0" xfId="0" applyAlignment="1">
      <alignment horizontal="right"/>
    </xf>
    <xf numFmtId="0" fontId="2" fillId="4" borderId="24" xfId="0" applyFont="1" applyFill="1" applyBorder="1" applyAlignment="1">
      <alignment horizontal="center" wrapText="1"/>
    </xf>
    <xf numFmtId="0" fontId="2" fillId="4" borderId="24" xfId="0" applyFont="1" applyFill="1" applyBorder="1" applyAlignment="1" quotePrefix="1">
      <alignment horizontal="center" wrapText="1"/>
    </xf>
    <xf numFmtId="0" fontId="0" fillId="3" borderId="25" xfId="0" applyFill="1" applyBorder="1" applyAlignment="1">
      <alignment/>
    </xf>
    <xf numFmtId="0" fontId="3" fillId="0" borderId="0" xfId="0" applyFont="1" applyAlignment="1">
      <alignment/>
    </xf>
    <xf numFmtId="0" fontId="2" fillId="4" borderId="16" xfId="0" applyFont="1" applyFill="1" applyBorder="1" applyAlignment="1" quotePrefix="1">
      <alignment horizontal="center" wrapText="1"/>
    </xf>
    <xf numFmtId="164" fontId="0" fillId="0" borderId="0" xfId="0" applyNumberFormat="1" applyAlignment="1">
      <alignment/>
    </xf>
    <xf numFmtId="164" fontId="9" fillId="4" borderId="3" xfId="0" applyNumberFormat="1" applyFont="1" applyFill="1" applyBorder="1" applyAlignment="1">
      <alignment/>
    </xf>
    <xf numFmtId="164" fontId="10" fillId="4" borderId="9" xfId="0" applyNumberFormat="1" applyFont="1" applyFill="1" applyBorder="1" applyAlignment="1">
      <alignment/>
    </xf>
    <xf numFmtId="3" fontId="9" fillId="4" borderId="12" xfId="0" applyNumberFormat="1" applyFont="1" applyFill="1" applyBorder="1" applyAlignment="1">
      <alignment/>
    </xf>
    <xf numFmtId="3" fontId="9" fillId="4" borderId="26" xfId="0" applyNumberFormat="1" applyFont="1" applyFill="1" applyBorder="1" applyAlignment="1">
      <alignment/>
    </xf>
    <xf numFmtId="164" fontId="9" fillId="4" borderId="3" xfId="0" applyNumberFormat="1" applyFont="1" applyFill="1" applyBorder="1" applyAlignment="1" quotePrefix="1">
      <alignment/>
    </xf>
    <xf numFmtId="164" fontId="0" fillId="4" borderId="3" xfId="0" applyNumberFormat="1" applyFont="1" applyFill="1" applyBorder="1" applyAlignment="1" quotePrefix="1">
      <alignment/>
    </xf>
    <xf numFmtId="164" fontId="7" fillId="4" borderId="3" xfId="0" applyNumberFormat="1" applyFont="1" applyFill="1" applyBorder="1" applyAlignment="1">
      <alignment/>
    </xf>
    <xf numFmtId="3" fontId="9" fillId="4" borderId="12" xfId="0" applyNumberFormat="1" applyFont="1" applyFill="1" applyBorder="1" applyAlignment="1" quotePrefix="1">
      <alignment/>
    </xf>
    <xf numFmtId="3" fontId="9" fillId="4" borderId="26" xfId="0" applyNumberFormat="1" applyFont="1" applyFill="1" applyBorder="1" applyAlignment="1" quotePrefix="1">
      <alignment/>
    </xf>
    <xf numFmtId="4" fontId="2" fillId="4" borderId="16" xfId="0" applyNumberFormat="1" applyFont="1" applyFill="1" applyBorder="1" applyAlignment="1">
      <alignment/>
    </xf>
    <xf numFmtId="164" fontId="0" fillId="4" borderId="3" xfId="0" applyNumberFormat="1" applyFont="1" applyFill="1" applyBorder="1" applyAlignment="1">
      <alignment/>
    </xf>
    <xf numFmtId="3" fontId="0" fillId="4" borderId="12" xfId="0" applyNumberFormat="1" applyFont="1" applyFill="1" applyBorder="1" applyAlignment="1">
      <alignment horizontal="right"/>
    </xf>
    <xf numFmtId="3" fontId="0" fillId="4" borderId="26" xfId="0" applyNumberFormat="1" applyFont="1" applyFill="1" applyBorder="1" applyAlignment="1">
      <alignment horizontal="right"/>
    </xf>
    <xf numFmtId="172" fontId="18" fillId="3" borderId="0" xfId="0" applyNumberFormat="1" applyFont="1" applyFill="1" applyAlignment="1">
      <alignment horizontal="center" vertical="center"/>
    </xf>
    <xf numFmtId="164" fontId="10" fillId="3" borderId="4" xfId="0" applyNumberFormat="1" applyFont="1" applyFill="1" applyBorder="1" applyAlignment="1" quotePrefix="1">
      <alignment/>
    </xf>
    <xf numFmtId="164" fontId="2" fillId="3" borderId="4" xfId="0" applyNumberFormat="1" applyFont="1" applyFill="1" applyBorder="1" applyAlignment="1" quotePrefix="1">
      <alignment/>
    </xf>
    <xf numFmtId="164" fontId="8" fillId="3" borderId="4" xfId="0" applyNumberFormat="1" applyFont="1" applyFill="1" applyBorder="1" applyAlignment="1">
      <alignment/>
    </xf>
    <xf numFmtId="164" fontId="10" fillId="3" borderId="10" xfId="0" applyNumberFormat="1" applyFont="1" applyFill="1" applyBorder="1" applyAlignment="1">
      <alignment/>
    </xf>
    <xf numFmtId="3" fontId="10" fillId="0" borderId="13" xfId="0" applyNumberFormat="1" applyFont="1" applyFill="1" applyBorder="1" applyAlignment="1" quotePrefix="1">
      <alignment/>
    </xf>
    <xf numFmtId="3" fontId="10" fillId="0" borderId="27" xfId="0" applyNumberFormat="1" applyFont="1" applyFill="1" applyBorder="1" applyAlignment="1" quotePrefix="1">
      <alignment/>
    </xf>
    <xf numFmtId="164" fontId="2" fillId="0" borderId="0" xfId="0" applyNumberFormat="1" applyFont="1" applyAlignment="1">
      <alignment/>
    </xf>
    <xf numFmtId="6" fontId="2" fillId="3" borderId="4" xfId="0" applyNumberFormat="1" applyFont="1" applyFill="1" applyBorder="1" applyAlignment="1" quotePrefix="1">
      <alignment/>
    </xf>
    <xf numFmtId="164" fontId="10" fillId="3" borderId="9" xfId="0" applyNumberFormat="1" applyFont="1" applyFill="1" applyBorder="1" applyAlignment="1">
      <alignment/>
    </xf>
    <xf numFmtId="3" fontId="10" fillId="0" borderId="13" xfId="0" applyNumberFormat="1" applyFont="1" applyFill="1" applyBorder="1" applyAlignment="1" quotePrefix="1">
      <alignment horizontal="right"/>
    </xf>
    <xf numFmtId="3" fontId="10" fillId="0" borderId="27" xfId="0" applyNumberFormat="1" applyFont="1" applyFill="1" applyBorder="1" applyAlignment="1" quotePrefix="1">
      <alignment horizontal="right"/>
    </xf>
    <xf numFmtId="3" fontId="10" fillId="0" borderId="13" xfId="0" applyNumberFormat="1" applyFont="1" applyFill="1" applyBorder="1" applyAlignment="1">
      <alignment/>
    </xf>
    <xf numFmtId="3" fontId="10" fillId="0" borderId="27" xfId="0" applyNumberFormat="1" applyFont="1" applyFill="1" applyBorder="1" applyAlignment="1">
      <alignment/>
    </xf>
    <xf numFmtId="3" fontId="10" fillId="0" borderId="13" xfId="0" applyNumberFormat="1" applyFont="1" applyFill="1" applyBorder="1" applyAlignment="1">
      <alignment horizontal="right"/>
    </xf>
    <xf numFmtId="3" fontId="10" fillId="0" borderId="27" xfId="0" applyNumberFormat="1" applyFont="1" applyFill="1" applyBorder="1" applyAlignment="1">
      <alignment horizontal="right"/>
    </xf>
    <xf numFmtId="0" fontId="10" fillId="3" borderId="4" xfId="0" applyFont="1" applyFill="1" applyBorder="1" applyAlignment="1" quotePrefix="1">
      <alignment/>
    </xf>
    <xf numFmtId="0" fontId="2" fillId="3" borderId="4" xfId="0" applyFont="1" applyFill="1" applyBorder="1" applyAlignment="1" quotePrefix="1">
      <alignment/>
    </xf>
    <xf numFmtId="0" fontId="8" fillId="3" borderId="4" xfId="0" applyFont="1" applyFill="1" applyBorder="1" applyAlignment="1">
      <alignment/>
    </xf>
    <xf numFmtId="6" fontId="2" fillId="3" borderId="4" xfId="0" applyNumberFormat="1" applyFont="1" applyFill="1" applyBorder="1" applyAlignment="1">
      <alignment/>
    </xf>
    <xf numFmtId="3" fontId="10" fillId="7" borderId="13" xfId="0" applyNumberFormat="1" applyFont="1" applyFill="1" applyBorder="1" applyAlignment="1">
      <alignment horizontal="right"/>
    </xf>
    <xf numFmtId="3" fontId="10" fillId="7" borderId="27" xfId="0" applyNumberFormat="1" applyFont="1" applyFill="1" applyBorder="1" applyAlignment="1">
      <alignment horizontal="right"/>
    </xf>
    <xf numFmtId="5" fontId="15" fillId="2" borderId="16" xfId="0" applyNumberFormat="1" applyFont="1" applyFill="1" applyBorder="1" applyAlignment="1">
      <alignment/>
    </xf>
    <xf numFmtId="168" fontId="0" fillId="4" borderId="5" xfId="0" applyNumberFormat="1" applyFill="1" applyBorder="1" applyAlignment="1">
      <alignment/>
    </xf>
    <xf numFmtId="168" fontId="0" fillId="4" borderId="8" xfId="0" applyNumberFormat="1" applyFill="1" applyBorder="1" applyAlignment="1">
      <alignment/>
    </xf>
    <xf numFmtId="168" fontId="0" fillId="4" borderId="11" xfId="0" applyNumberFormat="1" applyFill="1" applyBorder="1" applyAlignment="1">
      <alignment/>
    </xf>
    <xf numFmtId="164" fontId="0" fillId="4" borderId="15" xfId="0" applyNumberFormat="1" applyFill="1" applyBorder="1" applyAlignment="1">
      <alignment/>
    </xf>
    <xf numFmtId="164" fontId="0" fillId="4" borderId="28" xfId="0" applyNumberFormat="1" applyFill="1" applyBorder="1" applyAlignment="1">
      <alignment/>
    </xf>
    <xf numFmtId="169" fontId="2" fillId="4" borderId="16" xfId="0" applyNumberFormat="1" applyFont="1" applyFill="1" applyBorder="1" applyAlignment="1">
      <alignment/>
    </xf>
    <xf numFmtId="3" fontId="0" fillId="0" borderId="13" xfId="0" applyNumberFormat="1" applyFill="1" applyBorder="1" applyAlignment="1">
      <alignment/>
    </xf>
    <xf numFmtId="3" fontId="0" fillId="0" borderId="27" xfId="0" applyNumberFormat="1" applyFill="1" applyBorder="1" applyAlignment="1">
      <alignment/>
    </xf>
    <xf numFmtId="164" fontId="0" fillId="0" borderId="28" xfId="0" applyNumberFormat="1" applyFill="1" applyBorder="1" applyAlignment="1">
      <alignment/>
    </xf>
    <xf numFmtId="3" fontId="0" fillId="4" borderId="12" xfId="0" applyNumberFormat="1" applyFill="1" applyBorder="1" applyAlignment="1">
      <alignment/>
    </xf>
    <xf numFmtId="3" fontId="0" fillId="4" borderId="26" xfId="0" applyNumberFormat="1" applyFill="1" applyBorder="1" applyAlignment="1">
      <alignment/>
    </xf>
    <xf numFmtId="0" fontId="0" fillId="4" borderId="29" xfId="0" applyFill="1" applyBorder="1" applyAlignment="1">
      <alignment/>
    </xf>
    <xf numFmtId="164" fontId="10" fillId="3" borderId="3" xfId="0" applyNumberFormat="1" applyFont="1" applyFill="1" applyBorder="1" applyAlignment="1">
      <alignment/>
    </xf>
    <xf numFmtId="3" fontId="10" fillId="3" borderId="12" xfId="0" applyNumberFormat="1" applyFont="1" applyFill="1" applyBorder="1" applyAlignment="1">
      <alignment/>
    </xf>
    <xf numFmtId="3" fontId="10" fillId="3" borderId="26" xfId="0" applyNumberFormat="1" applyFont="1" applyFill="1" applyBorder="1" applyAlignment="1">
      <alignment/>
    </xf>
    <xf numFmtId="0" fontId="2" fillId="8" borderId="30" xfId="0" applyFont="1" applyFill="1" applyBorder="1" applyAlignment="1">
      <alignment horizontal="center" wrapText="1"/>
    </xf>
    <xf numFmtId="0" fontId="2" fillId="5" borderId="16" xfId="0" applyFont="1" applyFill="1" applyBorder="1" applyAlignment="1">
      <alignment horizontal="center" wrapText="1"/>
    </xf>
    <xf numFmtId="164" fontId="2" fillId="5" borderId="31" xfId="0" applyNumberFormat="1" applyFont="1" applyFill="1" applyBorder="1" applyAlignment="1">
      <alignment/>
    </xf>
    <xf numFmtId="164" fontId="2" fillId="5" borderId="32" xfId="0" applyNumberFormat="1" applyFont="1" applyFill="1" applyBorder="1" applyAlignment="1">
      <alignment/>
    </xf>
    <xf numFmtId="164" fontId="2" fillId="5" borderId="33" xfId="0" applyNumberFormat="1" applyFont="1" applyFill="1" applyBorder="1" applyAlignment="1">
      <alignment/>
    </xf>
    <xf numFmtId="3" fontId="2" fillId="5" borderId="31" xfId="0" applyNumberFormat="1" applyFont="1" applyFill="1" applyBorder="1" applyAlignment="1">
      <alignment/>
    </xf>
    <xf numFmtId="164" fontId="2" fillId="0" borderId="32" xfId="0" applyNumberFormat="1" applyFont="1" applyFill="1" applyBorder="1" applyAlignment="1">
      <alignment/>
    </xf>
    <xf numFmtId="164" fontId="2" fillId="0" borderId="34" xfId="0" applyNumberFormat="1" applyFont="1" applyFill="1" applyBorder="1" applyAlignment="1">
      <alignment/>
    </xf>
    <xf numFmtId="164" fontId="2" fillId="0" borderId="30" xfId="0" applyNumberFormat="1" applyFont="1" applyFill="1" applyBorder="1" applyAlignment="1">
      <alignment/>
    </xf>
    <xf numFmtId="3" fontId="2" fillId="0" borderId="31" xfId="0" applyNumberFormat="1" applyFont="1" applyFill="1" applyBorder="1" applyAlignment="1">
      <alignment/>
    </xf>
    <xf numFmtId="3" fontId="2" fillId="0" borderId="35" xfId="0" applyNumberFormat="1" applyFont="1" applyFill="1" applyBorder="1" applyAlignment="1">
      <alignment/>
    </xf>
    <xf numFmtId="0" fontId="2" fillId="4" borderId="30" xfId="0" applyFont="1" applyFill="1" applyBorder="1" applyAlignment="1">
      <alignment/>
    </xf>
    <xf numFmtId="9" fontId="15" fillId="2" borderId="36" xfId="0" applyNumberFormat="1" applyFont="1" applyFill="1" applyBorder="1" applyAlignment="1">
      <alignment horizontal="right"/>
    </xf>
    <xf numFmtId="9" fontId="2" fillId="4" borderId="36" xfId="0" applyNumberFormat="1" applyFont="1" applyFill="1" applyBorder="1" applyAlignment="1">
      <alignment/>
    </xf>
    <xf numFmtId="0" fontId="18" fillId="3" borderId="0" xfId="0" applyFont="1" applyFill="1" applyAlignment="1">
      <alignment horizontal="center" vertical="center"/>
    </xf>
    <xf numFmtId="0" fontId="18" fillId="3" borderId="0" xfId="0" applyFont="1" applyFill="1" applyAlignment="1">
      <alignment/>
    </xf>
    <xf numFmtId="0" fontId="18" fillId="3" borderId="0" xfId="0" applyFont="1" applyFill="1" applyAlignment="1">
      <alignment horizontal="left" vertical="center"/>
    </xf>
    <xf numFmtId="164" fontId="15" fillId="0" borderId="16" xfId="0" applyNumberFormat="1" applyFont="1" applyFill="1" applyBorder="1" applyAlignment="1">
      <alignment/>
    </xf>
    <xf numFmtId="0" fontId="3" fillId="0" borderId="0" xfId="0" applyFont="1" applyFill="1" applyBorder="1" applyAlignment="1">
      <alignment horizontal="left" vertical="top" wrapText="1"/>
    </xf>
    <xf numFmtId="0" fontId="13" fillId="0" borderId="0" xfId="0" applyFont="1" applyAlignment="1">
      <alignment horizontal="right" vertical="top"/>
    </xf>
    <xf numFmtId="0" fontId="2" fillId="0" borderId="0" xfId="0" applyFont="1" applyFill="1" applyBorder="1" applyAlignment="1">
      <alignment/>
    </xf>
    <xf numFmtId="0" fontId="2" fillId="0" borderId="0" xfId="0" applyFont="1" applyFill="1" applyBorder="1" applyAlignment="1">
      <alignment horizontal="left"/>
    </xf>
    <xf numFmtId="4" fontId="2" fillId="0" borderId="0" xfId="0" applyNumberFormat="1" applyFont="1" applyFill="1" applyBorder="1" applyAlignment="1">
      <alignment/>
    </xf>
    <xf numFmtId="9" fontId="15" fillId="0" borderId="0" xfId="0" applyNumberFormat="1" applyFont="1" applyFill="1" applyBorder="1" applyAlignment="1">
      <alignment horizontal="right"/>
    </xf>
    <xf numFmtId="9" fontId="2" fillId="0" borderId="0" xfId="0" applyNumberFormat="1" applyFont="1" applyFill="1" applyBorder="1" applyAlignment="1">
      <alignment/>
    </xf>
    <xf numFmtId="169" fontId="2" fillId="0" borderId="0" xfId="0"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0" fillId="0" borderId="0" xfId="0" applyFill="1" applyBorder="1" applyAlignment="1">
      <alignment horizontal="right"/>
    </xf>
    <xf numFmtId="0" fontId="0" fillId="0" borderId="0" xfId="0" applyFill="1" applyAlignment="1">
      <alignment/>
    </xf>
    <xf numFmtId="0" fontId="3" fillId="3" borderId="0" xfId="0" applyFont="1" applyFill="1" applyAlignment="1">
      <alignment horizontal="left" vertical="center"/>
    </xf>
    <xf numFmtId="164" fontId="9" fillId="3" borderId="37" xfId="0" applyNumberFormat="1" applyFont="1" applyFill="1" applyBorder="1" applyAlignment="1" quotePrefix="1">
      <alignment horizontal="left"/>
    </xf>
    <xf numFmtId="164" fontId="9" fillId="3" borderId="38" xfId="0" applyNumberFormat="1" applyFont="1" applyFill="1" applyBorder="1" applyAlignment="1">
      <alignment horizontal="left"/>
    </xf>
    <xf numFmtId="164" fontId="9" fillId="3" borderId="39" xfId="0" applyNumberFormat="1" applyFont="1" applyFill="1" applyBorder="1" applyAlignment="1">
      <alignment horizontal="left"/>
    </xf>
    <xf numFmtId="164" fontId="16" fillId="0" borderId="29" xfId="0" applyNumberFormat="1" applyFont="1" applyFill="1" applyBorder="1" applyAlignment="1">
      <alignment horizontal="left"/>
    </xf>
    <xf numFmtId="0" fontId="0" fillId="4" borderId="29" xfId="0" applyFont="1" applyFill="1" applyBorder="1" applyAlignment="1">
      <alignment horizontal="left"/>
    </xf>
    <xf numFmtId="0" fontId="0" fillId="0" borderId="0" xfId="0" applyFont="1" applyFill="1" applyBorder="1" applyAlignment="1">
      <alignment horizontal="left"/>
    </xf>
    <xf numFmtId="164" fontId="0" fillId="0" borderId="0" xfId="0" applyNumberFormat="1" applyFont="1" applyAlignment="1">
      <alignment horizontal="left"/>
    </xf>
    <xf numFmtId="0" fontId="0" fillId="0" borderId="0" xfId="0" applyFont="1" applyAlignment="1">
      <alignment horizontal="left"/>
    </xf>
    <xf numFmtId="164" fontId="9" fillId="3" borderId="37" xfId="0" applyNumberFormat="1" applyFont="1" applyFill="1" applyBorder="1" applyAlignment="1">
      <alignment horizontal="left"/>
    </xf>
    <xf numFmtId="164" fontId="9" fillId="3" borderId="40" xfId="0" applyNumberFormat="1" applyFont="1" applyFill="1" applyBorder="1" applyAlignment="1">
      <alignment horizontal="left"/>
    </xf>
    <xf numFmtId="164" fontId="16" fillId="0" borderId="41" xfId="0" applyNumberFormat="1" applyFont="1" applyFill="1" applyBorder="1" applyAlignment="1">
      <alignment horizontal="left"/>
    </xf>
    <xf numFmtId="0" fontId="0" fillId="4" borderId="41" xfId="0" applyFont="1" applyFill="1" applyBorder="1" applyAlignment="1">
      <alignment horizontal="left"/>
    </xf>
    <xf numFmtId="0" fontId="9" fillId="3" borderId="5" xfId="0" applyFont="1" applyFill="1" applyBorder="1" applyAlignment="1" quotePrefix="1">
      <alignment horizontal="left"/>
    </xf>
    <xf numFmtId="0" fontId="0" fillId="3" borderId="5" xfId="0" applyFont="1" applyFill="1" applyBorder="1" applyAlignment="1" quotePrefix="1">
      <alignment horizontal="left"/>
    </xf>
    <xf numFmtId="0" fontId="7" fillId="3" borderId="5" xfId="0" applyFont="1" applyFill="1" applyBorder="1" applyAlignment="1">
      <alignment horizontal="left"/>
    </xf>
    <xf numFmtId="164" fontId="9" fillId="3" borderId="11" xfId="0" applyNumberFormat="1" applyFont="1" applyFill="1" applyBorder="1" applyAlignment="1">
      <alignment horizontal="left"/>
    </xf>
    <xf numFmtId="9" fontId="0" fillId="4" borderId="41" xfId="0" applyNumberFormat="1" applyFont="1" applyFill="1" applyBorder="1" applyAlignment="1">
      <alignment horizontal="left"/>
    </xf>
    <xf numFmtId="9" fontId="0" fillId="0" borderId="0" xfId="0" applyNumberFormat="1" applyFont="1" applyFill="1" applyBorder="1" applyAlignment="1">
      <alignment horizontal="left"/>
    </xf>
    <xf numFmtId="164" fontId="0" fillId="3" borderId="37" xfId="0" applyNumberFormat="1" applyFont="1" applyFill="1" applyBorder="1" applyAlignment="1" quotePrefix="1">
      <alignment horizontal="left"/>
    </xf>
    <xf numFmtId="164" fontId="7" fillId="3" borderId="37" xfId="0" applyNumberFormat="1" applyFont="1" applyFill="1" applyBorder="1" applyAlignment="1">
      <alignment horizontal="left"/>
    </xf>
    <xf numFmtId="164" fontId="0" fillId="3" borderId="37" xfId="0" applyNumberFormat="1" applyFont="1" applyFill="1" applyBorder="1" applyAlignment="1">
      <alignment horizontal="left"/>
    </xf>
    <xf numFmtId="3" fontId="9" fillId="0" borderId="42" xfId="0" applyNumberFormat="1" applyFont="1" applyFill="1" applyBorder="1" applyAlignment="1" quotePrefix="1">
      <alignment horizontal="left"/>
    </xf>
    <xf numFmtId="9" fontId="16" fillId="0" borderId="0" xfId="0" applyNumberFormat="1" applyFont="1" applyFill="1" applyBorder="1" applyAlignment="1">
      <alignment horizontal="left"/>
    </xf>
    <xf numFmtId="6" fontId="0" fillId="3" borderId="37" xfId="0" applyNumberFormat="1" applyFont="1" applyFill="1" applyBorder="1" applyAlignment="1" quotePrefix="1">
      <alignment horizontal="left"/>
    </xf>
    <xf numFmtId="3" fontId="9" fillId="0" borderId="43" xfId="0" applyNumberFormat="1" applyFont="1" applyFill="1" applyBorder="1" applyAlignment="1" quotePrefix="1">
      <alignment horizontal="left"/>
    </xf>
    <xf numFmtId="164" fontId="9" fillId="3" borderId="38" xfId="0" applyNumberFormat="1" applyFont="1" applyFill="1" applyBorder="1" applyAlignment="1" quotePrefix="1">
      <alignment horizontal="left"/>
    </xf>
    <xf numFmtId="6" fontId="0" fillId="3" borderId="5" xfId="0" applyNumberFormat="1" applyFont="1" applyFill="1" applyBorder="1" applyAlignment="1" quotePrefix="1">
      <alignment horizontal="left"/>
    </xf>
    <xf numFmtId="9" fontId="16" fillId="2" borderId="41" xfId="0" applyNumberFormat="1" applyFont="1" applyFill="1" applyBorder="1" applyAlignment="1" quotePrefix="1">
      <alignment horizontal="left"/>
    </xf>
    <xf numFmtId="0" fontId="2" fillId="0" borderId="0" xfId="0" applyFont="1" applyBorder="1" applyAlignment="1" quotePrefix="1">
      <alignment horizontal="right" vertical="top"/>
    </xf>
    <xf numFmtId="0" fontId="0" fillId="0" borderId="0" xfId="0" applyFont="1" applyAlignment="1">
      <alignment horizontal="right"/>
    </xf>
    <xf numFmtId="9" fontId="2" fillId="0" borderId="0" xfId="0" applyNumberFormat="1" applyFont="1" applyFill="1" applyBorder="1" applyAlignment="1">
      <alignment horizontal="right" wrapText="1" readingOrder="1"/>
    </xf>
    <xf numFmtId="0" fontId="0" fillId="0" borderId="0" xfId="0" applyFont="1" applyAlignment="1">
      <alignment horizontal="right"/>
    </xf>
    <xf numFmtId="0" fontId="0" fillId="0" borderId="0" xfId="0" applyFont="1" applyAlignment="1">
      <alignment/>
    </xf>
    <xf numFmtId="0" fontId="2" fillId="0" borderId="12" xfId="0" applyFont="1" applyBorder="1" applyAlignment="1" quotePrefix="1">
      <alignment horizontal="right" vertical="top"/>
    </xf>
    <xf numFmtId="0" fontId="0" fillId="0" borderId="15" xfId="0" applyFont="1" applyFill="1" applyBorder="1" applyAlignment="1">
      <alignment horizontal="left" vertical="top" wrapText="1"/>
    </xf>
    <xf numFmtId="0" fontId="2" fillId="0" borderId="6" xfId="0" applyFont="1" applyBorder="1" applyAlignment="1" quotePrefix="1">
      <alignment horizontal="right" vertical="top"/>
    </xf>
    <xf numFmtId="0" fontId="0" fillId="0" borderId="8" xfId="0" applyFont="1" applyFill="1" applyBorder="1" applyAlignment="1">
      <alignment horizontal="left" vertical="top" wrapText="1"/>
    </xf>
    <xf numFmtId="164" fontId="0" fillId="3" borderId="38" xfId="0" applyNumberFormat="1" applyFont="1" applyFill="1" applyBorder="1" applyAlignment="1" quotePrefix="1">
      <alignment horizontal="left"/>
    </xf>
    <xf numFmtId="6" fontId="0" fillId="3" borderId="38" xfId="0" applyNumberFormat="1" applyFont="1" applyFill="1" applyBorder="1" applyAlignment="1" quotePrefix="1">
      <alignment horizontal="left"/>
    </xf>
    <xf numFmtId="164" fontId="0" fillId="3" borderId="38" xfId="0" applyNumberFormat="1" applyFont="1" applyFill="1" applyBorder="1" applyAlignment="1">
      <alignment horizontal="left"/>
    </xf>
    <xf numFmtId="9" fontId="16" fillId="2" borderId="29" xfId="0" applyNumberFormat="1" applyFont="1" applyFill="1" applyBorder="1" applyAlignment="1" quotePrefix="1">
      <alignment horizontal="left"/>
    </xf>
    <xf numFmtId="3" fontId="9" fillId="0" borderId="44" xfId="0" applyNumberFormat="1" applyFont="1" applyFill="1" applyBorder="1" applyAlignment="1" quotePrefix="1">
      <alignment horizontal="left"/>
    </xf>
    <xf numFmtId="3" fontId="9" fillId="0" borderId="45" xfId="0" applyNumberFormat="1" applyFont="1" applyFill="1" applyBorder="1" applyAlignment="1" quotePrefix="1">
      <alignment horizontal="left"/>
    </xf>
    <xf numFmtId="9" fontId="16" fillId="4" borderId="41" xfId="0" applyNumberFormat="1" applyFont="1" applyFill="1" applyBorder="1" applyAlignment="1" quotePrefix="1">
      <alignment horizontal="left"/>
    </xf>
    <xf numFmtId="9" fontId="15" fillId="2" borderId="30" xfId="0" applyNumberFormat="1" applyFont="1" applyFill="1" applyBorder="1" applyAlignment="1">
      <alignment horizontal="right"/>
    </xf>
    <xf numFmtId="3" fontId="2" fillId="5" borderId="33" xfId="0" applyNumberFormat="1" applyFont="1" applyFill="1" applyBorder="1" applyAlignment="1">
      <alignment/>
    </xf>
    <xf numFmtId="164" fontId="2" fillId="0" borderId="4" xfId="0" applyNumberFormat="1" applyFont="1" applyFill="1" applyBorder="1" applyAlignment="1">
      <alignment/>
    </xf>
    <xf numFmtId="164" fontId="10" fillId="0" borderId="4" xfId="0" applyNumberFormat="1" applyFont="1" applyFill="1" applyBorder="1" applyAlignment="1" quotePrefix="1">
      <alignment/>
    </xf>
    <xf numFmtId="164" fontId="9" fillId="0" borderId="37" xfId="0" applyNumberFormat="1" applyFont="1" applyFill="1" applyBorder="1" applyAlignment="1" quotePrefix="1">
      <alignment horizontal="left"/>
    </xf>
    <xf numFmtId="0" fontId="0" fillId="0" borderId="0" xfId="0" applyFill="1" applyBorder="1" applyAlignment="1">
      <alignment horizontal="center"/>
    </xf>
    <xf numFmtId="0" fontId="18" fillId="3" borderId="0" xfId="0" applyFont="1" applyFill="1" applyAlignment="1">
      <alignment horizontal="right" vertical="center"/>
    </xf>
    <xf numFmtId="0" fontId="0" fillId="3" borderId="0" xfId="0" applyFill="1" applyAlignment="1">
      <alignment horizontal="right" vertical="center"/>
    </xf>
    <xf numFmtId="0" fontId="2" fillId="0" borderId="0" xfId="0" applyFont="1" applyFill="1" applyBorder="1" applyAlignment="1">
      <alignment horizontal="right" vertical="center"/>
    </xf>
    <xf numFmtId="4" fontId="2" fillId="0" borderId="0" xfId="0" applyNumberFormat="1" applyFont="1" applyFill="1" applyBorder="1" applyAlignment="1">
      <alignment horizontal="right" vertical="center"/>
    </xf>
    <xf numFmtId="9" fontId="15" fillId="0" borderId="0" xfId="0" applyNumberFormat="1" applyFont="1" applyFill="1" applyBorder="1" applyAlignment="1">
      <alignment horizontal="right" vertical="center"/>
    </xf>
    <xf numFmtId="9" fontId="16"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9" fontId="19" fillId="0" borderId="0" xfId="0" applyNumberFormat="1" applyFont="1" applyFill="1" applyBorder="1" applyAlignment="1">
      <alignment horizontal="right" vertical="center" textRotation="180" wrapText="1"/>
    </xf>
    <xf numFmtId="9" fontId="2" fillId="0" borderId="0" xfId="0" applyNumberFormat="1" applyFont="1" applyFill="1" applyBorder="1" applyAlignment="1">
      <alignment horizontal="right" vertical="center"/>
    </xf>
    <xf numFmtId="9" fontId="0" fillId="0" borderId="0" xfId="0" applyNumberFormat="1" applyFont="1" applyFill="1" applyBorder="1" applyAlignment="1">
      <alignment horizontal="right" vertical="center"/>
    </xf>
    <xf numFmtId="169" fontId="2"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Alignment="1">
      <alignment horizontal="right" vertical="center"/>
    </xf>
    <xf numFmtId="0" fontId="0" fillId="0" borderId="0" xfId="0" applyAlignment="1">
      <alignment horizontal="right" vertical="center"/>
    </xf>
    <xf numFmtId="0" fontId="2" fillId="5" borderId="30" xfId="0" applyFont="1" applyFill="1" applyBorder="1" applyAlignment="1">
      <alignment horizontal="center" wrapText="1"/>
    </xf>
    <xf numFmtId="164" fontId="2" fillId="5" borderId="35" xfId="0" applyNumberFormat="1" applyFont="1" applyFill="1" applyBorder="1" applyAlignment="1">
      <alignment/>
    </xf>
    <xf numFmtId="3" fontId="2" fillId="5" borderId="46" xfId="0" applyNumberFormat="1" applyFont="1" applyFill="1" applyBorder="1" applyAlignment="1">
      <alignment/>
    </xf>
    <xf numFmtId="0" fontId="0" fillId="4" borderId="39" xfId="0" applyFill="1" applyBorder="1" applyAlignment="1">
      <alignment horizontal="right"/>
    </xf>
    <xf numFmtId="9" fontId="15" fillId="2" borderId="17" xfId="0" applyNumberFormat="1" applyFont="1" applyFill="1" applyBorder="1" applyAlignment="1">
      <alignment horizontal="right"/>
    </xf>
    <xf numFmtId="3" fontId="9" fillId="7" borderId="44" xfId="0" applyNumberFormat="1" applyFont="1" applyFill="1" applyBorder="1" applyAlignment="1">
      <alignment horizontal="left"/>
    </xf>
    <xf numFmtId="3" fontId="9" fillId="7" borderId="45" xfId="0" applyNumberFormat="1" applyFont="1" applyFill="1" applyBorder="1" applyAlignment="1">
      <alignment horizontal="left"/>
    </xf>
    <xf numFmtId="9" fontId="2" fillId="4" borderId="17" xfId="0" applyNumberFormat="1" applyFont="1" applyFill="1" applyBorder="1" applyAlignment="1">
      <alignment/>
    </xf>
    <xf numFmtId="9" fontId="0" fillId="4" borderId="29" xfId="0" applyNumberFormat="1" applyFont="1" applyFill="1" applyBorder="1" applyAlignment="1">
      <alignment horizontal="left"/>
    </xf>
    <xf numFmtId="3" fontId="17" fillId="2" borderId="31" xfId="0" applyNumberFormat="1" applyFont="1" applyFill="1" applyBorder="1" applyAlignment="1">
      <alignment/>
    </xf>
    <xf numFmtId="3" fontId="17" fillId="2" borderId="33" xfId="0" applyNumberFormat="1" applyFont="1" applyFill="1" applyBorder="1" applyAlignment="1">
      <alignment/>
    </xf>
    <xf numFmtId="0" fontId="2" fillId="4" borderId="16" xfId="0" applyFont="1" applyFill="1" applyBorder="1" applyAlignment="1">
      <alignment horizontal="center"/>
    </xf>
    <xf numFmtId="0" fontId="17" fillId="2" borderId="30" xfId="0" applyFont="1" applyFill="1" applyBorder="1" applyAlignment="1">
      <alignment horizontal="center" wrapText="1"/>
    </xf>
    <xf numFmtId="164" fontId="2" fillId="4" borderId="3" xfId="0" applyNumberFormat="1" applyFont="1" applyFill="1" applyBorder="1" applyAlignment="1">
      <alignment/>
    </xf>
    <xf numFmtId="164" fontId="17" fillId="2" borderId="32" xfId="0" applyNumberFormat="1" applyFont="1" applyFill="1" applyBorder="1" applyAlignment="1">
      <alignment/>
    </xf>
    <xf numFmtId="164" fontId="17" fillId="2" borderId="47" xfId="0" applyNumberFormat="1" applyFont="1" applyFill="1" applyBorder="1" applyAlignment="1">
      <alignment/>
    </xf>
    <xf numFmtId="164" fontId="2" fillId="4" borderId="9" xfId="0" applyNumberFormat="1" applyFont="1" applyFill="1" applyBorder="1" applyAlignment="1">
      <alignment/>
    </xf>
    <xf numFmtId="164" fontId="17" fillId="2" borderId="34" xfId="0" applyNumberFormat="1" applyFont="1" applyFill="1" applyBorder="1" applyAlignment="1">
      <alignment/>
    </xf>
    <xf numFmtId="0" fontId="13" fillId="2" borderId="2" xfId="0" applyFont="1" applyFill="1" applyBorder="1" applyAlignment="1">
      <alignment/>
    </xf>
    <xf numFmtId="0" fontId="13" fillId="4" borderId="24" xfId="0" applyFont="1" applyFill="1" applyBorder="1" applyAlignment="1">
      <alignment horizontal="left"/>
    </xf>
    <xf numFmtId="0" fontId="0" fillId="0" borderId="0" xfId="0" applyFill="1" applyAlignment="1">
      <alignment/>
    </xf>
    <xf numFmtId="0" fontId="18" fillId="0" borderId="0" xfId="0" applyFont="1" applyFill="1" applyAlignment="1">
      <alignment horizontal="center" vertical="center"/>
    </xf>
    <xf numFmtId="0" fontId="19" fillId="0" borderId="0" xfId="0" applyFont="1" applyFill="1" applyBorder="1" applyAlignment="1">
      <alignment horizontal="center"/>
    </xf>
    <xf numFmtId="0" fontId="2" fillId="0" borderId="0" xfId="0" applyFont="1" applyFill="1" applyBorder="1" applyAlignment="1">
      <alignment horizontal="center" wrapText="1"/>
    </xf>
    <xf numFmtId="164" fontId="2" fillId="0" borderId="0" xfId="0" applyNumberFormat="1" applyFont="1" applyFill="1" applyBorder="1" applyAlignment="1">
      <alignment/>
    </xf>
    <xf numFmtId="3" fontId="2" fillId="0" borderId="0" xfId="0" applyNumberFormat="1" applyFont="1" applyFill="1" applyBorder="1" applyAlignment="1">
      <alignment/>
    </xf>
    <xf numFmtId="3" fontId="2" fillId="5" borderId="38" xfId="0" applyNumberFormat="1" applyFont="1" applyFill="1" applyBorder="1" applyAlignment="1">
      <alignment/>
    </xf>
    <xf numFmtId="9" fontId="2" fillId="0" borderId="24" xfId="0" applyNumberFormat="1" applyFont="1" applyFill="1" applyBorder="1" applyAlignment="1">
      <alignment horizontal="center"/>
    </xf>
    <xf numFmtId="9" fontId="0" fillId="0" borderId="41" xfId="0" applyNumberFormat="1" applyFont="1" applyFill="1" applyBorder="1" applyAlignment="1">
      <alignment horizontal="center"/>
    </xf>
    <xf numFmtId="9" fontId="17" fillId="2" borderId="34" xfId="0" applyNumberFormat="1" applyFont="1" applyFill="1" applyBorder="1" applyAlignment="1">
      <alignment/>
    </xf>
    <xf numFmtId="164" fontId="2" fillId="0" borderId="30" xfId="0" applyNumberFormat="1" applyFont="1" applyFill="1" applyBorder="1" applyAlignment="1">
      <alignment horizontal="center"/>
    </xf>
    <xf numFmtId="9" fontId="2" fillId="5" borderId="31" xfId="0" applyNumberFormat="1" applyFont="1" applyFill="1" applyBorder="1" applyAlignment="1">
      <alignment/>
    </xf>
    <xf numFmtId="0" fontId="19" fillId="5" borderId="29" xfId="0" applyFont="1" applyFill="1" applyBorder="1" applyAlignment="1">
      <alignment horizontal="center"/>
    </xf>
    <xf numFmtId="0" fontId="19" fillId="7" borderId="24" xfId="0" applyFont="1" applyFill="1" applyBorder="1" applyAlignment="1">
      <alignment horizontal="center"/>
    </xf>
    <xf numFmtId="0" fontId="19" fillId="7" borderId="41" xfId="0" applyFont="1" applyFill="1" applyBorder="1" applyAlignment="1">
      <alignment horizontal="center"/>
    </xf>
    <xf numFmtId="0" fontId="19" fillId="7" borderId="29" xfId="0" applyFont="1" applyFill="1" applyBorder="1" applyAlignment="1">
      <alignment horizontal="center"/>
    </xf>
    <xf numFmtId="0" fontId="2" fillId="7" borderId="48" xfId="0" applyFont="1" applyFill="1" applyBorder="1" applyAlignment="1">
      <alignment horizontal="center" wrapText="1"/>
    </xf>
    <xf numFmtId="0" fontId="0" fillId="0" borderId="29" xfId="0" applyBorder="1" applyAlignment="1">
      <alignment wrapText="1"/>
    </xf>
    <xf numFmtId="172" fontId="18" fillId="3" borderId="0" xfId="0" applyNumberFormat="1" applyFont="1" applyFill="1" applyAlignment="1">
      <alignment horizontal="center" vertical="center"/>
    </xf>
    <xf numFmtId="0" fontId="2" fillId="0" borderId="0" xfId="0" applyFont="1" applyAlignment="1">
      <alignment horizontal="center" vertical="center"/>
    </xf>
    <xf numFmtId="0" fontId="0" fillId="0" borderId="41" xfId="0" applyBorder="1" applyAlignment="1">
      <alignment horizontal="center"/>
    </xf>
    <xf numFmtId="0" fontId="0" fillId="0" borderId="29" xfId="0" applyBorder="1" applyAlignment="1">
      <alignment horizontal="center"/>
    </xf>
    <xf numFmtId="0" fontId="2" fillId="7" borderId="48" xfId="0" applyFont="1" applyFill="1" applyBorder="1" applyAlignment="1" quotePrefix="1">
      <alignment horizontal="center" wrapText="1"/>
    </xf>
    <xf numFmtId="0" fontId="3" fillId="3" borderId="0" xfId="0" applyFont="1" applyFill="1" applyAlignment="1">
      <alignment/>
    </xf>
    <xf numFmtId="0" fontId="0" fillId="0" borderId="0" xfId="0" applyAlignment="1">
      <alignment/>
    </xf>
    <xf numFmtId="0" fontId="1" fillId="0" borderId="0" xfId="0"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19" fillId="8" borderId="24" xfId="0" applyFont="1" applyFill="1" applyBorder="1" applyAlignment="1">
      <alignment horizontal="center"/>
    </xf>
    <xf numFmtId="0" fontId="19" fillId="8" borderId="41" xfId="0" applyFont="1" applyFill="1" applyBorder="1" applyAlignment="1">
      <alignment horizontal="center"/>
    </xf>
    <xf numFmtId="0" fontId="19" fillId="8" borderId="29" xfId="0" applyFont="1" applyFill="1" applyBorder="1" applyAlignment="1">
      <alignment horizontal="center"/>
    </xf>
    <xf numFmtId="0" fontId="19" fillId="5" borderId="24" xfId="0" applyFont="1" applyFill="1" applyBorder="1" applyAlignment="1">
      <alignment horizontal="center"/>
    </xf>
    <xf numFmtId="0" fontId="2" fillId="8" borderId="24" xfId="0" applyFont="1" applyFill="1" applyBorder="1" applyAlignment="1">
      <alignment horizontal="center" wrapText="1"/>
    </xf>
    <xf numFmtId="0" fontId="0" fillId="0" borderId="29" xfId="0" applyBorder="1" applyAlignment="1">
      <alignment horizontal="center" wrapText="1"/>
    </xf>
    <xf numFmtId="0" fontId="0" fillId="0" borderId="0" xfId="0" applyAlignment="1">
      <alignment wrapText="1"/>
    </xf>
    <xf numFmtId="0" fontId="13" fillId="0" borderId="0" xfId="0" applyFont="1" applyAlignment="1">
      <alignment horizontal="left"/>
    </xf>
    <xf numFmtId="0" fontId="0" fillId="0" borderId="0" xfId="0" applyAlignment="1">
      <alignment horizontal="left"/>
    </xf>
    <xf numFmtId="0" fontId="2" fillId="7" borderId="49" xfId="0" applyFont="1" applyFill="1" applyBorder="1" applyAlignment="1">
      <alignment/>
    </xf>
    <xf numFmtId="0" fontId="0" fillId="0" borderId="50" xfId="0" applyBorder="1" applyAlignment="1">
      <alignment/>
    </xf>
    <xf numFmtId="0" fontId="2" fillId="0" borderId="51" xfId="0" applyFont="1" applyFill="1" applyBorder="1" applyAlignment="1">
      <alignment/>
    </xf>
    <xf numFmtId="0" fontId="0" fillId="0" borderId="51" xfId="0" applyFont="1" applyBorder="1" applyAlignment="1">
      <alignment/>
    </xf>
    <xf numFmtId="0" fontId="0" fillId="0" borderId="0" xfId="0" applyAlignment="1">
      <alignment horizontal="center"/>
    </xf>
    <xf numFmtId="0" fontId="13" fillId="0" borderId="27" xfId="0" applyFont="1" applyBorder="1" applyAlignment="1">
      <alignment/>
    </xf>
    <xf numFmtId="0" fontId="13" fillId="0" borderId="4" xfId="0" applyFont="1" applyBorder="1" applyAlignment="1">
      <alignment/>
    </xf>
    <xf numFmtId="0" fontId="2" fillId="0" borderId="0" xfId="0" applyFont="1" applyAlignment="1">
      <alignment horizontal="right"/>
    </xf>
    <xf numFmtId="0" fontId="2" fillId="0" borderId="52" xfId="0" applyFont="1" applyBorder="1" applyAlignment="1">
      <alignment/>
    </xf>
    <xf numFmtId="0" fontId="2" fillId="0" borderId="53" xfId="0" applyFont="1" applyBorder="1" applyAlignment="1">
      <alignment/>
    </xf>
    <xf numFmtId="0" fontId="2" fillId="5" borderId="0" xfId="0" applyFont="1" applyFill="1" applyAlignment="1">
      <alignment/>
    </xf>
    <xf numFmtId="0" fontId="2" fillId="0" borderId="0" xfId="0" applyFont="1" applyAlignment="1">
      <alignment/>
    </xf>
    <xf numFmtId="0" fontId="2" fillId="0" borderId="0" xfId="0" applyFont="1" applyAlignment="1">
      <alignment vertical="center"/>
    </xf>
    <xf numFmtId="0" fontId="0" fillId="0" borderId="0" xfId="0" applyAlignment="1">
      <alignment vertical="center"/>
    </xf>
    <xf numFmtId="0" fontId="6" fillId="3" borderId="0" xfId="0" applyFont="1" applyFill="1" applyAlignment="1" quotePrefix="1">
      <alignment horizontal="center"/>
    </xf>
    <xf numFmtId="0" fontId="6" fillId="3" borderId="0" xfId="0" applyFont="1" applyFill="1" applyAlignment="1">
      <alignment horizontal="center"/>
    </xf>
    <xf numFmtId="172" fontId="1" fillId="3" borderId="0" xfId="0" applyNumberFormat="1" applyFont="1" applyFill="1" applyAlignment="1">
      <alignment horizontal="center"/>
    </xf>
    <xf numFmtId="0" fontId="2" fillId="4" borderId="41" xfId="0" applyFont="1" applyFill="1" applyBorder="1" applyAlignment="1" quotePrefix="1">
      <alignment horizontal="center" wrapText="1"/>
    </xf>
    <xf numFmtId="0" fontId="2" fillId="4" borderId="36" xfId="0" applyFont="1" applyFill="1" applyBorder="1" applyAlignment="1">
      <alignment horizontal="center" wrapText="1"/>
    </xf>
    <xf numFmtId="0" fontId="2" fillId="4" borderId="48" xfId="0" applyFont="1" applyFill="1" applyBorder="1" applyAlignment="1" quotePrefix="1">
      <alignment horizontal="center" wrapText="1"/>
    </xf>
    <xf numFmtId="0" fontId="2" fillId="4" borderId="36" xfId="0" applyFont="1" applyFill="1" applyBorder="1" applyAlignment="1" quotePrefix="1">
      <alignment horizontal="center" wrapText="1"/>
    </xf>
    <xf numFmtId="0" fontId="2" fillId="4" borderId="48" xfId="0" applyFont="1" applyFill="1" applyBorder="1" applyAlignment="1">
      <alignment horizontal="center" wrapText="1"/>
    </xf>
    <xf numFmtId="0" fontId="12" fillId="3" borderId="0" xfId="0" applyFont="1" applyFill="1" applyAlignment="1" quotePrefix="1">
      <alignment horizontal="right" textRotation="180"/>
    </xf>
    <xf numFmtId="0" fontId="12" fillId="3" borderId="0" xfId="0" applyFont="1" applyFill="1" applyAlignment="1">
      <alignment horizontal="center" textRotation="18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55"/>
  <sheetViews>
    <sheetView tabSelected="1" view="pageBreakPreview" zoomScale="75" zoomScaleSheetLayoutView="75" workbookViewId="0" topLeftCell="A1">
      <selection activeCell="B1" sqref="B1:AJ1"/>
    </sheetView>
  </sheetViews>
  <sheetFormatPr defaultColWidth="9.140625" defaultRowHeight="12.75"/>
  <cols>
    <col min="1" max="1" width="3.421875" style="0" bestFit="1" customWidth="1"/>
    <col min="2" max="2" width="4.00390625" style="112" bestFit="1" customWidth="1"/>
    <col min="3" max="3" width="40.140625" style="0" customWidth="1"/>
    <col min="4" max="4" width="15.7109375" style="0" customWidth="1"/>
    <col min="5" max="5" width="15.7109375" style="79" customWidth="1"/>
    <col min="6" max="6" width="3.7109375" style="204" customWidth="1"/>
    <col min="7" max="7" width="15.7109375" style="0" customWidth="1"/>
    <col min="8" max="8" width="15.7109375" style="79" customWidth="1"/>
    <col min="9" max="9" width="3.7109375" style="204" customWidth="1"/>
    <col min="10" max="10" width="15.7109375" style="0" customWidth="1"/>
    <col min="11" max="11" width="15.7109375" style="79" customWidth="1"/>
    <col min="12" max="12" width="3.7109375" style="204" customWidth="1"/>
    <col min="13" max="13" width="15.7109375" style="0" customWidth="1"/>
    <col min="14" max="14" width="15.7109375" style="79" customWidth="1"/>
    <col min="15" max="15" width="3.7109375" style="204" customWidth="1"/>
    <col min="16" max="16" width="15.7109375" style="0" customWidth="1"/>
    <col min="17" max="17" width="15.7109375" style="79" customWidth="1"/>
    <col min="18" max="18" width="3.7109375" style="204" customWidth="1"/>
    <col min="19" max="19" width="15.7109375" style="0" customWidth="1"/>
    <col min="20" max="20" width="15.7109375" style="79" customWidth="1"/>
    <col min="21" max="21" width="3.7109375" style="204" customWidth="1"/>
    <col min="22" max="22" width="15.7109375" style="0" customWidth="1"/>
    <col min="23" max="23" width="14.7109375" style="79" customWidth="1"/>
    <col min="24" max="24" width="3.7109375" style="204" customWidth="1"/>
    <col min="25" max="25" width="14.8515625" style="0" customWidth="1"/>
    <col min="26" max="26" width="8.140625" style="0" customWidth="1"/>
    <col min="27" max="27" width="12.00390625" style="0" customWidth="1"/>
    <col min="28" max="28" width="8.140625" style="0" customWidth="1"/>
    <col min="29" max="29" width="14.57421875" style="0" customWidth="1"/>
    <col min="30" max="30" width="14.7109375" style="0" customWidth="1"/>
    <col min="31" max="31" width="3.7109375" style="204" customWidth="1"/>
    <col min="32" max="32" width="14.7109375" style="0" customWidth="1"/>
    <col min="33" max="33" width="3.7109375" style="204" customWidth="1"/>
    <col min="34" max="34" width="11.7109375" style="0" bestFit="1" customWidth="1"/>
    <col min="35" max="35" width="14.421875" style="0" customWidth="1"/>
    <col min="36" max="36" width="14.57421875" style="0" customWidth="1"/>
    <col min="37" max="37" width="1.28515625" style="195" customWidth="1"/>
  </cols>
  <sheetData>
    <row r="1" spans="1:37" s="5" customFormat="1" ht="18">
      <c r="A1" s="9"/>
      <c r="B1" s="306"/>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283"/>
    </row>
    <row r="2" spans="1:37" s="5" customFormat="1" ht="18.75" thickBot="1">
      <c r="A2" s="9"/>
      <c r="B2" s="68"/>
      <c r="C2" s="128" t="s">
        <v>46</v>
      </c>
      <c r="D2" s="128" t="s">
        <v>47</v>
      </c>
      <c r="E2" s="301" t="s">
        <v>48</v>
      </c>
      <c r="F2" s="302"/>
      <c r="G2" s="128" t="s">
        <v>49</v>
      </c>
      <c r="H2" s="301" t="s">
        <v>51</v>
      </c>
      <c r="I2" s="302"/>
      <c r="J2" s="128" t="s">
        <v>50</v>
      </c>
      <c r="K2" s="301" t="s">
        <v>52</v>
      </c>
      <c r="L2" s="302"/>
      <c r="M2" s="128" t="s">
        <v>53</v>
      </c>
      <c r="N2" s="301" t="s">
        <v>54</v>
      </c>
      <c r="O2" s="302"/>
      <c r="P2" s="128" t="s">
        <v>191</v>
      </c>
      <c r="Q2" s="301" t="s">
        <v>192</v>
      </c>
      <c r="R2" s="302"/>
      <c r="S2" s="128" t="s">
        <v>193</v>
      </c>
      <c r="T2" s="301" t="s">
        <v>194</v>
      </c>
      <c r="U2" s="302"/>
      <c r="V2" s="128" t="s">
        <v>195</v>
      </c>
      <c r="W2" s="301" t="s">
        <v>196</v>
      </c>
      <c r="X2" s="302"/>
      <c r="Y2" s="128" t="s">
        <v>197</v>
      </c>
      <c r="Z2" s="180" t="s">
        <v>198</v>
      </c>
      <c r="AA2" s="180" t="s">
        <v>199</v>
      </c>
      <c r="AB2" s="180" t="s">
        <v>200</v>
      </c>
      <c r="AC2" s="180" t="s">
        <v>201</v>
      </c>
      <c r="AD2" s="180" t="s">
        <v>202</v>
      </c>
      <c r="AE2" s="196"/>
      <c r="AF2" s="180" t="s">
        <v>203</v>
      </c>
      <c r="AG2" s="196"/>
      <c r="AH2" s="180" t="s">
        <v>204</v>
      </c>
      <c r="AI2" s="180" t="s">
        <v>205</v>
      </c>
      <c r="AJ2" s="180" t="s">
        <v>206</v>
      </c>
      <c r="AK2" s="284"/>
    </row>
    <row r="3" spans="1:37" ht="16.5" thickBot="1">
      <c r="A3" s="7"/>
      <c r="B3" s="181"/>
      <c r="C3" s="320" t="s">
        <v>0</v>
      </c>
      <c r="D3" s="296" t="s">
        <v>230</v>
      </c>
      <c r="E3" s="303"/>
      <c r="F3" s="303"/>
      <c r="G3" s="303"/>
      <c r="H3" s="303"/>
      <c r="I3" s="303"/>
      <c r="J3" s="303"/>
      <c r="K3" s="303"/>
      <c r="L3" s="304"/>
      <c r="M3" s="296" t="s">
        <v>250</v>
      </c>
      <c r="N3" s="297"/>
      <c r="O3" s="297"/>
      <c r="P3" s="297"/>
      <c r="Q3" s="297"/>
      <c r="R3" s="297"/>
      <c r="S3" s="297"/>
      <c r="T3" s="297"/>
      <c r="U3" s="297"/>
      <c r="V3" s="297"/>
      <c r="W3" s="297"/>
      <c r="X3" s="298"/>
      <c r="Y3" s="296" t="s">
        <v>251</v>
      </c>
      <c r="Z3" s="303"/>
      <c r="AA3" s="303"/>
      <c r="AB3" s="303"/>
      <c r="AC3" s="304"/>
      <c r="AD3" s="311" t="s">
        <v>228</v>
      </c>
      <c r="AE3" s="312"/>
      <c r="AF3" s="312"/>
      <c r="AG3" s="312"/>
      <c r="AH3" s="313"/>
      <c r="AI3" s="314" t="s">
        <v>229</v>
      </c>
      <c r="AJ3" s="295"/>
      <c r="AK3" s="285"/>
    </row>
    <row r="4" spans="1:37" ht="58.5" customHeight="1" thickBot="1">
      <c r="A4" s="7"/>
      <c r="B4" s="182">
        <v>1</v>
      </c>
      <c r="C4" s="321"/>
      <c r="D4" s="113" t="s">
        <v>181</v>
      </c>
      <c r="E4" s="305" t="s">
        <v>218</v>
      </c>
      <c r="F4" s="300"/>
      <c r="G4" s="109" t="s">
        <v>231</v>
      </c>
      <c r="H4" s="299" t="s">
        <v>219</v>
      </c>
      <c r="I4" s="300"/>
      <c r="J4" s="110" t="s">
        <v>183</v>
      </c>
      <c r="K4" s="299" t="s">
        <v>220</v>
      </c>
      <c r="L4" s="300"/>
      <c r="M4" s="109" t="s">
        <v>184</v>
      </c>
      <c r="N4" s="299" t="s">
        <v>221</v>
      </c>
      <c r="O4" s="300"/>
      <c r="P4" s="109" t="s">
        <v>185</v>
      </c>
      <c r="Q4" s="299" t="s">
        <v>222</v>
      </c>
      <c r="R4" s="300"/>
      <c r="S4" s="109" t="s">
        <v>232</v>
      </c>
      <c r="T4" s="299" t="s">
        <v>233</v>
      </c>
      <c r="U4" s="300"/>
      <c r="V4" s="109" t="s">
        <v>186</v>
      </c>
      <c r="W4" s="299" t="s">
        <v>167</v>
      </c>
      <c r="X4" s="300"/>
      <c r="Y4" s="274" t="s">
        <v>187</v>
      </c>
      <c r="Z4" s="75" t="s">
        <v>234</v>
      </c>
      <c r="AA4" s="101" t="s">
        <v>188</v>
      </c>
      <c r="AB4" s="102" t="s">
        <v>168</v>
      </c>
      <c r="AC4" s="275" t="s">
        <v>225</v>
      </c>
      <c r="AD4" s="315" t="s">
        <v>226</v>
      </c>
      <c r="AE4" s="316"/>
      <c r="AF4" s="315" t="s">
        <v>227</v>
      </c>
      <c r="AG4" s="316"/>
      <c r="AH4" s="166" t="s">
        <v>4</v>
      </c>
      <c r="AI4" s="167" t="s">
        <v>180</v>
      </c>
      <c r="AJ4" s="263" t="s">
        <v>225</v>
      </c>
      <c r="AK4" s="286"/>
    </row>
    <row r="5" spans="1:37" ht="12.75">
      <c r="A5" s="7"/>
      <c r="B5" s="182">
        <f>B4+1</f>
        <v>2</v>
      </c>
      <c r="C5" s="103" t="s">
        <v>45</v>
      </c>
      <c r="D5" s="115">
        <v>100000</v>
      </c>
      <c r="E5" s="129">
        <f>'2008 Budget Input Detail'!D16</f>
        <v>5000</v>
      </c>
      <c r="F5" s="197" t="s">
        <v>7</v>
      </c>
      <c r="G5" s="119">
        <v>15000</v>
      </c>
      <c r="H5" s="129">
        <f>'2008 Budget Input Detail'!E16</f>
        <v>10000</v>
      </c>
      <c r="I5" s="197" t="s">
        <v>9</v>
      </c>
      <c r="J5" s="115">
        <f>60200+1990</f>
        <v>62190</v>
      </c>
      <c r="K5" s="130">
        <f>'2008 Budget Input Detail'!F16</f>
        <v>10000</v>
      </c>
      <c r="L5" s="222" t="s">
        <v>9</v>
      </c>
      <c r="M5" s="115">
        <v>52270</v>
      </c>
      <c r="N5" s="130">
        <f>'2008 Budget Input Detail'!G16</f>
        <v>10000</v>
      </c>
      <c r="O5" s="197" t="s">
        <v>9</v>
      </c>
      <c r="P5" s="125">
        <v>14000</v>
      </c>
      <c r="Q5" s="129">
        <f>'2008 Budget Input Detail'!H16</f>
        <v>10000</v>
      </c>
      <c r="R5" s="197" t="s">
        <v>9</v>
      </c>
      <c r="S5" s="115"/>
      <c r="T5" s="129">
        <f>'2008 Budget Input Detail'!I16</f>
        <v>30000</v>
      </c>
      <c r="U5" s="197" t="s">
        <v>17</v>
      </c>
      <c r="V5" s="115"/>
      <c r="W5" s="144"/>
      <c r="X5" s="209"/>
      <c r="Y5" s="276">
        <f>SUM(D5,G5,J5,M5,P5,S5,V5)</f>
        <v>243460</v>
      </c>
      <c r="Z5" s="151">
        <f aca="true" t="shared" si="0" ref="Z5:Z23">Y5/$Y$23</f>
        <v>0.034837223872770724</v>
      </c>
      <c r="AA5" s="16">
        <f>IF(SUM(E5,H5,K5,N5,Q5,T5,W5)&gt;0,SUM(E5,H5,K5,N5,Q5,T5,W5),0)</f>
        <v>75000</v>
      </c>
      <c r="AB5" s="17">
        <f>AA5/$AA$23</f>
        <v>0.009061044984947189</v>
      </c>
      <c r="AC5" s="277">
        <f>AA5-Y5</f>
        <v>-168460</v>
      </c>
      <c r="AD5" s="163">
        <f>'2008 Budget Input Detail'!K16</f>
        <v>20000</v>
      </c>
      <c r="AE5" s="197" t="s">
        <v>21</v>
      </c>
      <c r="AF5" s="163">
        <f>'2008 Budget Input Detail'!L16</f>
        <v>20000</v>
      </c>
      <c r="AG5" s="197" t="s">
        <v>21</v>
      </c>
      <c r="AH5" s="172">
        <f>SUM(AD5:AF5)</f>
        <v>40000</v>
      </c>
      <c r="AI5" s="168">
        <f aca="true" t="shared" si="1" ref="AI5:AI22">SUM(AH5,AA5)</f>
        <v>115000</v>
      </c>
      <c r="AJ5" s="169">
        <f>AI5-Y5</f>
        <v>-128460</v>
      </c>
      <c r="AK5" s="287"/>
    </row>
    <row r="6" spans="1:37" ht="12.75">
      <c r="A6" s="7"/>
      <c r="B6" s="182">
        <f aca="true" t="shared" si="2" ref="B6:B27">B5+1</f>
        <v>3</v>
      </c>
      <c r="C6" s="104" t="s">
        <v>23</v>
      </c>
      <c r="D6" s="115"/>
      <c r="E6" s="130">
        <f>SUM('2008 Budget Input Detail'!D8,'2008 Budget Input Detail'!D19,'2008 Budget Input Detail'!D11)+SUM('2008 Budget Input Detail'!D38,'2008 Budget Input Detail'!D49)</f>
        <v>16320</v>
      </c>
      <c r="F6" s="215" t="s">
        <v>26</v>
      </c>
      <c r="G6" s="120">
        <v>33180</v>
      </c>
      <c r="H6" s="130">
        <f>SUM('2008 Budget Input Detail'!E8,'2008 Budget Input Detail'!E11,'2008 Budget Input Detail'!E19,'2008 Budget Input Detail'!E23,'2008 Budget Input Detail'!E24,'2008 Budget Input Detail'!E25,'2008 Budget Input Detail'!E26,'2008 Budget Input Detail'!E34,'2008 Budget Input Detail'!E38,'2008 Budget Input Detail'!E49)</f>
        <v>29904</v>
      </c>
      <c r="I6" s="215" t="s">
        <v>26</v>
      </c>
      <c r="J6" s="115">
        <f>((90000*1.65)+(300*58))/5</f>
        <v>33180</v>
      </c>
      <c r="K6" s="130">
        <f>SUM('2008 Budget Input Detail'!F8,'2008 Budget Input Detail'!F9,'2008 Budget Input Detail'!F10,'2008 Budget Input Detail'!F11,'2008 Budget Input Detail'!F19,'2008 Budget Input Detail'!F23,'2008 Budget Input Detail'!F24,'2008 Budget Input Detail'!F25,'2008 Budget Input Detail'!F26,'2008 Budget Input Detail'!F29,'2008 Budget Input Detail'!F34,'2008 Budget Input Detail'!F38,'2008 Budget Input Detail'!F39,'2008 Budget Input Detail'!F40,'2008 Budget Input Detail'!F41,'2008 Budget Input Detail'!F44,'2008 Budget Input Detail'!F49)</f>
        <v>160306</v>
      </c>
      <c r="L6" s="234" t="s">
        <v>26</v>
      </c>
      <c r="M6" s="115">
        <f>((90000*1.65)+(300*58))/5</f>
        <v>33180</v>
      </c>
      <c r="N6" s="130">
        <f>SUM('2008 Budget Input Detail'!G8,'2008 Budget Input Detail'!G9,'2008 Budget Input Detail'!G10,'2008 Budget Input Detail'!G11,'2008 Budget Input Detail'!G19,'2008 Budget Input Detail'!G23,'2008 Budget Input Detail'!G24,'2008 Budget Input Detail'!G25,'2008 Budget Input Detail'!G26,'2008 Budget Input Detail'!G34,'2008 Budget Input Detail'!G38,'2008 Budget Input Detail'!G39,'2008 Budget Input Detail'!G40,'2008 Budget Input Detail'!G41,'2008 Budget Input Detail'!G49)</f>
        <v>36530</v>
      </c>
      <c r="O6" s="215" t="s">
        <v>26</v>
      </c>
      <c r="P6" s="115">
        <f>((90000*1.65)+(300*58))/5</f>
        <v>33180</v>
      </c>
      <c r="Q6" s="130">
        <f>SUM('2008 Budget Input Detail'!H8,'2008 Budget Input Detail'!H9,'2008 Budget Input Detail'!H10,'2008 Budget Input Detail'!H11,'2008 Budget Input Detail'!H19,'2008 Budget Input Detail'!H23,'2008 Budget Input Detail'!H24,'2008 Budget Input Detail'!H25,'2008 Budget Input Detail'!H26,'2008 Budget Input Detail'!H34,'2008 Budget Input Detail'!H38,'2008 Budget Input Detail'!H39,'2008 Budget Input Detail'!H40,'2008 Budget Input Detail'!H42,'2008 Budget Input Detail'!H42,'2008 Budget Input Detail'!H41,'2008 Budget Input Detail'!H49)</f>
        <v>36960</v>
      </c>
      <c r="R6" s="215" t="s">
        <v>26</v>
      </c>
      <c r="S6" s="115">
        <f>((90000*1.65)+(300*58))/5</f>
        <v>33180</v>
      </c>
      <c r="T6" s="130">
        <f>SUM('2008 Budget Input Detail'!I8,'2008 Budget Input Detail'!I19,'2008 Budget Input Detail'!I23,'2008 Budget Input Detail'!I24,'2008 Budget Input Detail'!I25,'2008 Budget Input Detail'!I26,'2008 Budget Input Detail'!I29,'2008 Budget Input Detail'!I34,'2008 Budget Input Detail'!I38,'2008 Budget Input Detail'!I39,'2008 Budget Input Detail'!I40,'2008 Budget Input Detail'!I41,'2008 Budget Input Detail'!I44,'2008 Budget Input Detail'!I49)</f>
        <v>35200</v>
      </c>
      <c r="U6" s="215" t="s">
        <v>26</v>
      </c>
      <c r="V6" s="115"/>
      <c r="W6" s="145"/>
      <c r="X6" s="210"/>
      <c r="Y6" s="276">
        <f aca="true" t="shared" si="3" ref="Y6:Y22">SUM(D6,G6,J6,M6,P6,S6,V6)</f>
        <v>165900</v>
      </c>
      <c r="Z6" s="152">
        <f t="shared" si="0"/>
        <v>0.023738993840847218</v>
      </c>
      <c r="AA6" s="16">
        <f aca="true" t="shared" si="4" ref="AA6:AA22">IF(SUM(E6,H6,K6,N6,Q6,T6,W6)&gt;0,SUM(E6,H6,K6,N6,Q6,T6,W6),0)</f>
        <v>315220</v>
      </c>
      <c r="AB6" s="17">
        <f aca="true" t="shared" si="5" ref="AB6:AB23">AA6/$AA$23</f>
        <v>0.03808296800206737</v>
      </c>
      <c r="AC6" s="278">
        <f aca="true" t="shared" si="6" ref="AC6:AC23">AA6-Y6</f>
        <v>149320</v>
      </c>
      <c r="AD6" s="163">
        <f>SUM('2008 Budget Input Detail'!K8,'2008 Budget Input Detail'!K9,'2008 Budget Input Detail'!K10,'2008 Budget Input Detail'!K11,'2008 Budget Input Detail'!K19,'2008 Budget Input Detail'!K23,'2008 Budget Input Detail'!K24,'2008 Budget Input Detail'!K25,'2008 Budget Input Detail'!K26,'2008 Budget Input Detail'!K34,'2008 Budget Input Detail'!K38,'2008 Budget Input Detail'!K39,'2008 Budget Input Detail'!K40,'2008 Budget Input Detail'!K41,'2008 Budget Input Detail'!K44,'2008 Budget Input Detail'!K49)</f>
        <v>51110</v>
      </c>
      <c r="AE6" s="215" t="s">
        <v>26</v>
      </c>
      <c r="AF6" s="163">
        <f>SUM('2008 Budget Input Detail'!L8,'2008 Budget Input Detail'!L9,'2008 Budget Input Detail'!L10,'2008 Budget Input Detail'!L11,'2008 Budget Input Detail'!L19,'2008 Budget Input Detail'!L23,'2008 Budget Input Detail'!L24,'2008 Budget Input Detail'!L25,'2008 Budget Input Detail'!L26,'2008 Budget Input Detail'!L34,'2008 Budget Input Detail'!L38,'2008 Budget Input Detail'!L39,'2008 Budget Input Detail'!L40,'2008 Budget Input Detail'!L41,'2008 Budget Input Detail'!L44,'2008 Budget Input Detail'!L49)</f>
        <v>51110</v>
      </c>
      <c r="AG6" s="215" t="s">
        <v>26</v>
      </c>
      <c r="AH6" s="172">
        <f>SUM(AD6:AF6)</f>
        <v>102220</v>
      </c>
      <c r="AI6" s="169">
        <f t="shared" si="1"/>
        <v>417440</v>
      </c>
      <c r="AJ6" s="169">
        <f aca="true" t="shared" si="7" ref="AJ6:AJ23">AI6-Y6</f>
        <v>251540</v>
      </c>
      <c r="AK6" s="287"/>
    </row>
    <row r="7" spans="1:37" ht="12.75">
      <c r="A7" s="7"/>
      <c r="B7" s="182">
        <f t="shared" si="2"/>
        <v>4</v>
      </c>
      <c r="C7" s="104" t="s">
        <v>28</v>
      </c>
      <c r="D7" s="115"/>
      <c r="E7" s="129"/>
      <c r="F7" s="197"/>
      <c r="G7" s="119"/>
      <c r="H7" s="129"/>
      <c r="I7" s="197"/>
      <c r="J7" s="115"/>
      <c r="K7" s="130"/>
      <c r="L7" s="234"/>
      <c r="M7" s="115"/>
      <c r="N7" s="130"/>
      <c r="O7" s="215"/>
      <c r="P7" s="115"/>
      <c r="Q7" s="129"/>
      <c r="R7" s="197"/>
      <c r="S7" s="115">
        <f>100*75+20000</f>
        <v>27500</v>
      </c>
      <c r="T7" s="129"/>
      <c r="U7" s="197"/>
      <c r="V7" s="115"/>
      <c r="W7" s="144"/>
      <c r="X7" s="209"/>
      <c r="Y7" s="276">
        <f t="shared" si="3"/>
        <v>27500</v>
      </c>
      <c r="Z7" s="152">
        <f t="shared" si="0"/>
        <v>0.003935035145408671</v>
      </c>
      <c r="AA7" s="16">
        <f t="shared" si="4"/>
        <v>0</v>
      </c>
      <c r="AB7" s="17">
        <f t="shared" si="5"/>
        <v>0</v>
      </c>
      <c r="AC7" s="278">
        <f t="shared" si="6"/>
        <v>-27500</v>
      </c>
      <c r="AD7" s="163"/>
      <c r="AE7" s="205"/>
      <c r="AF7" s="163"/>
      <c r="AG7" s="198"/>
      <c r="AH7" s="172"/>
      <c r="AI7" s="169">
        <f t="shared" si="1"/>
        <v>0</v>
      </c>
      <c r="AJ7" s="169">
        <f t="shared" si="7"/>
        <v>-27500</v>
      </c>
      <c r="AK7" s="287"/>
    </row>
    <row r="8" spans="1:37" ht="12.75">
      <c r="A8" s="7"/>
      <c r="B8" s="182">
        <f t="shared" si="2"/>
        <v>5</v>
      </c>
      <c r="C8" s="104" t="s">
        <v>29</v>
      </c>
      <c r="D8" s="115">
        <v>6700</v>
      </c>
      <c r="E8" s="129">
        <f>'2008 Budget Input Detail'!D30</f>
        <v>5000</v>
      </c>
      <c r="F8" s="197" t="s">
        <v>12</v>
      </c>
      <c r="G8" s="119">
        <v>6700</v>
      </c>
      <c r="H8" s="129">
        <f>'2008 Budget Input Detail'!E30</f>
        <v>1500</v>
      </c>
      <c r="I8" s="197" t="s">
        <v>12</v>
      </c>
      <c r="J8" s="115"/>
      <c r="K8" s="130"/>
      <c r="L8" s="234"/>
      <c r="M8" s="115"/>
      <c r="N8" s="130"/>
      <c r="O8" s="215"/>
      <c r="P8" s="115">
        <f>200*67</f>
        <v>13400</v>
      </c>
      <c r="Q8" s="129"/>
      <c r="R8" s="197"/>
      <c r="S8" s="115"/>
      <c r="T8" s="129"/>
      <c r="U8" s="197"/>
      <c r="V8" s="115"/>
      <c r="W8" s="144"/>
      <c r="X8" s="209"/>
      <c r="Y8" s="276">
        <f t="shared" si="3"/>
        <v>26800</v>
      </c>
      <c r="Z8" s="152">
        <f t="shared" si="0"/>
        <v>0.003834870614434632</v>
      </c>
      <c r="AA8" s="16">
        <f t="shared" si="4"/>
        <v>6500</v>
      </c>
      <c r="AB8" s="17">
        <f t="shared" si="5"/>
        <v>0.0007852905653620896</v>
      </c>
      <c r="AC8" s="278">
        <f t="shared" si="6"/>
        <v>-20300</v>
      </c>
      <c r="AD8" s="163"/>
      <c r="AE8" s="205"/>
      <c r="AF8" s="163"/>
      <c r="AG8" s="198"/>
      <c r="AH8" s="172"/>
      <c r="AI8" s="169">
        <f t="shared" si="1"/>
        <v>6500</v>
      </c>
      <c r="AJ8" s="169">
        <f t="shared" si="7"/>
        <v>-20300</v>
      </c>
      <c r="AK8" s="287"/>
    </row>
    <row r="9" spans="1:37" ht="12.75">
      <c r="A9" s="7"/>
      <c r="B9" s="182">
        <f t="shared" si="2"/>
        <v>6</v>
      </c>
      <c r="C9" s="104" t="s">
        <v>30</v>
      </c>
      <c r="D9" s="115"/>
      <c r="E9" s="131"/>
      <c r="F9" s="216"/>
      <c r="G9" s="121"/>
      <c r="H9" s="131"/>
      <c r="I9" s="216"/>
      <c r="J9" s="115">
        <v>49000</v>
      </c>
      <c r="K9" s="16">
        <v>6000</v>
      </c>
      <c r="L9" s="234" t="s">
        <v>22</v>
      </c>
      <c r="M9" s="115">
        <v>23500</v>
      </c>
      <c r="N9" s="16">
        <v>12000</v>
      </c>
      <c r="O9" s="215" t="s">
        <v>22</v>
      </c>
      <c r="P9" s="115"/>
      <c r="Q9" s="16"/>
      <c r="R9" s="217"/>
      <c r="S9" s="115"/>
      <c r="T9" s="131"/>
      <c r="U9" s="216"/>
      <c r="V9" s="115"/>
      <c r="W9" s="146"/>
      <c r="X9" s="211"/>
      <c r="Y9" s="276">
        <f t="shared" si="3"/>
        <v>72500</v>
      </c>
      <c r="Z9" s="152">
        <f t="shared" si="0"/>
        <v>0.010374183565168314</v>
      </c>
      <c r="AA9" s="16">
        <f t="shared" si="4"/>
        <v>18000</v>
      </c>
      <c r="AB9" s="17">
        <f t="shared" si="5"/>
        <v>0.002174650796387325</v>
      </c>
      <c r="AC9" s="278">
        <f t="shared" si="6"/>
        <v>-54500</v>
      </c>
      <c r="AD9" s="163">
        <v>6000</v>
      </c>
      <c r="AE9" s="197" t="s">
        <v>22</v>
      </c>
      <c r="AF9" s="163"/>
      <c r="AG9" s="198"/>
      <c r="AH9" s="172">
        <f>SUM(AD9:AF9)</f>
        <v>6000</v>
      </c>
      <c r="AI9" s="169">
        <f t="shared" si="1"/>
        <v>24000</v>
      </c>
      <c r="AJ9" s="169">
        <f t="shared" si="7"/>
        <v>-48500</v>
      </c>
      <c r="AK9" s="287"/>
    </row>
    <row r="10" spans="1:37" ht="12.75">
      <c r="A10" s="7"/>
      <c r="B10" s="182">
        <f t="shared" si="2"/>
        <v>7</v>
      </c>
      <c r="C10" s="104" t="s">
        <v>31</v>
      </c>
      <c r="D10" s="115">
        <v>15000</v>
      </c>
      <c r="E10" s="129">
        <f>'2008 Budget Input Detail'!D31</f>
        <v>5500</v>
      </c>
      <c r="F10" s="197" t="s">
        <v>25</v>
      </c>
      <c r="G10" s="119"/>
      <c r="H10" s="129"/>
      <c r="I10" s="197"/>
      <c r="J10" s="115">
        <f>104550+6640</f>
        <v>111190</v>
      </c>
      <c r="K10" s="130">
        <f>'2008 Budget Input Detail'!F31-K9</f>
        <v>45273.5</v>
      </c>
      <c r="L10" s="234" t="s">
        <v>27</v>
      </c>
      <c r="M10" s="115">
        <f>52500+3185</f>
        <v>55685</v>
      </c>
      <c r="N10" s="130">
        <f>'2008 Budget Input Detail'!G31-N9</f>
        <v>54363.5</v>
      </c>
      <c r="O10" s="215" t="s">
        <v>27</v>
      </c>
      <c r="P10" s="115">
        <v>55000</v>
      </c>
      <c r="Q10" s="129">
        <f>'2008 Budget Input Detail'!H31</f>
        <v>50000</v>
      </c>
      <c r="R10" s="197" t="s">
        <v>236</v>
      </c>
      <c r="S10" s="115"/>
      <c r="T10" s="129">
        <v>30000</v>
      </c>
      <c r="U10" s="197" t="s">
        <v>237</v>
      </c>
      <c r="V10" s="115"/>
      <c r="W10" s="144"/>
      <c r="X10" s="209"/>
      <c r="Y10" s="276">
        <f t="shared" si="3"/>
        <v>236875</v>
      </c>
      <c r="Z10" s="152">
        <f t="shared" si="0"/>
        <v>0.033894961820679234</v>
      </c>
      <c r="AA10" s="16">
        <f t="shared" si="4"/>
        <v>185137</v>
      </c>
      <c r="AB10" s="17">
        <f t="shared" si="5"/>
        <v>0.022367129138375567</v>
      </c>
      <c r="AC10" s="278">
        <f t="shared" si="6"/>
        <v>-51738</v>
      </c>
      <c r="AD10" s="163">
        <f>'2008 Budget Input Detail'!K31-AD9</f>
        <v>44478.95</v>
      </c>
      <c r="AE10" s="197" t="s">
        <v>27</v>
      </c>
      <c r="AF10" s="163">
        <f>'2008 Budget Input Detail'!L31</f>
        <v>15000</v>
      </c>
      <c r="AG10" s="222" t="s">
        <v>236</v>
      </c>
      <c r="AH10" s="172">
        <f>SUM(AD10:AF10)</f>
        <v>59478.95</v>
      </c>
      <c r="AI10" s="169">
        <f t="shared" si="1"/>
        <v>244615.95</v>
      </c>
      <c r="AJ10" s="169">
        <f t="shared" si="7"/>
        <v>7740.950000000012</v>
      </c>
      <c r="AK10" s="287"/>
    </row>
    <row r="11" spans="1:37" ht="12.75">
      <c r="A11" s="7"/>
      <c r="B11" s="182">
        <f t="shared" si="2"/>
        <v>8</v>
      </c>
      <c r="C11" s="104" t="s">
        <v>1</v>
      </c>
      <c r="D11" s="115">
        <f>45*1695</f>
        <v>76275</v>
      </c>
      <c r="E11" s="129"/>
      <c r="F11" s="197"/>
      <c r="G11" s="119">
        <f>32500+(501+339)*19</f>
        <v>48460</v>
      </c>
      <c r="H11" s="129">
        <f>'2008 Budget Input Detail'!E46-H20</f>
        <v>118851</v>
      </c>
      <c r="I11" s="197" t="s">
        <v>238</v>
      </c>
      <c r="J11" s="115">
        <f>205347.5+7950+15000</f>
        <v>228297.5</v>
      </c>
      <c r="K11" s="136">
        <f>518931+15336</f>
        <v>534267</v>
      </c>
      <c r="L11" s="235" t="s">
        <v>238</v>
      </c>
      <c r="M11" s="115">
        <f>211641.85+7140+25000</f>
        <v>243781.85</v>
      </c>
      <c r="N11" s="136">
        <f>SUM('2008 Budget Input Detail'!G46)-(N12+N20)</f>
        <v>440951</v>
      </c>
      <c r="O11" s="220" t="s">
        <v>238</v>
      </c>
      <c r="P11" s="115">
        <f>P25*24</f>
        <v>11688</v>
      </c>
      <c r="Q11" s="129">
        <f>'2008 Budget Input Detail'!H46-Q20-Q12</f>
        <v>25830</v>
      </c>
      <c r="R11" s="197" t="s">
        <v>238</v>
      </c>
      <c r="S11" s="115"/>
      <c r="T11" s="129"/>
      <c r="U11" s="197"/>
      <c r="V11" s="115"/>
      <c r="W11" s="144"/>
      <c r="X11" s="209"/>
      <c r="Y11" s="276">
        <f t="shared" si="3"/>
        <v>608502.35</v>
      </c>
      <c r="Z11" s="152">
        <f t="shared" si="0"/>
        <v>0.08707193212050064</v>
      </c>
      <c r="AA11" s="16">
        <f t="shared" si="4"/>
        <v>1119899</v>
      </c>
      <c r="AB11" s="17">
        <f t="shared" si="5"/>
        <v>0.13529940290129827</v>
      </c>
      <c r="AC11" s="278">
        <f t="shared" si="6"/>
        <v>511396.65</v>
      </c>
      <c r="AD11" s="163">
        <f>'2008 Budget Input Detail'!K46-AD12-AD20</f>
        <v>628904.5</v>
      </c>
      <c r="AE11" s="197" t="s">
        <v>238</v>
      </c>
      <c r="AF11" s="163">
        <f>'2008 Budget Input Detail'!L46-(AF12+AF20)</f>
        <v>215000</v>
      </c>
      <c r="AG11" s="222" t="s">
        <v>238</v>
      </c>
      <c r="AH11" s="172">
        <f>SUM(AD11:AF11)</f>
        <v>843904.5</v>
      </c>
      <c r="AI11" s="169">
        <f t="shared" si="1"/>
        <v>1963803.5</v>
      </c>
      <c r="AJ11" s="169">
        <f t="shared" si="7"/>
        <v>1355301.15</v>
      </c>
      <c r="AK11" s="287"/>
    </row>
    <row r="12" spans="1:37" ht="12.75">
      <c r="A12" s="7"/>
      <c r="B12" s="182">
        <f t="shared" si="2"/>
        <v>9</v>
      </c>
      <c r="C12" s="104" t="s">
        <v>24</v>
      </c>
      <c r="D12" s="115"/>
      <c r="E12" s="131"/>
      <c r="F12" s="216"/>
      <c r="G12" s="121"/>
      <c r="H12" s="131"/>
      <c r="I12" s="216"/>
      <c r="J12" s="115">
        <v>84500</v>
      </c>
      <c r="K12" s="16">
        <f>50000+205380</f>
        <v>255380</v>
      </c>
      <c r="L12" s="234" t="s">
        <v>239</v>
      </c>
      <c r="M12" s="115">
        <v>40700</v>
      </c>
      <c r="N12" s="16">
        <f>45500+218850</f>
        <v>264350</v>
      </c>
      <c r="O12" s="215" t="s">
        <v>239</v>
      </c>
      <c r="P12" s="115"/>
      <c r="Q12" s="16">
        <v>100000</v>
      </c>
      <c r="R12" s="215" t="s">
        <v>239</v>
      </c>
      <c r="S12" s="115"/>
      <c r="T12" s="16">
        <f>'2008 Budget Input Detail'!I46-T10</f>
        <v>50000</v>
      </c>
      <c r="U12" s="215" t="s">
        <v>239</v>
      </c>
      <c r="V12" s="115"/>
      <c r="W12" s="146"/>
      <c r="X12" s="211"/>
      <c r="Y12" s="276">
        <f t="shared" si="3"/>
        <v>125200</v>
      </c>
      <c r="Z12" s="152">
        <f t="shared" si="0"/>
        <v>0.017915141825642383</v>
      </c>
      <c r="AA12" s="16">
        <f t="shared" si="4"/>
        <v>669730</v>
      </c>
      <c r="AB12" s="17">
        <f t="shared" si="5"/>
        <v>0.08091271543691574</v>
      </c>
      <c r="AC12" s="278">
        <f t="shared" si="6"/>
        <v>544530</v>
      </c>
      <c r="AD12" s="163">
        <v>78000</v>
      </c>
      <c r="AE12" s="197" t="s">
        <v>239</v>
      </c>
      <c r="AF12" s="163"/>
      <c r="AG12" s="198"/>
      <c r="AH12" s="172">
        <f>SUM(AD12:AF12)</f>
        <v>78000</v>
      </c>
      <c r="AI12" s="169">
        <f t="shared" si="1"/>
        <v>747730</v>
      </c>
      <c r="AJ12" s="169">
        <f t="shared" si="7"/>
        <v>622530</v>
      </c>
      <c r="AK12" s="287"/>
    </row>
    <row r="13" spans="1:37" ht="12.75">
      <c r="A13" s="7"/>
      <c r="B13" s="182">
        <f t="shared" si="2"/>
        <v>10</v>
      </c>
      <c r="C13" s="104" t="s">
        <v>73</v>
      </c>
      <c r="D13" s="115"/>
      <c r="E13" s="129"/>
      <c r="F13" s="197"/>
      <c r="G13" s="119"/>
      <c r="H13" s="129"/>
      <c r="I13" s="197"/>
      <c r="J13" s="115">
        <f>75000*1.65</f>
        <v>123750</v>
      </c>
      <c r="K13" s="130"/>
      <c r="L13" s="234"/>
      <c r="M13" s="115"/>
      <c r="N13" s="130"/>
      <c r="O13" s="215"/>
      <c r="P13" s="115">
        <f>(40*12)*67</f>
        <v>32160</v>
      </c>
      <c r="Q13" s="129"/>
      <c r="R13" s="197"/>
      <c r="S13" s="115"/>
      <c r="T13" s="130"/>
      <c r="U13" s="215"/>
      <c r="V13" s="115"/>
      <c r="W13" s="144"/>
      <c r="X13" s="209"/>
      <c r="Y13" s="276">
        <f t="shared" si="3"/>
        <v>155910</v>
      </c>
      <c r="Z13" s="152">
        <f t="shared" si="0"/>
        <v>0.022309502891660577</v>
      </c>
      <c r="AA13" s="16">
        <f t="shared" si="4"/>
        <v>0</v>
      </c>
      <c r="AB13" s="17">
        <f t="shared" si="5"/>
        <v>0</v>
      </c>
      <c r="AC13" s="278">
        <f t="shared" si="6"/>
        <v>-155910</v>
      </c>
      <c r="AD13" s="163"/>
      <c r="AE13" s="205"/>
      <c r="AF13" s="163"/>
      <c r="AG13" s="198"/>
      <c r="AH13" s="172"/>
      <c r="AI13" s="169">
        <f t="shared" si="1"/>
        <v>0</v>
      </c>
      <c r="AJ13" s="169">
        <f t="shared" si="7"/>
        <v>-155910</v>
      </c>
      <c r="AK13" s="287"/>
    </row>
    <row r="14" spans="1:37" ht="12.75">
      <c r="A14" s="7"/>
      <c r="B14" s="182">
        <f t="shared" si="2"/>
        <v>11</v>
      </c>
      <c r="C14" s="104" t="s">
        <v>33</v>
      </c>
      <c r="D14" s="115"/>
      <c r="E14" s="131"/>
      <c r="F14" s="216"/>
      <c r="G14" s="121"/>
      <c r="H14" s="131"/>
      <c r="I14" s="216"/>
      <c r="J14" s="115"/>
      <c r="K14" s="16">
        <f>'2008 Budget Input Detail'!F45</f>
        <v>28000</v>
      </c>
      <c r="L14" s="234" t="s">
        <v>240</v>
      </c>
      <c r="M14" s="115"/>
      <c r="N14" s="16"/>
      <c r="O14" s="217"/>
      <c r="P14" s="115"/>
      <c r="Q14" s="16">
        <f>SUM('2008 Budget Input Detail'!H30,'2008 Budget Input Detail'!H45)</f>
        <v>25000</v>
      </c>
      <c r="R14" s="215" t="s">
        <v>240</v>
      </c>
      <c r="S14" s="115">
        <f>10000+3000+57500+15000+10000+25000+28000+35000+10000</f>
        <v>193500</v>
      </c>
      <c r="T14" s="16">
        <f>'2008 Budget Input Detail'!I31</f>
        <v>200000</v>
      </c>
      <c r="U14" s="215" t="s">
        <v>247</v>
      </c>
      <c r="V14" s="115"/>
      <c r="W14" s="146"/>
      <c r="X14" s="211"/>
      <c r="Y14" s="276">
        <f t="shared" si="3"/>
        <v>193500</v>
      </c>
      <c r="Z14" s="152">
        <f t="shared" si="0"/>
        <v>0.027688338204966464</v>
      </c>
      <c r="AA14" s="16">
        <f t="shared" si="4"/>
        <v>253000</v>
      </c>
      <c r="AB14" s="17">
        <f t="shared" si="5"/>
        <v>0.030565925082555182</v>
      </c>
      <c r="AC14" s="278">
        <f t="shared" si="6"/>
        <v>59500</v>
      </c>
      <c r="AD14" s="163"/>
      <c r="AE14" s="205"/>
      <c r="AF14" s="163"/>
      <c r="AG14" s="198"/>
      <c r="AH14" s="172"/>
      <c r="AI14" s="169">
        <f t="shared" si="1"/>
        <v>253000</v>
      </c>
      <c r="AJ14" s="169">
        <f t="shared" si="7"/>
        <v>59500</v>
      </c>
      <c r="AK14" s="287"/>
    </row>
    <row r="15" spans="1:37" ht="12.75">
      <c r="A15" s="7"/>
      <c r="B15" s="182">
        <f t="shared" si="2"/>
        <v>12</v>
      </c>
      <c r="C15" s="104" t="s">
        <v>34</v>
      </c>
      <c r="D15" s="115"/>
      <c r="E15" s="131"/>
      <c r="F15" s="216"/>
      <c r="G15" s="121"/>
      <c r="H15" s="131"/>
      <c r="I15" s="216"/>
      <c r="J15" s="115"/>
      <c r="K15" s="16"/>
      <c r="L15" s="236"/>
      <c r="M15" s="115"/>
      <c r="N15" s="16"/>
      <c r="O15" s="217"/>
      <c r="P15" s="115"/>
      <c r="Q15" s="131"/>
      <c r="R15" s="216"/>
      <c r="S15" s="115">
        <f>25000+8800</f>
        <v>33800</v>
      </c>
      <c r="T15" s="16"/>
      <c r="U15" s="217"/>
      <c r="V15" s="115"/>
      <c r="W15" s="146"/>
      <c r="X15" s="211"/>
      <c r="Y15" s="276">
        <f t="shared" si="3"/>
        <v>33800</v>
      </c>
      <c r="Z15" s="152">
        <f t="shared" si="0"/>
        <v>0.004836515924175021</v>
      </c>
      <c r="AA15" s="16">
        <f t="shared" si="4"/>
        <v>0</v>
      </c>
      <c r="AB15" s="17">
        <f t="shared" si="5"/>
        <v>0</v>
      </c>
      <c r="AC15" s="278">
        <f t="shared" si="6"/>
        <v>-33800</v>
      </c>
      <c r="AD15" s="163"/>
      <c r="AE15" s="205"/>
      <c r="AF15" s="163"/>
      <c r="AG15" s="198"/>
      <c r="AH15" s="172"/>
      <c r="AI15" s="169">
        <f t="shared" si="1"/>
        <v>0</v>
      </c>
      <c r="AJ15" s="169">
        <f t="shared" si="7"/>
        <v>-33800</v>
      </c>
      <c r="AK15" s="287"/>
    </row>
    <row r="16" spans="1:37" ht="12.75">
      <c r="A16" s="7"/>
      <c r="B16" s="182">
        <f t="shared" si="2"/>
        <v>13</v>
      </c>
      <c r="C16" s="104" t="s">
        <v>35</v>
      </c>
      <c r="D16" s="115"/>
      <c r="E16" s="131"/>
      <c r="F16" s="216"/>
      <c r="G16" s="121"/>
      <c r="H16" s="131"/>
      <c r="I16" s="216"/>
      <c r="J16" s="115"/>
      <c r="K16" s="16"/>
      <c r="L16" s="236"/>
      <c r="M16" s="115"/>
      <c r="N16" s="16"/>
      <c r="O16" s="217"/>
      <c r="P16" s="115"/>
      <c r="Q16" s="131"/>
      <c r="R16" s="216"/>
      <c r="S16" s="115">
        <v>28000</v>
      </c>
      <c r="T16" s="16"/>
      <c r="U16" s="217"/>
      <c r="V16" s="115"/>
      <c r="W16" s="146"/>
      <c r="X16" s="211"/>
      <c r="Y16" s="276">
        <f t="shared" si="3"/>
        <v>28000</v>
      </c>
      <c r="Z16" s="152">
        <f t="shared" si="0"/>
        <v>0.004006581238961556</v>
      </c>
      <c r="AA16" s="16">
        <f t="shared" si="4"/>
        <v>0</v>
      </c>
      <c r="AB16" s="17">
        <f t="shared" si="5"/>
        <v>0</v>
      </c>
      <c r="AC16" s="278">
        <f t="shared" si="6"/>
        <v>-28000</v>
      </c>
      <c r="AD16" s="163"/>
      <c r="AE16" s="205"/>
      <c r="AF16" s="163"/>
      <c r="AG16" s="198"/>
      <c r="AH16" s="172"/>
      <c r="AI16" s="169">
        <f t="shared" si="1"/>
        <v>0</v>
      </c>
      <c r="AJ16" s="169">
        <f t="shared" si="7"/>
        <v>-28000</v>
      </c>
      <c r="AK16" s="287"/>
    </row>
    <row r="17" spans="1:37" ht="12.75">
      <c r="A17" s="7"/>
      <c r="B17" s="182">
        <f t="shared" si="2"/>
        <v>14</v>
      </c>
      <c r="C17" s="104" t="s">
        <v>36</v>
      </c>
      <c r="D17" s="115"/>
      <c r="E17" s="131"/>
      <c r="F17" s="216"/>
      <c r="G17" s="121"/>
      <c r="H17" s="131"/>
      <c r="I17" s="216"/>
      <c r="J17" s="115"/>
      <c r="K17" s="16"/>
      <c r="L17" s="236"/>
      <c r="M17" s="115"/>
      <c r="N17" s="16"/>
      <c r="O17" s="217"/>
      <c r="P17" s="115"/>
      <c r="Q17" s="131"/>
      <c r="R17" s="216"/>
      <c r="S17" s="115">
        <v>523000</v>
      </c>
      <c r="T17" s="16">
        <f>'2008 Budget Input Detail'!I30-T19</f>
        <v>800000</v>
      </c>
      <c r="U17" s="215" t="s">
        <v>241</v>
      </c>
      <c r="V17" s="115"/>
      <c r="W17" s="146"/>
      <c r="X17" s="211"/>
      <c r="Y17" s="276">
        <f t="shared" si="3"/>
        <v>523000</v>
      </c>
      <c r="Z17" s="152">
        <f t="shared" si="0"/>
        <v>0.07483721385631763</v>
      </c>
      <c r="AA17" s="16">
        <f t="shared" si="4"/>
        <v>800000</v>
      </c>
      <c r="AB17" s="17">
        <f t="shared" si="5"/>
        <v>0.09665114650610333</v>
      </c>
      <c r="AC17" s="278">
        <f t="shared" si="6"/>
        <v>277000</v>
      </c>
      <c r="AD17" s="163"/>
      <c r="AE17" s="205"/>
      <c r="AF17" s="163"/>
      <c r="AG17" s="198"/>
      <c r="AH17" s="172"/>
      <c r="AI17" s="169">
        <f t="shared" si="1"/>
        <v>800000</v>
      </c>
      <c r="AJ17" s="169">
        <f t="shared" si="7"/>
        <v>277000</v>
      </c>
      <c r="AK17" s="287"/>
    </row>
    <row r="18" spans="1:37" ht="12.75">
      <c r="A18" s="7"/>
      <c r="B18" s="182">
        <f t="shared" si="2"/>
        <v>15</v>
      </c>
      <c r="C18" s="104" t="s">
        <v>2</v>
      </c>
      <c r="D18" s="115">
        <f>((75*1695*3)+67*2080)*0.8</f>
        <v>416588</v>
      </c>
      <c r="E18" s="129">
        <f>SUM('2008 Budget Input Detail'!D23,'2008 Budget Input Detail'!D24,'2008 Budget Input Detail'!D25,'2008 Budget Input Detail'!D26,'2008 Budget Input Detail'!D27,'2008 Budget Input Detail'!D29,'2008 Budget Input Detail'!D32,'2008 Budget Input Detail'!D33,'2008 Budget Input Detail'!D34,'2008 Budget Input Detail'!D35)</f>
        <v>523634</v>
      </c>
      <c r="F18" s="197" t="s">
        <v>242</v>
      </c>
      <c r="G18" s="119"/>
      <c r="H18" s="129"/>
      <c r="I18" s="197"/>
      <c r="J18" s="115"/>
      <c r="K18" s="130"/>
      <c r="L18" s="234"/>
      <c r="M18" s="115"/>
      <c r="N18" s="130"/>
      <c r="O18" s="215"/>
      <c r="P18" s="115"/>
      <c r="Q18" s="129"/>
      <c r="R18" s="197"/>
      <c r="S18" s="115"/>
      <c r="T18" s="130"/>
      <c r="U18" s="215"/>
      <c r="V18" s="115"/>
      <c r="W18" s="144"/>
      <c r="X18" s="209"/>
      <c r="Y18" s="276">
        <f t="shared" si="3"/>
        <v>416588</v>
      </c>
      <c r="Z18" s="152">
        <f t="shared" si="0"/>
        <v>0.05961048804201845</v>
      </c>
      <c r="AA18" s="16">
        <f t="shared" si="4"/>
        <v>523634</v>
      </c>
      <c r="AB18" s="17">
        <f t="shared" si="5"/>
        <v>0.06326228306197114</v>
      </c>
      <c r="AC18" s="278">
        <f t="shared" si="6"/>
        <v>107046</v>
      </c>
      <c r="AD18" s="163"/>
      <c r="AE18" s="205"/>
      <c r="AF18" s="163"/>
      <c r="AG18" s="198"/>
      <c r="AH18" s="172"/>
      <c r="AI18" s="169">
        <f t="shared" si="1"/>
        <v>523634</v>
      </c>
      <c r="AJ18" s="169">
        <f t="shared" si="7"/>
        <v>107046</v>
      </c>
      <c r="AK18" s="287"/>
    </row>
    <row r="19" spans="1:37" ht="12.75">
      <c r="A19" s="7"/>
      <c r="B19" s="182">
        <f t="shared" si="2"/>
        <v>16</v>
      </c>
      <c r="C19" s="104" t="s">
        <v>13</v>
      </c>
      <c r="D19" s="115"/>
      <c r="E19" s="131"/>
      <c r="F19" s="216"/>
      <c r="G19" s="121"/>
      <c r="H19" s="131"/>
      <c r="I19" s="216"/>
      <c r="J19" s="115"/>
      <c r="K19" s="16"/>
      <c r="L19" s="236"/>
      <c r="M19" s="115"/>
      <c r="N19" s="16"/>
      <c r="O19" s="217"/>
      <c r="P19" s="115"/>
      <c r="Q19" s="131"/>
      <c r="R19" s="216"/>
      <c r="S19" s="115">
        <v>50000</v>
      </c>
      <c r="T19" s="16">
        <v>50000</v>
      </c>
      <c r="U19" s="215" t="s">
        <v>243</v>
      </c>
      <c r="V19" s="115">
        <v>250000</v>
      </c>
      <c r="W19" s="147">
        <f>'2008 Budget Input Detail'!J31</f>
        <v>250000</v>
      </c>
      <c r="X19" s="223" t="s">
        <v>243</v>
      </c>
      <c r="Y19" s="276">
        <f t="shared" si="3"/>
        <v>300000</v>
      </c>
      <c r="Z19" s="152">
        <f t="shared" si="0"/>
        <v>0.042927656131730954</v>
      </c>
      <c r="AA19" s="16">
        <f t="shared" si="4"/>
        <v>300000</v>
      </c>
      <c r="AB19" s="17">
        <f t="shared" si="5"/>
        <v>0.036244179939788755</v>
      </c>
      <c r="AC19" s="278">
        <f t="shared" si="6"/>
        <v>0</v>
      </c>
      <c r="AD19" s="163"/>
      <c r="AE19" s="205"/>
      <c r="AF19" s="163"/>
      <c r="AG19" s="198"/>
      <c r="AH19" s="172"/>
      <c r="AI19" s="169">
        <f t="shared" si="1"/>
        <v>300000</v>
      </c>
      <c r="AJ19" s="169">
        <f t="shared" si="7"/>
        <v>0</v>
      </c>
      <c r="AK19" s="287"/>
    </row>
    <row r="20" spans="1:37" ht="12.75">
      <c r="A20" s="7"/>
      <c r="B20" s="182">
        <f t="shared" si="2"/>
        <v>17</v>
      </c>
      <c r="C20" s="104" t="s">
        <v>8</v>
      </c>
      <c r="D20" s="115"/>
      <c r="E20" s="129">
        <f>'2008 Budget Input Detail'!D46</f>
        <v>10770</v>
      </c>
      <c r="F20" s="197" t="s">
        <v>244</v>
      </c>
      <c r="G20" s="119">
        <v>148728</v>
      </c>
      <c r="H20" s="129">
        <v>590005</v>
      </c>
      <c r="I20" s="197" t="s">
        <v>244</v>
      </c>
      <c r="J20" s="115">
        <v>2080800</v>
      </c>
      <c r="K20" s="16">
        <v>1241000</v>
      </c>
      <c r="L20" s="222" t="s">
        <v>244</v>
      </c>
      <c r="M20" s="115">
        <v>1372480</v>
      </c>
      <c r="N20" s="130">
        <v>1712500</v>
      </c>
      <c r="O20" s="197" t="s">
        <v>244</v>
      </c>
      <c r="P20" s="115">
        <v>76486</v>
      </c>
      <c r="Q20" s="129">
        <v>218595</v>
      </c>
      <c r="R20" s="197" t="s">
        <v>244</v>
      </c>
      <c r="S20" s="115"/>
      <c r="T20" s="129"/>
      <c r="U20" s="197"/>
      <c r="V20" s="115"/>
      <c r="W20" s="144"/>
      <c r="X20" s="209"/>
      <c r="Y20" s="276">
        <f t="shared" si="3"/>
        <v>3678494</v>
      </c>
      <c r="Z20" s="152">
        <f t="shared" si="0"/>
        <v>0.5263637517154517</v>
      </c>
      <c r="AA20" s="16">
        <f t="shared" si="4"/>
        <v>3772870</v>
      </c>
      <c r="AB20" s="17">
        <f t="shared" si="5"/>
        <v>0.4558152638981026</v>
      </c>
      <c r="AC20" s="278">
        <f t="shared" si="6"/>
        <v>94376</v>
      </c>
      <c r="AD20" s="163">
        <v>871750</v>
      </c>
      <c r="AE20" s="197" t="s">
        <v>244</v>
      </c>
      <c r="AF20" s="163">
        <v>153948</v>
      </c>
      <c r="AG20" s="197" t="s">
        <v>244</v>
      </c>
      <c r="AH20" s="172">
        <f>SUM(AD20:AF20)</f>
        <v>1025698</v>
      </c>
      <c r="AI20" s="169">
        <f t="shared" si="1"/>
        <v>4798568</v>
      </c>
      <c r="AJ20" s="169">
        <f t="shared" si="7"/>
        <v>1120074</v>
      </c>
      <c r="AK20" s="287"/>
    </row>
    <row r="21" spans="1:37" ht="12.75">
      <c r="A21" s="7"/>
      <c r="B21" s="182">
        <f t="shared" si="2"/>
        <v>18</v>
      </c>
      <c r="C21" s="104" t="s">
        <v>20</v>
      </c>
      <c r="D21" s="115">
        <f>14*734+6.2*1102+3*2204+4*1763</f>
        <v>30772.4</v>
      </c>
      <c r="E21" s="244">
        <f>'2008 Budget Input Detail'!D28</f>
        <v>32621</v>
      </c>
      <c r="F21" s="245" t="s">
        <v>245</v>
      </c>
      <c r="G21" s="119"/>
      <c r="H21" s="129"/>
      <c r="I21" s="197"/>
      <c r="J21" s="115"/>
      <c r="K21" s="130"/>
      <c r="L21" s="234"/>
      <c r="M21" s="115"/>
      <c r="N21" s="130"/>
      <c r="O21" s="215"/>
      <c r="P21" s="115"/>
      <c r="Q21" s="129"/>
      <c r="R21" s="197"/>
      <c r="S21" s="115"/>
      <c r="T21" s="129"/>
      <c r="U21" s="197"/>
      <c r="V21" s="115"/>
      <c r="W21" s="144"/>
      <c r="X21" s="209"/>
      <c r="Y21" s="276">
        <f t="shared" si="3"/>
        <v>30772.4</v>
      </c>
      <c r="Z21" s="152">
        <f t="shared" si="0"/>
        <v>0.004403290018493592</v>
      </c>
      <c r="AA21" s="243">
        <f t="shared" si="4"/>
        <v>32621</v>
      </c>
      <c r="AB21" s="17">
        <f t="shared" si="5"/>
        <v>0.003941071312719496</v>
      </c>
      <c r="AC21" s="278">
        <f t="shared" si="6"/>
        <v>1848.5999999999985</v>
      </c>
      <c r="AD21" s="163"/>
      <c r="AE21" s="205"/>
      <c r="AF21" s="163"/>
      <c r="AG21" s="198"/>
      <c r="AH21" s="172">
        <f>SUM(AD21:AF21)</f>
        <v>0</v>
      </c>
      <c r="AI21" s="169">
        <f t="shared" si="1"/>
        <v>32621</v>
      </c>
      <c r="AJ21" s="169">
        <f t="shared" si="7"/>
        <v>1848.5999999999985</v>
      </c>
      <c r="AK21" s="287"/>
    </row>
    <row r="22" spans="1:37" ht="12.75">
      <c r="A22" s="7"/>
      <c r="B22" s="182">
        <f t="shared" si="2"/>
        <v>19</v>
      </c>
      <c r="C22" s="104" t="s">
        <v>32</v>
      </c>
      <c r="D22" s="115">
        <v>12500</v>
      </c>
      <c r="E22" s="129">
        <f>'2008 Budget Input Detail'!D66</f>
        <v>32600</v>
      </c>
      <c r="F22" s="197" t="s">
        <v>246</v>
      </c>
      <c r="G22" s="119">
        <v>12500</v>
      </c>
      <c r="H22" s="129">
        <f>'2008 Budget Input Detail'!E66</f>
        <v>32600</v>
      </c>
      <c r="I22" s="197" t="s">
        <v>246</v>
      </c>
      <c r="J22" s="115">
        <v>25000</v>
      </c>
      <c r="K22" s="130">
        <f>SUM('2008 Budget Input Detail'!F66)</f>
        <v>42120</v>
      </c>
      <c r="L22" s="222" t="s">
        <v>246</v>
      </c>
      <c r="M22" s="115">
        <v>25000</v>
      </c>
      <c r="N22" s="130">
        <f>'2008 Budget Input Detail'!G66</f>
        <v>32600</v>
      </c>
      <c r="O22" s="197" t="s">
        <v>246</v>
      </c>
      <c r="P22" s="115">
        <v>25000</v>
      </c>
      <c r="Q22" s="129">
        <f>'2008 Budget Input Detail'!H66</f>
        <v>36000</v>
      </c>
      <c r="R22" s="197" t="s">
        <v>246</v>
      </c>
      <c r="S22" s="115">
        <v>21700</v>
      </c>
      <c r="T22" s="129">
        <f>'2008 Budget Input Detail'!I66</f>
        <v>29660</v>
      </c>
      <c r="U22" s="197" t="s">
        <v>246</v>
      </c>
      <c r="V22" s="115"/>
      <c r="W22" s="144"/>
      <c r="X22" s="209"/>
      <c r="Y22" s="276">
        <f t="shared" si="3"/>
        <v>121700</v>
      </c>
      <c r="Z22" s="152">
        <f t="shared" si="0"/>
        <v>0.01741431917077219</v>
      </c>
      <c r="AA22" s="16">
        <f t="shared" si="4"/>
        <v>205580</v>
      </c>
      <c r="AB22" s="17">
        <f t="shared" si="5"/>
        <v>0.024836928373405905</v>
      </c>
      <c r="AC22" s="278">
        <f t="shared" si="6"/>
        <v>83880</v>
      </c>
      <c r="AD22" s="163">
        <f>'2008 Budget Input Detail'!K66</f>
        <v>33960</v>
      </c>
      <c r="AE22" s="197" t="s">
        <v>246</v>
      </c>
      <c r="AF22" s="163">
        <f>'2008 Budget Input Detail'!L66</f>
        <v>33960</v>
      </c>
      <c r="AG22" s="197" t="s">
        <v>246</v>
      </c>
      <c r="AH22" s="172">
        <f>SUM(AD22:AF22)</f>
        <v>67920</v>
      </c>
      <c r="AI22" s="169">
        <f t="shared" si="1"/>
        <v>273500</v>
      </c>
      <c r="AJ22" s="169">
        <f t="shared" si="7"/>
        <v>151800</v>
      </c>
      <c r="AK22" s="287"/>
    </row>
    <row r="23" spans="1:37" ht="13.5" thickBot="1">
      <c r="A23" s="7"/>
      <c r="B23" s="182">
        <f t="shared" si="2"/>
        <v>20</v>
      </c>
      <c r="C23" s="105" t="s">
        <v>5</v>
      </c>
      <c r="D23" s="116">
        <f aca="true" t="shared" si="8" ref="D23:Y23">SUM(D5:D22)</f>
        <v>657835.4</v>
      </c>
      <c r="E23" s="132">
        <f t="shared" si="8"/>
        <v>631445</v>
      </c>
      <c r="F23" s="206"/>
      <c r="G23" s="116">
        <f t="shared" si="8"/>
        <v>264568</v>
      </c>
      <c r="H23" s="132">
        <f t="shared" si="8"/>
        <v>782860</v>
      </c>
      <c r="I23" s="206"/>
      <c r="J23" s="116">
        <f t="shared" si="8"/>
        <v>2797907.5</v>
      </c>
      <c r="K23" s="137">
        <f t="shared" si="8"/>
        <v>2322346.5</v>
      </c>
      <c r="L23" s="199"/>
      <c r="M23" s="116">
        <f t="shared" si="8"/>
        <v>1846596.85</v>
      </c>
      <c r="N23" s="137">
        <f t="shared" si="8"/>
        <v>2563294.5</v>
      </c>
      <c r="O23" s="206"/>
      <c r="P23" s="116">
        <f t="shared" si="8"/>
        <v>260914</v>
      </c>
      <c r="Q23" s="137">
        <f>SUM(Q5:Q22)</f>
        <v>502385</v>
      </c>
      <c r="R23" s="206"/>
      <c r="S23" s="116">
        <f t="shared" si="8"/>
        <v>910680</v>
      </c>
      <c r="T23" s="137">
        <f t="shared" si="8"/>
        <v>1224860</v>
      </c>
      <c r="U23" s="206"/>
      <c r="V23" s="116">
        <f t="shared" si="8"/>
        <v>250000</v>
      </c>
      <c r="W23" s="137">
        <f t="shared" si="8"/>
        <v>250000</v>
      </c>
      <c r="X23" s="212"/>
      <c r="Y23" s="279">
        <f t="shared" si="8"/>
        <v>6988501.75</v>
      </c>
      <c r="Z23" s="153">
        <f t="shared" si="0"/>
        <v>1</v>
      </c>
      <c r="AA23" s="31">
        <f>SUM(AA5:AA22)</f>
        <v>8277191</v>
      </c>
      <c r="AB23" s="17">
        <f t="shared" si="5"/>
        <v>1</v>
      </c>
      <c r="AC23" s="280">
        <f t="shared" si="6"/>
        <v>1288689.25</v>
      </c>
      <c r="AD23" s="137">
        <f aca="true" t="shared" si="9" ref="AD23:AI23">SUM(AD5:AD22)</f>
        <v>1734203.45</v>
      </c>
      <c r="AE23" s="206"/>
      <c r="AF23" s="137">
        <f t="shared" si="9"/>
        <v>489018</v>
      </c>
      <c r="AG23" s="199"/>
      <c r="AH23" s="173">
        <f t="shared" si="9"/>
        <v>2223221.45</v>
      </c>
      <c r="AI23" s="170">
        <f t="shared" si="9"/>
        <v>10500412.45</v>
      </c>
      <c r="AJ23" s="264">
        <f t="shared" si="7"/>
        <v>3511910.6999999993</v>
      </c>
      <c r="AK23" s="287"/>
    </row>
    <row r="24" spans="1:37" ht="13.5" thickBot="1">
      <c r="A24" s="7"/>
      <c r="B24" s="182">
        <f t="shared" si="2"/>
        <v>21</v>
      </c>
      <c r="C24" s="281" t="s">
        <v>223</v>
      </c>
      <c r="D24" s="150">
        <f>E23-D23</f>
        <v>-26390.400000000023</v>
      </c>
      <c r="E24" s="178">
        <f>D24/D23</f>
        <v>-0.040117026234830204</v>
      </c>
      <c r="F24" s="224"/>
      <c r="G24" s="150">
        <f>H23-G23</f>
        <v>518292</v>
      </c>
      <c r="H24" s="178">
        <f>G24/G23</f>
        <v>1.95901242780684</v>
      </c>
      <c r="I24" s="224"/>
      <c r="J24" s="150">
        <f>K23-J23</f>
        <v>-475561</v>
      </c>
      <c r="K24" s="178">
        <f>J24/J23</f>
        <v>-0.16997023668580896</v>
      </c>
      <c r="L24" s="237"/>
      <c r="M24" s="150">
        <f>N23-M23</f>
        <v>716697.6499999999</v>
      </c>
      <c r="N24" s="178">
        <f>M24/M23</f>
        <v>0.38811809410375625</v>
      </c>
      <c r="O24" s="224"/>
      <c r="P24" s="150">
        <f>Q23-P23</f>
        <v>241471</v>
      </c>
      <c r="Q24" s="178">
        <f>P24/P23</f>
        <v>0.9254811930367861</v>
      </c>
      <c r="R24" s="224"/>
      <c r="S24" s="150">
        <f>T23-S23</f>
        <v>314180</v>
      </c>
      <c r="T24" s="178">
        <f>S24/S23</f>
        <v>0.34499494882944615</v>
      </c>
      <c r="U24" s="224"/>
      <c r="V24" s="150">
        <f>W23-V23</f>
        <v>0</v>
      </c>
      <c r="W24" s="267">
        <f>V24/V23</f>
        <v>0</v>
      </c>
      <c r="X24" s="237"/>
      <c r="Y24" s="290"/>
      <c r="Z24" s="291"/>
      <c r="AA24" s="291"/>
      <c r="AB24" s="291"/>
      <c r="AC24" s="292">
        <f>(AA23-Y23)/Y23</f>
        <v>0.18440136328219423</v>
      </c>
      <c r="AD24" s="183"/>
      <c r="AE24" s="207"/>
      <c r="AF24" s="183"/>
      <c r="AG24" s="200"/>
      <c r="AH24" s="174"/>
      <c r="AI24" s="293"/>
      <c r="AJ24" s="294">
        <f>(AI23-Y23)/Y23</f>
        <v>0.502526982983155</v>
      </c>
      <c r="AK24" s="246"/>
    </row>
    <row r="25" spans="1:37" ht="12.75">
      <c r="A25" s="7"/>
      <c r="B25" s="182">
        <f t="shared" si="2"/>
        <v>22</v>
      </c>
      <c r="C25" s="106" t="s">
        <v>6</v>
      </c>
      <c r="D25" s="117">
        <f>1695+1695</f>
        <v>3390</v>
      </c>
      <c r="E25" s="133">
        <f>D25*1.06</f>
        <v>3593.4</v>
      </c>
      <c r="F25" s="218" t="s">
        <v>248</v>
      </c>
      <c r="G25" s="122">
        <v>501</v>
      </c>
      <c r="H25" s="133">
        <v>2221</v>
      </c>
      <c r="I25" s="218" t="s">
        <v>248</v>
      </c>
      <c r="J25" s="117">
        <v>8605</v>
      </c>
      <c r="K25" s="138">
        <v>3180</v>
      </c>
      <c r="L25" s="238" t="s">
        <v>248</v>
      </c>
      <c r="M25" s="117">
        <v>15499</v>
      </c>
      <c r="N25" s="140">
        <v>16185</v>
      </c>
      <c r="O25" s="218" t="s">
        <v>248</v>
      </c>
      <c r="P25" s="117">
        <v>487</v>
      </c>
      <c r="Q25" s="133">
        <v>820</v>
      </c>
      <c r="R25" s="218" t="s">
        <v>248</v>
      </c>
      <c r="S25" s="126" t="s">
        <v>129</v>
      </c>
      <c r="T25" s="142" t="s">
        <v>129</v>
      </c>
      <c r="U25" s="218" t="s">
        <v>248</v>
      </c>
      <c r="V25" s="126" t="s">
        <v>129</v>
      </c>
      <c r="W25" s="148" t="s">
        <v>129</v>
      </c>
      <c r="X25" s="268"/>
      <c r="Y25" s="160">
        <f>SUM(D25,G25,J25,M25,P25)</f>
        <v>28482</v>
      </c>
      <c r="Z25" s="154"/>
      <c r="AA25" s="157">
        <f>SUM(E25,H25,K25,N25,Q25)</f>
        <v>25999.4</v>
      </c>
      <c r="AB25" s="218"/>
      <c r="AC25" s="272">
        <f>AA25-Y25</f>
        <v>-2482.5999999999985</v>
      </c>
      <c r="AD25" s="164">
        <v>2990</v>
      </c>
      <c r="AE25" s="218" t="s">
        <v>248</v>
      </c>
      <c r="AF25" s="164">
        <v>50</v>
      </c>
      <c r="AG25" s="218" t="s">
        <v>248</v>
      </c>
      <c r="AH25" s="175">
        <f>SUM(AD25:AF25)</f>
        <v>3040</v>
      </c>
      <c r="AI25" s="171">
        <f>SUM(AH25,AA25)</f>
        <v>29039.4</v>
      </c>
      <c r="AJ25" s="289">
        <f>AI25-Y25</f>
        <v>557.4000000000015</v>
      </c>
      <c r="AK25" s="288"/>
    </row>
    <row r="26" spans="1:37" ht="13.5" thickBot="1">
      <c r="A26" s="7"/>
      <c r="B26" s="182">
        <f t="shared" si="2"/>
        <v>23</v>
      </c>
      <c r="C26" s="111" t="s">
        <v>277</v>
      </c>
      <c r="D26" s="118">
        <v>9147</v>
      </c>
      <c r="E26" s="134">
        <v>13074</v>
      </c>
      <c r="F26" s="221" t="s">
        <v>252</v>
      </c>
      <c r="G26" s="123">
        <v>3219</v>
      </c>
      <c r="H26" s="134">
        <v>14157</v>
      </c>
      <c r="I26" s="221" t="s">
        <v>252</v>
      </c>
      <c r="J26" s="118">
        <v>65403</v>
      </c>
      <c r="K26" s="139">
        <v>49770</v>
      </c>
      <c r="L26" s="239" t="s">
        <v>252</v>
      </c>
      <c r="M26" s="118">
        <v>45030</v>
      </c>
      <c r="N26" s="134">
        <v>64930</v>
      </c>
      <c r="O26" s="221" t="s">
        <v>252</v>
      </c>
      <c r="P26" s="118">
        <v>10587</v>
      </c>
      <c r="Q26" s="141">
        <v>25962</v>
      </c>
      <c r="R26" s="221" t="s">
        <v>252</v>
      </c>
      <c r="S26" s="127" t="s">
        <v>129</v>
      </c>
      <c r="T26" s="143" t="s">
        <v>129</v>
      </c>
      <c r="U26" s="221" t="s">
        <v>252</v>
      </c>
      <c r="V26" s="127" t="s">
        <v>129</v>
      </c>
      <c r="W26" s="149" t="s">
        <v>129</v>
      </c>
      <c r="X26" s="269"/>
      <c r="Y26" s="161">
        <f>SUM(D26,G26,J26,M26,P26)</f>
        <v>133386</v>
      </c>
      <c r="Z26" s="155"/>
      <c r="AA26" s="158">
        <f>SUM(E26,H26,K26,N26,Q26)</f>
        <v>167893</v>
      </c>
      <c r="AB26" s="159"/>
      <c r="AC26" s="273">
        <f>AA26-Y26</f>
        <v>34507</v>
      </c>
      <c r="AD26" s="165">
        <v>23300</v>
      </c>
      <c r="AE26" s="221" t="s">
        <v>252</v>
      </c>
      <c r="AF26" s="165">
        <v>15395</v>
      </c>
      <c r="AG26" s="221" t="s">
        <v>252</v>
      </c>
      <c r="AH26" s="176">
        <f>SUM(AD26:AF26)</f>
        <v>38695</v>
      </c>
      <c r="AI26" s="242">
        <f>SUM(AH26,AA26)</f>
        <v>206588</v>
      </c>
      <c r="AJ26" s="265">
        <f>AI26-Y26</f>
        <v>73202</v>
      </c>
      <c r="AK26" s="288"/>
    </row>
    <row r="27" spans="1:37" ht="13.5" thickBot="1">
      <c r="A27" s="7"/>
      <c r="B27" s="182">
        <f t="shared" si="2"/>
        <v>24</v>
      </c>
      <c r="C27" s="282" t="s">
        <v>224</v>
      </c>
      <c r="D27" s="124"/>
      <c r="E27" s="178">
        <f>(E26-D26)/D26</f>
        <v>0.42932108888160053</v>
      </c>
      <c r="F27" s="224"/>
      <c r="G27" s="124"/>
      <c r="H27" s="178">
        <f>(H26-G26)/G26</f>
        <v>3.397949673811743</v>
      </c>
      <c r="I27" s="224"/>
      <c r="J27" s="124"/>
      <c r="K27" s="178">
        <f>(K26-J26)/J26</f>
        <v>-0.23902573276455208</v>
      </c>
      <c r="L27" s="237"/>
      <c r="M27" s="124"/>
      <c r="N27" s="178">
        <f>(N26-M26)/M26</f>
        <v>0.4419276038196758</v>
      </c>
      <c r="O27" s="224"/>
      <c r="P27" s="124"/>
      <c r="Q27" s="178">
        <f>(Q26-P26)/P26</f>
        <v>1.4522527628223292</v>
      </c>
      <c r="R27" s="224"/>
      <c r="S27" s="124"/>
      <c r="T27" s="179"/>
      <c r="U27" s="213"/>
      <c r="V27" s="124"/>
      <c r="W27" s="270"/>
      <c r="X27" s="271"/>
      <c r="Y27" s="156"/>
      <c r="Z27" s="162"/>
      <c r="AA27" s="241">
        <f>AC26/Y26</f>
        <v>0.2587003133762164</v>
      </c>
      <c r="AB27" s="240"/>
      <c r="AC27" s="177"/>
      <c r="AD27" s="73"/>
      <c r="AE27" s="208"/>
      <c r="AF27" s="73"/>
      <c r="AG27" s="201"/>
      <c r="AH27" s="177"/>
      <c r="AI27" s="241">
        <f>AJ26/Y26</f>
        <v>0.548798224701243</v>
      </c>
      <c r="AJ27" s="266"/>
      <c r="AK27" s="194"/>
    </row>
    <row r="28" spans="1:37" ht="12.75">
      <c r="A28" s="7"/>
      <c r="B28" s="182"/>
      <c r="C28" s="187"/>
      <c r="D28" s="188"/>
      <c r="E28" s="189"/>
      <c r="F28" s="219"/>
      <c r="G28" s="188"/>
      <c r="H28" s="189"/>
      <c r="I28" s="219"/>
      <c r="J28" s="188"/>
      <c r="K28" s="189"/>
      <c r="L28" s="219"/>
      <c r="M28" s="188"/>
      <c r="N28" s="189"/>
      <c r="O28" s="219"/>
      <c r="P28" s="188"/>
      <c r="Q28" s="189"/>
      <c r="R28" s="219"/>
      <c r="S28" s="188"/>
      <c r="T28" s="190"/>
      <c r="U28" s="214"/>
      <c r="V28" s="188"/>
      <c r="W28" s="190"/>
      <c r="X28" s="214"/>
      <c r="Y28" s="191"/>
      <c r="Z28" s="192"/>
      <c r="AA28" s="189"/>
      <c r="AB28" s="186"/>
      <c r="AC28" s="186"/>
      <c r="AD28" s="193"/>
      <c r="AE28" s="202"/>
      <c r="AF28" s="193"/>
      <c r="AG28" s="202"/>
      <c r="AH28" s="186"/>
      <c r="AI28" s="189"/>
      <c r="AJ28" s="194"/>
      <c r="AK28" s="194"/>
    </row>
    <row r="29" spans="1:37" ht="12.75">
      <c r="A29" s="7"/>
      <c r="B29" s="182"/>
      <c r="C29" s="187"/>
      <c r="D29" s="188"/>
      <c r="E29" s="189"/>
      <c r="F29" s="219"/>
      <c r="G29" s="188"/>
      <c r="H29" s="189"/>
      <c r="I29" s="219"/>
      <c r="J29" s="188"/>
      <c r="K29" s="189"/>
      <c r="L29" s="219"/>
      <c r="M29" s="188"/>
      <c r="N29" s="189"/>
      <c r="O29" s="219"/>
      <c r="P29" s="188"/>
      <c r="Q29" s="189"/>
      <c r="R29" s="219"/>
      <c r="S29" s="188"/>
      <c r="T29" s="190"/>
      <c r="U29" s="214"/>
      <c r="V29" s="188"/>
      <c r="W29" s="190"/>
      <c r="X29" s="214"/>
      <c r="Y29" s="191"/>
      <c r="Z29" s="192"/>
      <c r="AA29" s="189"/>
      <c r="AB29" s="186"/>
      <c r="AC29" s="186"/>
      <c r="AD29" s="193"/>
      <c r="AE29" s="202"/>
      <c r="AF29" s="193"/>
      <c r="AG29" s="202"/>
      <c r="AH29" s="186"/>
      <c r="AI29" s="189"/>
      <c r="AJ29" s="194"/>
      <c r="AK29" s="194"/>
    </row>
    <row r="30" spans="1:46" ht="12.75">
      <c r="A30" s="7"/>
      <c r="B30" s="182"/>
      <c r="C30" s="187"/>
      <c r="D30" s="188"/>
      <c r="E30" s="189"/>
      <c r="F30" s="219"/>
      <c r="G30" s="188"/>
      <c r="H30" s="189"/>
      <c r="I30" s="219"/>
      <c r="J30" s="188"/>
      <c r="K30" s="189"/>
      <c r="L30" s="219"/>
      <c r="M30" s="188"/>
      <c r="N30" s="189"/>
      <c r="O30" s="219"/>
      <c r="P30" s="188"/>
      <c r="Q30" s="189"/>
      <c r="R30" s="219"/>
      <c r="S30" s="188"/>
      <c r="T30" s="190"/>
      <c r="U30" s="214"/>
      <c r="V30" s="188"/>
      <c r="W30" s="190"/>
      <c r="X30" s="214"/>
      <c r="Y30" s="191"/>
      <c r="Z30" s="192"/>
      <c r="AA30" s="189"/>
      <c r="AB30" s="186"/>
      <c r="AC30" s="186"/>
      <c r="AD30" s="193"/>
      <c r="AE30" s="202"/>
      <c r="AF30" s="193"/>
      <c r="AG30" s="202"/>
      <c r="AH30" s="186"/>
      <c r="AI30" s="189"/>
      <c r="AJ30" s="194"/>
      <c r="AK30" s="194"/>
      <c r="AL30" s="195"/>
      <c r="AM30" s="195"/>
      <c r="AN30" s="195"/>
      <c r="AO30" s="195"/>
      <c r="AP30" s="195"/>
      <c r="AQ30" s="195"/>
      <c r="AR30" s="195"/>
      <c r="AS30" s="195"/>
      <c r="AT30" s="195"/>
    </row>
    <row r="31" spans="1:46" s="262" customFormat="1" ht="171" customHeight="1">
      <c r="A31" s="248"/>
      <c r="B31" s="247"/>
      <c r="C31" s="249"/>
      <c r="D31" s="250"/>
      <c r="E31" s="251"/>
      <c r="F31" s="252"/>
      <c r="G31" s="250"/>
      <c r="H31" s="251"/>
      <c r="I31" s="252"/>
      <c r="J31" s="253"/>
      <c r="K31" s="254" t="s">
        <v>253</v>
      </c>
      <c r="L31" s="252"/>
      <c r="M31" s="250"/>
      <c r="N31" s="251"/>
      <c r="O31" s="252"/>
      <c r="P31" s="250"/>
      <c r="Q31" s="251"/>
      <c r="R31" s="252"/>
      <c r="S31" s="250"/>
      <c r="T31" s="255"/>
      <c r="U31" s="256"/>
      <c r="V31" s="250"/>
      <c r="W31" s="254" t="s">
        <v>253</v>
      </c>
      <c r="X31" s="256"/>
      <c r="Y31" s="257"/>
      <c r="Z31" s="258"/>
      <c r="AA31" s="251"/>
      <c r="AB31" s="249"/>
      <c r="AC31" s="249"/>
      <c r="AD31" s="259"/>
      <c r="AE31" s="260"/>
      <c r="AF31" s="259"/>
      <c r="AG31" s="260"/>
      <c r="AH31" s="249"/>
      <c r="AI31" s="251"/>
      <c r="AJ31" s="254" t="s">
        <v>253</v>
      </c>
      <c r="AK31" s="254"/>
      <c r="AL31" s="261"/>
      <c r="AM31" s="261"/>
      <c r="AN31" s="261"/>
      <c r="AO31" s="261"/>
      <c r="AP31" s="261"/>
      <c r="AQ31" s="261"/>
      <c r="AR31" s="261"/>
      <c r="AS31" s="261"/>
      <c r="AT31" s="261"/>
    </row>
    <row r="32" spans="5:35" ht="12.75">
      <c r="E32" s="135">
        <f>SUM(E23-'2008 Budget Input Detail'!D67)</f>
        <v>0</v>
      </c>
      <c r="F32" s="203"/>
      <c r="H32" s="135">
        <f>SUM(H23-'2008 Budget Input Detail'!E67)</f>
        <v>0</v>
      </c>
      <c r="I32" s="203"/>
      <c r="K32" s="135">
        <f>SUM(K23-'2008 Budget Input Detail'!F67)</f>
        <v>0</v>
      </c>
      <c r="L32" s="203"/>
      <c r="N32" s="135">
        <f>SUM(N23-'2008 Budget Input Detail'!G67)</f>
        <v>0</v>
      </c>
      <c r="O32" s="203"/>
      <c r="Q32" s="135">
        <f>SUM(Q23-'2008 Budget Input Detail'!H67)</f>
        <v>0</v>
      </c>
      <c r="R32" s="203"/>
      <c r="T32" s="135">
        <f>SUM(T23-'2008 Budget Input Detail'!I67)</f>
        <v>0</v>
      </c>
      <c r="U32" s="203"/>
      <c r="W32" s="135">
        <f>SUM(W23-'2008 Budget Input Detail'!J67)</f>
        <v>0</v>
      </c>
      <c r="X32" s="203"/>
      <c r="AA32" s="114">
        <f>SUM(AA23-SUM('2008 Budget Input Detail'!D67:J67))</f>
        <v>0</v>
      </c>
      <c r="AD32" s="114">
        <f>SUM(AD23-'2008 Budget Input Detail'!K67)</f>
        <v>0</v>
      </c>
      <c r="AE32" s="203"/>
      <c r="AF32" s="114">
        <f>SUM(AF23-'2008 Budget Input Detail'!L67)</f>
        <v>0</v>
      </c>
      <c r="AG32" s="203"/>
      <c r="AI32" s="114">
        <f>SUM(AI23-SUM('2008 Budget Input Detail'!D67:L67))</f>
        <v>0</v>
      </c>
    </row>
    <row r="33" spans="3:33" ht="12.75">
      <c r="C33" s="318"/>
      <c r="D33" s="319"/>
      <c r="E33" s="319"/>
      <c r="F33" s="319"/>
      <c r="G33" s="319"/>
      <c r="H33" s="319"/>
      <c r="I33" s="319"/>
      <c r="J33" s="319"/>
      <c r="K33" s="319"/>
      <c r="N33" s="318"/>
      <c r="O33" s="319"/>
      <c r="P33" s="319"/>
      <c r="Q33" s="319"/>
      <c r="R33" s="319"/>
      <c r="S33" s="319"/>
      <c r="T33" s="319"/>
      <c r="U33" s="319"/>
      <c r="V33" s="319"/>
      <c r="Z33" s="318"/>
      <c r="AA33" s="319"/>
      <c r="AB33" s="319"/>
      <c r="AC33" s="319"/>
      <c r="AD33" s="319"/>
      <c r="AE33" s="319"/>
      <c r="AF33" s="319"/>
      <c r="AG33" s="319"/>
    </row>
    <row r="34" spans="2:37" ht="24.75" customHeight="1">
      <c r="B34" s="185"/>
      <c r="C34" s="308"/>
      <c r="D34" s="309"/>
      <c r="E34" s="310"/>
      <c r="F34" s="310"/>
      <c r="G34" s="309"/>
      <c r="H34" s="310"/>
      <c r="I34" s="310"/>
      <c r="J34" s="309"/>
      <c r="K34" s="310"/>
      <c r="L34" s="307"/>
      <c r="M34" s="307"/>
      <c r="N34" s="307"/>
      <c r="O34" s="307"/>
      <c r="P34" s="307"/>
      <c r="Q34" s="307"/>
      <c r="R34" s="307"/>
      <c r="S34" s="307"/>
      <c r="T34" s="307"/>
      <c r="U34" s="307"/>
      <c r="V34" s="307"/>
      <c r="W34" s="307"/>
      <c r="Y34" s="185"/>
      <c r="Z34" s="308"/>
      <c r="AA34" s="309"/>
      <c r="AB34" s="310"/>
      <c r="AC34" s="310"/>
      <c r="AD34" s="310"/>
      <c r="AE34" s="310"/>
      <c r="AF34" s="309"/>
      <c r="AG34" s="310"/>
      <c r="AH34" s="317"/>
      <c r="AI34" s="317"/>
      <c r="AJ34" s="317"/>
      <c r="AK34" s="80"/>
    </row>
    <row r="35" spans="2:37" ht="24.75" customHeight="1">
      <c r="B35" s="185"/>
      <c r="C35" s="308"/>
      <c r="D35" s="309"/>
      <c r="E35" s="309"/>
      <c r="F35" s="309"/>
      <c r="G35" s="309"/>
      <c r="H35" s="309"/>
      <c r="I35" s="309"/>
      <c r="J35" s="309"/>
      <c r="K35" s="309"/>
      <c r="L35" s="307"/>
      <c r="M35" s="307"/>
      <c r="N35" s="307"/>
      <c r="O35" s="307"/>
      <c r="P35" s="307"/>
      <c r="Q35" s="307"/>
      <c r="R35" s="307"/>
      <c r="S35" s="307"/>
      <c r="T35" s="307"/>
      <c r="U35" s="307"/>
      <c r="V35" s="307"/>
      <c r="W35" s="307"/>
      <c r="Y35" s="185"/>
      <c r="Z35" s="308"/>
      <c r="AA35" s="309"/>
      <c r="AB35" s="309"/>
      <c r="AC35" s="309"/>
      <c r="AD35" s="309"/>
      <c r="AE35" s="309"/>
      <c r="AF35" s="309"/>
      <c r="AG35" s="309"/>
      <c r="AH35" s="317"/>
      <c r="AI35" s="317"/>
      <c r="AJ35" s="317"/>
      <c r="AK35" s="80"/>
    </row>
    <row r="36" spans="2:37" ht="12.75" customHeight="1">
      <c r="B36" s="185"/>
      <c r="C36" s="308"/>
      <c r="D36" s="309"/>
      <c r="E36" s="309"/>
      <c r="F36" s="309"/>
      <c r="G36" s="309"/>
      <c r="H36" s="309"/>
      <c r="I36" s="309"/>
      <c r="J36" s="309"/>
      <c r="K36" s="309"/>
      <c r="L36" s="307"/>
      <c r="M36" s="307"/>
      <c r="N36" s="307"/>
      <c r="O36" s="307"/>
      <c r="P36" s="307"/>
      <c r="Q36" s="307"/>
      <c r="R36" s="307"/>
      <c r="S36" s="307"/>
      <c r="T36" s="307"/>
      <c r="U36" s="307"/>
      <c r="V36" s="307"/>
      <c r="W36" s="307"/>
      <c r="Y36" s="185"/>
      <c r="Z36" s="308"/>
      <c r="AA36" s="309"/>
      <c r="AB36" s="309"/>
      <c r="AC36" s="309"/>
      <c r="AD36" s="309"/>
      <c r="AE36" s="309"/>
      <c r="AF36" s="309"/>
      <c r="AG36" s="309"/>
      <c r="AH36" s="317"/>
      <c r="AI36" s="317"/>
      <c r="AJ36" s="317"/>
      <c r="AK36" s="80"/>
    </row>
    <row r="37" spans="2:37" ht="12.75" customHeight="1">
      <c r="B37" s="185"/>
      <c r="C37" s="308"/>
      <c r="D37" s="309"/>
      <c r="E37" s="309"/>
      <c r="F37" s="309"/>
      <c r="G37" s="309"/>
      <c r="H37" s="309"/>
      <c r="I37" s="309"/>
      <c r="J37" s="309"/>
      <c r="K37" s="309"/>
      <c r="L37" s="307"/>
      <c r="M37" s="307"/>
      <c r="N37" s="307"/>
      <c r="O37" s="307"/>
      <c r="P37" s="307"/>
      <c r="Q37" s="307"/>
      <c r="R37" s="307"/>
      <c r="S37" s="307"/>
      <c r="T37" s="307"/>
      <c r="U37" s="307"/>
      <c r="V37" s="307"/>
      <c r="W37" s="307"/>
      <c r="Y37" s="185"/>
      <c r="Z37" s="308"/>
      <c r="AA37" s="309"/>
      <c r="AB37" s="309"/>
      <c r="AC37" s="309"/>
      <c r="AD37" s="309"/>
      <c r="AE37" s="309"/>
      <c r="AF37" s="309"/>
      <c r="AG37" s="309"/>
      <c r="AH37" s="317"/>
      <c r="AI37" s="317"/>
      <c r="AJ37" s="317"/>
      <c r="AK37" s="80"/>
    </row>
    <row r="38" spans="2:37" ht="12.75" customHeight="1">
      <c r="B38" s="185"/>
      <c r="C38" s="308"/>
      <c r="D38" s="309"/>
      <c r="E38" s="309"/>
      <c r="F38" s="309"/>
      <c r="G38" s="309"/>
      <c r="H38" s="309"/>
      <c r="I38" s="309"/>
      <c r="J38" s="309"/>
      <c r="K38" s="309"/>
      <c r="L38" s="307"/>
      <c r="M38" s="307"/>
      <c r="N38" s="307"/>
      <c r="O38" s="307"/>
      <c r="P38" s="307"/>
      <c r="Q38" s="307"/>
      <c r="R38" s="307"/>
      <c r="S38" s="307"/>
      <c r="T38" s="307"/>
      <c r="U38" s="307"/>
      <c r="V38" s="307"/>
      <c r="W38" s="307"/>
      <c r="Y38" s="185"/>
      <c r="Z38" s="308"/>
      <c r="AA38" s="309"/>
      <c r="AB38" s="309"/>
      <c r="AC38" s="309"/>
      <c r="AD38" s="309"/>
      <c r="AE38" s="309"/>
      <c r="AF38" s="309"/>
      <c r="AG38" s="309"/>
      <c r="AH38" s="317"/>
      <c r="AI38" s="317"/>
      <c r="AJ38" s="317"/>
      <c r="AK38" s="80"/>
    </row>
    <row r="39" spans="2:37" ht="12.75" customHeight="1">
      <c r="B39" s="185"/>
      <c r="C39" s="308"/>
      <c r="D39" s="309"/>
      <c r="E39" s="309"/>
      <c r="F39" s="309"/>
      <c r="G39" s="309"/>
      <c r="H39" s="309"/>
      <c r="I39" s="309"/>
      <c r="J39" s="309"/>
      <c r="K39" s="309"/>
      <c r="L39" s="307"/>
      <c r="M39" s="307"/>
      <c r="N39" s="307"/>
      <c r="O39" s="307"/>
      <c r="P39" s="307"/>
      <c r="Q39" s="307"/>
      <c r="R39" s="307"/>
      <c r="S39" s="307"/>
      <c r="T39" s="307"/>
      <c r="U39" s="307"/>
      <c r="V39" s="307"/>
      <c r="W39" s="307"/>
      <c r="Y39" s="185"/>
      <c r="Z39" s="308"/>
      <c r="AA39" s="309"/>
      <c r="AB39" s="309"/>
      <c r="AC39" s="309"/>
      <c r="AD39" s="309"/>
      <c r="AE39" s="309"/>
      <c r="AF39" s="309"/>
      <c r="AG39" s="309"/>
      <c r="AH39" s="317"/>
      <c r="AI39" s="317"/>
      <c r="AJ39" s="317"/>
      <c r="AK39" s="80"/>
    </row>
    <row r="40" spans="2:37" ht="12.75" customHeight="1">
      <c r="B40" s="185"/>
      <c r="C40" s="308"/>
      <c r="D40" s="309"/>
      <c r="E40" s="309"/>
      <c r="F40" s="309"/>
      <c r="G40" s="309"/>
      <c r="H40" s="309"/>
      <c r="I40" s="309"/>
      <c r="J40" s="309"/>
      <c r="K40" s="309"/>
      <c r="L40" s="307"/>
      <c r="M40" s="307"/>
      <c r="N40" s="307"/>
      <c r="O40" s="307"/>
      <c r="P40" s="307"/>
      <c r="Q40" s="307"/>
      <c r="R40" s="307"/>
      <c r="S40" s="307"/>
      <c r="T40" s="307"/>
      <c r="U40" s="307"/>
      <c r="V40" s="307"/>
      <c r="W40" s="307"/>
      <c r="Y40" s="185"/>
      <c r="Z40" s="308"/>
      <c r="AA40" s="309"/>
      <c r="AB40" s="309"/>
      <c r="AC40" s="309"/>
      <c r="AD40" s="309"/>
      <c r="AE40" s="309"/>
      <c r="AF40" s="309"/>
      <c r="AG40" s="309"/>
      <c r="AH40" s="317"/>
      <c r="AI40" s="317"/>
      <c r="AJ40" s="317"/>
      <c r="AK40" s="80"/>
    </row>
    <row r="41" spans="2:37" ht="12.75" customHeight="1">
      <c r="B41" s="185"/>
      <c r="C41" s="308"/>
      <c r="D41" s="309"/>
      <c r="E41" s="309"/>
      <c r="F41" s="309"/>
      <c r="G41" s="309"/>
      <c r="H41" s="309"/>
      <c r="I41" s="309"/>
      <c r="J41" s="309"/>
      <c r="K41" s="309"/>
      <c r="M41" s="185"/>
      <c r="N41" s="308"/>
      <c r="O41" s="309"/>
      <c r="P41" s="309"/>
      <c r="Q41" s="309"/>
      <c r="R41" s="309"/>
      <c r="S41" s="309"/>
      <c r="T41" s="309"/>
      <c r="U41" s="309"/>
      <c r="V41" s="309"/>
      <c r="W41" s="309"/>
      <c r="Y41" s="185"/>
      <c r="Z41" s="308"/>
      <c r="AA41" s="309"/>
      <c r="AB41" s="309"/>
      <c r="AC41" s="309"/>
      <c r="AD41" s="309"/>
      <c r="AE41" s="309"/>
      <c r="AF41" s="309"/>
      <c r="AG41" s="309"/>
      <c r="AH41" s="317"/>
      <c r="AI41" s="317"/>
      <c r="AJ41" s="317"/>
      <c r="AK41" s="80"/>
    </row>
    <row r="42" spans="2:37" ht="12.75" customHeight="1">
      <c r="B42" s="185"/>
      <c r="C42" s="308"/>
      <c r="D42" s="309"/>
      <c r="E42" s="309"/>
      <c r="F42" s="309"/>
      <c r="G42" s="309"/>
      <c r="H42" s="309"/>
      <c r="I42" s="309"/>
      <c r="J42" s="309"/>
      <c r="K42" s="309"/>
      <c r="M42" s="185"/>
      <c r="N42" s="308"/>
      <c r="O42" s="309"/>
      <c r="P42" s="309"/>
      <c r="Q42" s="309"/>
      <c r="R42" s="309"/>
      <c r="S42" s="309"/>
      <c r="T42" s="309"/>
      <c r="U42" s="309"/>
      <c r="V42" s="309"/>
      <c r="W42" s="309"/>
      <c r="Y42" s="185"/>
      <c r="Z42" s="308"/>
      <c r="AA42" s="309"/>
      <c r="AB42" s="309"/>
      <c r="AC42" s="309"/>
      <c r="AD42" s="309"/>
      <c r="AE42" s="309"/>
      <c r="AF42" s="309"/>
      <c r="AG42" s="309"/>
      <c r="AH42" s="317"/>
      <c r="AI42" s="317"/>
      <c r="AJ42" s="317"/>
      <c r="AK42" s="80"/>
    </row>
    <row r="43" spans="2:37" ht="12.75" customHeight="1">
      <c r="B43" s="185"/>
      <c r="C43" s="308"/>
      <c r="D43" s="309"/>
      <c r="E43" s="309"/>
      <c r="F43" s="309"/>
      <c r="G43" s="309"/>
      <c r="H43" s="309"/>
      <c r="I43" s="309"/>
      <c r="J43" s="309"/>
      <c r="K43" s="309"/>
      <c r="M43" s="185"/>
      <c r="N43" s="308"/>
      <c r="O43" s="309"/>
      <c r="P43" s="309"/>
      <c r="Q43" s="309"/>
      <c r="R43" s="309"/>
      <c r="S43" s="309"/>
      <c r="T43" s="309"/>
      <c r="U43" s="309"/>
      <c r="V43" s="309"/>
      <c r="W43" s="309"/>
      <c r="Y43" s="185"/>
      <c r="Z43" s="308"/>
      <c r="AA43" s="309"/>
      <c r="AB43" s="309"/>
      <c r="AC43" s="309"/>
      <c r="AD43" s="309"/>
      <c r="AE43" s="309"/>
      <c r="AF43" s="309"/>
      <c r="AG43" s="309"/>
      <c r="AH43" s="317"/>
      <c r="AI43" s="317"/>
      <c r="AJ43" s="317"/>
      <c r="AK43" s="80"/>
    </row>
    <row r="44" spans="2:37" ht="12.75" customHeight="1">
      <c r="B44" s="185"/>
      <c r="C44" s="308"/>
      <c r="D44" s="309"/>
      <c r="E44" s="309"/>
      <c r="F44" s="309"/>
      <c r="G44" s="309"/>
      <c r="H44" s="309"/>
      <c r="I44" s="309"/>
      <c r="J44" s="309"/>
      <c r="K44" s="309"/>
      <c r="M44" s="185"/>
      <c r="N44" s="308"/>
      <c r="O44" s="309"/>
      <c r="P44" s="309"/>
      <c r="Q44" s="309"/>
      <c r="R44" s="309"/>
      <c r="S44" s="309"/>
      <c r="T44" s="309"/>
      <c r="U44" s="309"/>
      <c r="V44" s="309"/>
      <c r="W44" s="309"/>
      <c r="Y44" s="185"/>
      <c r="Z44" s="308"/>
      <c r="AA44" s="309"/>
      <c r="AB44" s="309"/>
      <c r="AC44" s="309"/>
      <c r="AD44" s="309"/>
      <c r="AE44" s="309"/>
      <c r="AF44" s="309"/>
      <c r="AG44" s="309"/>
      <c r="AH44" s="317"/>
      <c r="AI44" s="317"/>
      <c r="AJ44" s="317"/>
      <c r="AK44" s="80"/>
    </row>
    <row r="45" spans="2:37" ht="12.75" customHeight="1">
      <c r="B45" s="185"/>
      <c r="C45" s="308"/>
      <c r="D45" s="309"/>
      <c r="E45" s="309"/>
      <c r="F45" s="309"/>
      <c r="G45" s="309"/>
      <c r="H45" s="309"/>
      <c r="I45" s="309"/>
      <c r="J45" s="309"/>
      <c r="K45" s="309"/>
      <c r="M45" s="185"/>
      <c r="N45" s="308"/>
      <c r="O45" s="309"/>
      <c r="P45" s="309"/>
      <c r="Q45" s="309"/>
      <c r="R45" s="309"/>
      <c r="S45" s="309"/>
      <c r="T45" s="309"/>
      <c r="U45" s="309"/>
      <c r="V45" s="309"/>
      <c r="W45" s="309"/>
      <c r="Y45" s="185"/>
      <c r="Z45" s="308"/>
      <c r="AA45" s="309"/>
      <c r="AB45" s="309"/>
      <c r="AC45" s="309"/>
      <c r="AD45" s="309"/>
      <c r="AE45" s="309"/>
      <c r="AF45" s="309"/>
      <c r="AG45" s="309"/>
      <c r="AH45" s="317"/>
      <c r="AI45" s="317"/>
      <c r="AJ45" s="317"/>
      <c r="AK45" s="80"/>
    </row>
    <row r="46" spans="2:37" ht="12.75" customHeight="1">
      <c r="B46" s="185"/>
      <c r="C46" s="308"/>
      <c r="D46" s="309"/>
      <c r="E46" s="309"/>
      <c r="F46" s="309"/>
      <c r="G46" s="309"/>
      <c r="H46" s="309"/>
      <c r="I46" s="309"/>
      <c r="J46" s="309"/>
      <c r="K46" s="309"/>
      <c r="M46" s="185"/>
      <c r="N46" s="308"/>
      <c r="O46" s="309"/>
      <c r="P46" s="309"/>
      <c r="Q46" s="309"/>
      <c r="R46" s="309"/>
      <c r="S46" s="309"/>
      <c r="T46" s="309"/>
      <c r="U46" s="309"/>
      <c r="V46" s="309"/>
      <c r="W46" s="309"/>
      <c r="Y46" s="185"/>
      <c r="Z46" s="308"/>
      <c r="AA46" s="309"/>
      <c r="AB46" s="309"/>
      <c r="AC46" s="309"/>
      <c r="AD46" s="309"/>
      <c r="AE46" s="309"/>
      <c r="AF46" s="309"/>
      <c r="AG46" s="309"/>
      <c r="AH46" s="317"/>
      <c r="AI46" s="317"/>
      <c r="AJ46" s="317"/>
      <c r="AK46" s="80"/>
    </row>
    <row r="47" spans="2:37" ht="24.75" customHeight="1">
      <c r="B47" s="185"/>
      <c r="C47" s="308"/>
      <c r="D47" s="309"/>
      <c r="E47" s="309"/>
      <c r="F47" s="309"/>
      <c r="G47" s="309"/>
      <c r="H47" s="309"/>
      <c r="I47" s="309"/>
      <c r="J47" s="309"/>
      <c r="K47" s="309"/>
      <c r="M47" s="185"/>
      <c r="N47" s="308"/>
      <c r="O47" s="309"/>
      <c r="P47" s="309"/>
      <c r="Q47" s="309"/>
      <c r="R47" s="309"/>
      <c r="S47" s="309"/>
      <c r="T47" s="309"/>
      <c r="U47" s="309"/>
      <c r="V47" s="309"/>
      <c r="W47" s="309"/>
      <c r="Y47" s="185"/>
      <c r="Z47" s="308"/>
      <c r="AA47" s="309"/>
      <c r="AB47" s="309"/>
      <c r="AC47" s="309"/>
      <c r="AD47" s="309"/>
      <c r="AE47" s="309"/>
      <c r="AF47" s="309"/>
      <c r="AG47" s="309"/>
      <c r="AH47" s="317"/>
      <c r="AI47" s="317"/>
      <c r="AJ47" s="317"/>
      <c r="AK47" s="80"/>
    </row>
    <row r="48" spans="2:37" ht="12.75" customHeight="1">
      <c r="B48" s="185"/>
      <c r="C48" s="308"/>
      <c r="D48" s="309"/>
      <c r="E48" s="309"/>
      <c r="F48" s="309"/>
      <c r="G48" s="309"/>
      <c r="H48" s="309"/>
      <c r="I48" s="309"/>
      <c r="J48" s="309"/>
      <c r="K48" s="309"/>
      <c r="M48" s="185"/>
      <c r="N48" s="308"/>
      <c r="O48" s="309"/>
      <c r="P48" s="309"/>
      <c r="Q48" s="309"/>
      <c r="R48" s="309"/>
      <c r="S48" s="309"/>
      <c r="T48" s="309"/>
      <c r="U48" s="309"/>
      <c r="V48" s="309"/>
      <c r="W48" s="309"/>
      <c r="Y48" s="185"/>
      <c r="Z48" s="308"/>
      <c r="AA48" s="309"/>
      <c r="AB48" s="309"/>
      <c r="AC48" s="309"/>
      <c r="AD48" s="309"/>
      <c r="AE48" s="309"/>
      <c r="AF48" s="309"/>
      <c r="AG48" s="309"/>
      <c r="AH48" s="317"/>
      <c r="AI48" s="317"/>
      <c r="AJ48" s="317"/>
      <c r="AK48" s="80"/>
    </row>
    <row r="49" spans="2:37" ht="12.75" customHeight="1">
      <c r="B49" s="185"/>
      <c r="C49" s="308"/>
      <c r="D49" s="309"/>
      <c r="E49" s="309"/>
      <c r="F49" s="309"/>
      <c r="G49" s="309"/>
      <c r="H49" s="309"/>
      <c r="I49" s="309"/>
      <c r="J49" s="309"/>
      <c r="K49" s="309"/>
      <c r="M49" s="185"/>
      <c r="N49" s="308"/>
      <c r="O49" s="309"/>
      <c r="P49" s="309"/>
      <c r="Q49" s="309"/>
      <c r="R49" s="309"/>
      <c r="S49" s="309"/>
      <c r="T49" s="309"/>
      <c r="U49" s="309"/>
      <c r="V49" s="309"/>
      <c r="W49" s="309"/>
      <c r="Y49" s="185"/>
      <c r="Z49" s="308"/>
      <c r="AA49" s="309"/>
      <c r="AB49" s="309"/>
      <c r="AC49" s="309"/>
      <c r="AD49" s="309"/>
      <c r="AE49" s="309"/>
      <c r="AF49" s="309"/>
      <c r="AG49" s="309"/>
      <c r="AH49" s="317"/>
      <c r="AI49" s="317"/>
      <c r="AJ49" s="317"/>
      <c r="AK49" s="80"/>
    </row>
    <row r="50" spans="2:37" ht="12.75" customHeight="1">
      <c r="B50" s="185"/>
      <c r="C50" s="308"/>
      <c r="D50" s="309"/>
      <c r="E50" s="310"/>
      <c r="F50" s="310"/>
      <c r="G50" s="309"/>
      <c r="H50" s="310"/>
      <c r="I50" s="310"/>
      <c r="J50" s="309"/>
      <c r="K50" s="310"/>
      <c r="M50" s="185"/>
      <c r="N50" s="308"/>
      <c r="O50" s="309"/>
      <c r="P50" s="310"/>
      <c r="Q50" s="310"/>
      <c r="R50" s="309"/>
      <c r="S50" s="310"/>
      <c r="T50" s="310"/>
      <c r="U50" s="309"/>
      <c r="V50" s="310"/>
      <c r="W50" s="309"/>
      <c r="Y50" s="185"/>
      <c r="Z50" s="308"/>
      <c r="AA50" s="309"/>
      <c r="AB50" s="310"/>
      <c r="AC50" s="310"/>
      <c r="AD50" s="310"/>
      <c r="AE50" s="310"/>
      <c r="AF50" s="309"/>
      <c r="AG50" s="310"/>
      <c r="AH50" s="317"/>
      <c r="AI50" s="317"/>
      <c r="AJ50" s="317"/>
      <c r="AK50" s="80"/>
    </row>
    <row r="51" spans="2:37" ht="24.75" customHeight="1">
      <c r="B51" s="185"/>
      <c r="C51" s="308"/>
      <c r="D51" s="309"/>
      <c r="E51" s="309"/>
      <c r="F51" s="309"/>
      <c r="G51" s="309"/>
      <c r="H51" s="309"/>
      <c r="I51" s="309"/>
      <c r="J51" s="309"/>
      <c r="K51" s="309"/>
      <c r="M51" s="185"/>
      <c r="N51" s="308"/>
      <c r="O51" s="309"/>
      <c r="P51" s="309"/>
      <c r="Q51" s="309"/>
      <c r="R51" s="309"/>
      <c r="S51" s="309"/>
      <c r="T51" s="309"/>
      <c r="U51" s="309"/>
      <c r="V51" s="309"/>
      <c r="W51" s="309"/>
      <c r="Y51" s="185"/>
      <c r="Z51" s="308"/>
      <c r="AA51" s="309"/>
      <c r="AB51" s="309"/>
      <c r="AC51" s="309"/>
      <c r="AD51" s="309"/>
      <c r="AE51" s="309"/>
      <c r="AF51" s="309"/>
      <c r="AG51" s="309"/>
      <c r="AH51" s="317"/>
      <c r="AI51" s="317"/>
      <c r="AJ51" s="317"/>
      <c r="AK51" s="80"/>
    </row>
    <row r="52" spans="2:37" ht="12.75" customHeight="1">
      <c r="B52" s="185"/>
      <c r="C52" s="308"/>
      <c r="D52" s="309"/>
      <c r="E52" s="309"/>
      <c r="F52" s="309"/>
      <c r="G52" s="309"/>
      <c r="H52" s="309"/>
      <c r="I52" s="309"/>
      <c r="J52" s="309"/>
      <c r="K52" s="309"/>
      <c r="M52" s="185"/>
      <c r="N52" s="308"/>
      <c r="O52" s="309"/>
      <c r="P52" s="309"/>
      <c r="Q52" s="309"/>
      <c r="R52" s="309"/>
      <c r="S52" s="309"/>
      <c r="T52" s="309"/>
      <c r="U52" s="309"/>
      <c r="V52" s="309"/>
      <c r="W52" s="309"/>
      <c r="Y52" s="185"/>
      <c r="Z52" s="308"/>
      <c r="AA52" s="309"/>
      <c r="AB52" s="309"/>
      <c r="AC52" s="309"/>
      <c r="AD52" s="309"/>
      <c r="AE52" s="309"/>
      <c r="AF52" s="309"/>
      <c r="AG52" s="309"/>
      <c r="AH52" s="317"/>
      <c r="AI52" s="317"/>
      <c r="AJ52" s="317"/>
      <c r="AK52" s="80"/>
    </row>
    <row r="53" spans="2:37" ht="12.75" customHeight="1">
      <c r="B53" s="185"/>
      <c r="C53" s="308"/>
      <c r="D53" s="309"/>
      <c r="E53" s="309"/>
      <c r="F53" s="309"/>
      <c r="G53" s="309"/>
      <c r="H53" s="309"/>
      <c r="I53" s="309"/>
      <c r="J53" s="309"/>
      <c r="K53" s="309"/>
      <c r="M53" s="185"/>
      <c r="N53" s="308"/>
      <c r="O53" s="309"/>
      <c r="P53" s="309"/>
      <c r="Q53" s="309"/>
      <c r="R53" s="309"/>
      <c r="S53" s="309"/>
      <c r="T53" s="309"/>
      <c r="U53" s="309"/>
      <c r="V53" s="309"/>
      <c r="W53" s="309"/>
      <c r="Y53" s="185"/>
      <c r="Z53" s="308"/>
      <c r="AA53" s="309"/>
      <c r="AB53" s="309"/>
      <c r="AC53" s="309"/>
      <c r="AD53" s="309"/>
      <c r="AE53" s="309"/>
      <c r="AF53" s="309"/>
      <c r="AG53" s="309"/>
      <c r="AH53" s="317"/>
      <c r="AI53" s="317"/>
      <c r="AJ53" s="317"/>
      <c r="AK53" s="80"/>
    </row>
    <row r="54" spans="2:37" ht="12.75" customHeight="1">
      <c r="B54" s="185"/>
      <c r="C54" s="308"/>
      <c r="D54" s="309"/>
      <c r="E54" s="309"/>
      <c r="F54" s="309"/>
      <c r="G54" s="309"/>
      <c r="H54" s="309"/>
      <c r="I54" s="309"/>
      <c r="J54" s="309"/>
      <c r="K54" s="309"/>
      <c r="M54" s="185"/>
      <c r="N54" s="308"/>
      <c r="O54" s="309"/>
      <c r="P54" s="309"/>
      <c r="Q54" s="309"/>
      <c r="R54" s="309"/>
      <c r="S54" s="309"/>
      <c r="T54" s="309"/>
      <c r="U54" s="309"/>
      <c r="V54" s="309"/>
      <c r="W54" s="309"/>
      <c r="Y54" s="185"/>
      <c r="Z54" s="308"/>
      <c r="AA54" s="309"/>
      <c r="AB54" s="309"/>
      <c r="AC54" s="309"/>
      <c r="AD54" s="309"/>
      <c r="AE54" s="309"/>
      <c r="AF54" s="309"/>
      <c r="AG54" s="309"/>
      <c r="AH54" s="317"/>
      <c r="AI54" s="317"/>
      <c r="AJ54" s="317"/>
      <c r="AK54" s="80"/>
    </row>
    <row r="55" spans="2:37" ht="12.75" customHeight="1">
      <c r="B55" s="185"/>
      <c r="C55" s="308"/>
      <c r="D55" s="309"/>
      <c r="E55" s="309"/>
      <c r="F55" s="309"/>
      <c r="G55" s="309"/>
      <c r="H55" s="309"/>
      <c r="I55" s="309"/>
      <c r="J55" s="309"/>
      <c r="K55" s="309"/>
      <c r="M55" s="185"/>
      <c r="N55" s="308"/>
      <c r="O55" s="309"/>
      <c r="P55" s="309"/>
      <c r="Q55" s="309"/>
      <c r="R55" s="309"/>
      <c r="S55" s="309"/>
      <c r="T55" s="309"/>
      <c r="U55" s="309"/>
      <c r="V55" s="309"/>
      <c r="W55" s="309"/>
      <c r="Y55" s="185"/>
      <c r="Z55" s="308"/>
      <c r="AA55" s="309"/>
      <c r="AB55" s="309"/>
      <c r="AC55" s="309"/>
      <c r="AD55" s="309"/>
      <c r="AE55" s="309"/>
      <c r="AF55" s="309"/>
      <c r="AG55" s="309"/>
      <c r="AH55" s="317"/>
      <c r="AI55" s="317"/>
      <c r="AJ55" s="317"/>
      <c r="AK55" s="80"/>
    </row>
  </sheetData>
  <mergeCells count="85">
    <mergeCell ref="N55:W55"/>
    <mergeCell ref="Z34:AJ34"/>
    <mergeCell ref="Z35:AJ35"/>
    <mergeCell ref="Z36:AJ36"/>
    <mergeCell ref="Z37:AJ37"/>
    <mergeCell ref="Z38:AJ38"/>
    <mergeCell ref="Z39:AJ39"/>
    <mergeCell ref="Z40:AJ40"/>
    <mergeCell ref="Z51:AJ51"/>
    <mergeCell ref="Z52:AJ52"/>
    <mergeCell ref="C3:C4"/>
    <mergeCell ref="N53:W53"/>
    <mergeCell ref="N54:W54"/>
    <mergeCell ref="C34:W34"/>
    <mergeCell ref="C35:W35"/>
    <mergeCell ref="C36:W36"/>
    <mergeCell ref="C39:W39"/>
    <mergeCell ref="C40:W40"/>
    <mergeCell ref="C46:K46"/>
    <mergeCell ref="C41:K41"/>
    <mergeCell ref="Z33:AG33"/>
    <mergeCell ref="C37:W37"/>
    <mergeCell ref="C38:W38"/>
    <mergeCell ref="N33:V33"/>
    <mergeCell ref="C33:K33"/>
    <mergeCell ref="N41:W41"/>
    <mergeCell ref="N42:W42"/>
    <mergeCell ref="N43:W43"/>
    <mergeCell ref="N44:W44"/>
    <mergeCell ref="N49:W49"/>
    <mergeCell ref="N50:W50"/>
    <mergeCell ref="N51:W51"/>
    <mergeCell ref="N52:W52"/>
    <mergeCell ref="N47:W47"/>
    <mergeCell ref="N48:W48"/>
    <mergeCell ref="Z41:AJ41"/>
    <mergeCell ref="Z42:AJ42"/>
    <mergeCell ref="Z43:AJ43"/>
    <mergeCell ref="Z44:AJ44"/>
    <mergeCell ref="N45:W45"/>
    <mergeCell ref="N46:W46"/>
    <mergeCell ref="Z45:AJ45"/>
    <mergeCell ref="Z46:AJ46"/>
    <mergeCell ref="Z53:AJ53"/>
    <mergeCell ref="Z54:AJ54"/>
    <mergeCell ref="Z55:AJ55"/>
    <mergeCell ref="Z47:AJ47"/>
    <mergeCell ref="Z48:AJ48"/>
    <mergeCell ref="Z49:AJ49"/>
    <mergeCell ref="Z50:AJ50"/>
    <mergeCell ref="Y3:AC3"/>
    <mergeCell ref="AD3:AH3"/>
    <mergeCell ref="AI3:AJ3"/>
    <mergeCell ref="AD4:AE4"/>
    <mergeCell ref="AF4:AG4"/>
    <mergeCell ref="C54:K54"/>
    <mergeCell ref="C55:K55"/>
    <mergeCell ref="C50:K50"/>
    <mergeCell ref="C51:K51"/>
    <mergeCell ref="C52:K52"/>
    <mergeCell ref="C53:K53"/>
    <mergeCell ref="C47:K47"/>
    <mergeCell ref="C48:K48"/>
    <mergeCell ref="C49:K49"/>
    <mergeCell ref="C42:K42"/>
    <mergeCell ref="C43:K43"/>
    <mergeCell ref="C44:K44"/>
    <mergeCell ref="C45:K45"/>
    <mergeCell ref="B1:AJ1"/>
    <mergeCell ref="N2:O2"/>
    <mergeCell ref="Q2:R2"/>
    <mergeCell ref="T2:U2"/>
    <mergeCell ref="W2:X2"/>
    <mergeCell ref="K4:L4"/>
    <mergeCell ref="H4:I4"/>
    <mergeCell ref="E2:F2"/>
    <mergeCell ref="H2:I2"/>
    <mergeCell ref="K2:L2"/>
    <mergeCell ref="D3:L3"/>
    <mergeCell ref="E4:F4"/>
    <mergeCell ref="M3:X3"/>
    <mergeCell ref="W4:X4"/>
    <mergeCell ref="T4:U4"/>
    <mergeCell ref="Q4:R4"/>
    <mergeCell ref="N4:O4"/>
  </mergeCells>
  <printOptions horizontalCentered="1"/>
  <pageMargins left="0.25" right="0.25" top="1.25" bottom="0.5" header="0.87" footer="0"/>
  <pageSetup fitToWidth="5" horizontalDpi="1200" verticalDpi="1200" orientation="landscape" scale="73" r:id="rId1"/>
  <headerFooter alignWithMargins="0">
    <oddHeader>&amp;C&amp;"Arial,Bold"&amp;16Questar Gas Company
2008 DSM Programs Budget</oddHeader>
    <oddFooter>&amp;C&amp;P</oddFooter>
  </headerFooter>
  <rowBreaks count="1" manualBreakCount="1">
    <brk id="31" max="255" man="1"/>
  </rowBreaks>
  <colBreaks count="2" manualBreakCount="2">
    <brk id="12" max="65535" man="1"/>
    <brk id="2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2:C44"/>
  <sheetViews>
    <sheetView workbookViewId="0" topLeftCell="A1">
      <selection activeCell="B1" sqref="B1"/>
    </sheetView>
  </sheetViews>
  <sheetFormatPr defaultColWidth="9.140625" defaultRowHeight="12.75"/>
  <cols>
    <col min="1" max="1" width="3.00390625" style="0" customWidth="1"/>
    <col min="2" max="2" width="4.00390625" style="108" customWidth="1"/>
    <col min="3" max="3" width="125.28125" style="0" customWidth="1"/>
  </cols>
  <sheetData>
    <row r="2" spans="2:3" ht="38.25">
      <c r="B2" s="226"/>
      <c r="C2" s="227" t="s">
        <v>249</v>
      </c>
    </row>
    <row r="3" spans="2:3" ht="12.75">
      <c r="B3" s="228"/>
      <c r="C3" s="229"/>
    </row>
    <row r="4" spans="2:3" ht="12.75">
      <c r="B4" s="228"/>
      <c r="C4" s="229"/>
    </row>
    <row r="5" spans="2:3" ht="12.75">
      <c r="B5" s="228"/>
      <c r="C5" s="229"/>
    </row>
    <row r="6" spans="2:3" ht="13.5" thickBot="1">
      <c r="B6" s="322" t="s">
        <v>235</v>
      </c>
      <c r="C6" s="323"/>
    </row>
    <row r="7" spans="2:3" ht="36.75" customHeight="1">
      <c r="B7" s="230" t="s">
        <v>7</v>
      </c>
      <c r="C7" s="231" t="s">
        <v>254</v>
      </c>
    </row>
    <row r="8" spans="2:3" ht="36.75" customHeight="1">
      <c r="B8" s="232" t="s">
        <v>9</v>
      </c>
      <c r="C8" s="233" t="s">
        <v>255</v>
      </c>
    </row>
    <row r="9" spans="2:3" ht="36.75" customHeight="1">
      <c r="B9" s="232" t="s">
        <v>17</v>
      </c>
      <c r="C9" s="233" t="s">
        <v>256</v>
      </c>
    </row>
    <row r="10" spans="2:3" ht="36.75" customHeight="1">
      <c r="B10" s="232" t="s">
        <v>21</v>
      </c>
      <c r="C10" s="233" t="s">
        <v>257</v>
      </c>
    </row>
    <row r="11" spans="2:3" ht="36.75" customHeight="1">
      <c r="B11" s="232" t="s">
        <v>26</v>
      </c>
      <c r="C11" s="233" t="s">
        <v>258</v>
      </c>
    </row>
    <row r="12" spans="2:3" ht="36.75" customHeight="1">
      <c r="B12" s="232" t="s">
        <v>12</v>
      </c>
      <c r="C12" s="233" t="s">
        <v>259</v>
      </c>
    </row>
    <row r="13" spans="2:3" ht="36.75" customHeight="1">
      <c r="B13" s="232" t="s">
        <v>22</v>
      </c>
      <c r="C13" s="233" t="s">
        <v>260</v>
      </c>
    </row>
    <row r="14" spans="2:3" ht="36.75" customHeight="1">
      <c r="B14" s="232" t="s">
        <v>25</v>
      </c>
      <c r="C14" s="233" t="s">
        <v>261</v>
      </c>
    </row>
    <row r="15" spans="2:3" ht="36.75" customHeight="1">
      <c r="B15" s="232" t="s">
        <v>27</v>
      </c>
      <c r="C15" s="233" t="s">
        <v>262</v>
      </c>
    </row>
    <row r="16" spans="2:3" ht="36.75" customHeight="1">
      <c r="B16" s="232" t="s">
        <v>236</v>
      </c>
      <c r="C16" s="233" t="s">
        <v>263</v>
      </c>
    </row>
    <row r="17" spans="2:3" ht="36.75" customHeight="1">
      <c r="B17" s="232" t="s">
        <v>237</v>
      </c>
      <c r="C17" s="233" t="s">
        <v>264</v>
      </c>
    </row>
    <row r="18" spans="2:3" ht="36.75" customHeight="1">
      <c r="B18" s="232" t="s">
        <v>238</v>
      </c>
      <c r="C18" s="233" t="s">
        <v>265</v>
      </c>
    </row>
    <row r="19" spans="2:3" ht="36.75" customHeight="1">
      <c r="B19" s="232" t="s">
        <v>239</v>
      </c>
      <c r="C19" s="233" t="s">
        <v>266</v>
      </c>
    </row>
    <row r="20" spans="2:3" ht="36.75" customHeight="1">
      <c r="B20" s="232" t="s">
        <v>240</v>
      </c>
      <c r="C20" s="233" t="s">
        <v>267</v>
      </c>
    </row>
    <row r="21" spans="2:3" ht="36.75" customHeight="1">
      <c r="B21" s="232" t="s">
        <v>247</v>
      </c>
      <c r="C21" s="233" t="s">
        <v>268</v>
      </c>
    </row>
    <row r="22" spans="2:3" ht="36.75" customHeight="1">
      <c r="B22" s="232" t="s">
        <v>241</v>
      </c>
      <c r="C22" s="233" t="s">
        <v>269</v>
      </c>
    </row>
    <row r="23" spans="2:3" ht="36.75" customHeight="1">
      <c r="B23" s="232" t="s">
        <v>242</v>
      </c>
      <c r="C23" s="233" t="s">
        <v>270</v>
      </c>
    </row>
    <row r="24" spans="2:3" ht="36.75" customHeight="1">
      <c r="B24" s="232" t="s">
        <v>243</v>
      </c>
      <c r="C24" s="233" t="s">
        <v>271</v>
      </c>
    </row>
    <row r="25" spans="2:3" ht="36.75" customHeight="1">
      <c r="B25" s="232" t="s">
        <v>244</v>
      </c>
      <c r="C25" s="233" t="s">
        <v>272</v>
      </c>
    </row>
    <row r="26" spans="2:3" ht="36.75" customHeight="1">
      <c r="B26" s="232" t="s">
        <v>245</v>
      </c>
      <c r="C26" s="233" t="s">
        <v>273</v>
      </c>
    </row>
    <row r="27" spans="2:3" ht="36.75" customHeight="1">
      <c r="B27" s="232" t="s">
        <v>246</v>
      </c>
      <c r="C27" s="233" t="s">
        <v>274</v>
      </c>
    </row>
    <row r="28" spans="2:3" ht="36.75" customHeight="1">
      <c r="B28" s="232" t="s">
        <v>248</v>
      </c>
      <c r="C28" s="233" t="s">
        <v>275</v>
      </c>
    </row>
    <row r="29" spans="2:3" ht="36.75" customHeight="1">
      <c r="B29" s="232" t="s">
        <v>252</v>
      </c>
      <c r="C29" s="233" t="s">
        <v>276</v>
      </c>
    </row>
    <row r="30" spans="2:3" ht="24.75" customHeight="1">
      <c r="B30" s="225"/>
      <c r="C30" s="184"/>
    </row>
    <row r="31" spans="2:3" ht="24.75" customHeight="1">
      <c r="B31" s="225"/>
      <c r="C31" s="184"/>
    </row>
    <row r="32" spans="2:3" ht="24.75" customHeight="1">
      <c r="B32" s="225"/>
      <c r="C32" s="184"/>
    </row>
    <row r="33" spans="2:3" ht="24.75" customHeight="1">
      <c r="B33" s="225"/>
      <c r="C33" s="184"/>
    </row>
    <row r="34" spans="2:3" ht="24.75" customHeight="1">
      <c r="B34" s="225"/>
      <c r="C34" s="184"/>
    </row>
    <row r="35" spans="2:3" ht="24.75" customHeight="1">
      <c r="B35" s="225"/>
      <c r="C35" s="184"/>
    </row>
    <row r="36" spans="2:3" ht="24.75" customHeight="1">
      <c r="B36" s="225"/>
      <c r="C36" s="184"/>
    </row>
    <row r="37" spans="2:3" ht="24.75" customHeight="1">
      <c r="B37" s="225"/>
      <c r="C37" s="184"/>
    </row>
    <row r="38" spans="2:3" ht="24.75" customHeight="1">
      <c r="B38" s="225"/>
      <c r="C38" s="184"/>
    </row>
    <row r="39" spans="2:3" ht="24.75" customHeight="1">
      <c r="B39" s="225"/>
      <c r="C39" s="184"/>
    </row>
    <row r="40" spans="2:3" ht="24.75" customHeight="1">
      <c r="B40" s="225"/>
      <c r="C40" s="184"/>
    </row>
    <row r="41" spans="2:3" ht="24.75" customHeight="1">
      <c r="B41" s="225"/>
      <c r="C41" s="184"/>
    </row>
    <row r="42" spans="2:3" ht="24.75" customHeight="1">
      <c r="B42" s="225"/>
      <c r="C42" s="184"/>
    </row>
    <row r="44" spans="2:3" ht="12.75">
      <c r="B44" s="324"/>
      <c r="C44" s="324"/>
    </row>
  </sheetData>
  <mergeCells count="2">
    <mergeCell ref="B6:C6"/>
    <mergeCell ref="B44:C44"/>
  </mergeCells>
  <printOptions/>
  <pageMargins left="1" right="1" top="1" bottom="1" header="0.5" footer="0.5"/>
  <pageSetup fitToHeight="1" fitToWidth="1" horizontalDpi="600" verticalDpi="600" orientation="portrait" scale="51" r:id="rId1"/>
  <headerFooter alignWithMargins="0">
    <oddFooter>&amp;C4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AE72"/>
  <sheetViews>
    <sheetView view="pageBreakPreview" zoomScaleSheetLayoutView="100" workbookViewId="0" topLeftCell="A1">
      <pane xSplit="3" ySplit="6" topLeftCell="D30" activePane="bottomRight" state="frozen"/>
      <selection pane="topLeft" activeCell="A1" sqref="A1"/>
      <selection pane="topRight" activeCell="D1" sqref="D1"/>
      <selection pane="bottomLeft" activeCell="A7" sqref="A7"/>
      <selection pane="bottomRight" activeCell="D47" sqref="D47"/>
    </sheetView>
  </sheetViews>
  <sheetFormatPr defaultColWidth="9.140625" defaultRowHeight="12.75"/>
  <cols>
    <col min="1" max="1" width="4.421875" style="0" customWidth="1"/>
    <col min="2" max="2" width="5.57421875" style="0" customWidth="1"/>
    <col min="3" max="3" width="30.140625" style="0" customWidth="1"/>
    <col min="4" max="15" width="14.7109375" style="0" customWidth="1"/>
    <col min="16" max="16" width="72.57421875" style="0" customWidth="1"/>
    <col min="17" max="28" width="35.7109375" style="0" customWidth="1"/>
    <col min="29" max="29" width="15.421875" style="0" customWidth="1"/>
  </cols>
  <sheetData>
    <row r="3" spans="11:13" ht="12.75">
      <c r="K3" s="92"/>
      <c r="L3" s="92"/>
      <c r="M3" s="92"/>
    </row>
    <row r="5" spans="2:28" ht="12.75">
      <c r="B5" s="328" t="s">
        <v>128</v>
      </c>
      <c r="C5" s="329"/>
      <c r="D5" s="87">
        <v>32010001</v>
      </c>
      <c r="E5" s="87">
        <v>32010001</v>
      </c>
      <c r="F5" s="87">
        <v>32010002</v>
      </c>
      <c r="G5" s="87">
        <v>32010003</v>
      </c>
      <c r="H5" s="87">
        <v>32010004</v>
      </c>
      <c r="I5" s="87">
        <v>32010005</v>
      </c>
      <c r="J5" s="87">
        <v>32010006</v>
      </c>
      <c r="K5" s="88" t="s">
        <v>129</v>
      </c>
      <c r="L5" s="88" t="s">
        <v>129</v>
      </c>
      <c r="M5" s="88" t="s">
        <v>129</v>
      </c>
      <c r="N5" s="88" t="s">
        <v>129</v>
      </c>
      <c r="O5" s="89">
        <v>32010008</v>
      </c>
      <c r="P5" s="325" t="s">
        <v>127</v>
      </c>
      <c r="Q5" s="87">
        <v>32010001</v>
      </c>
      <c r="R5" s="87">
        <v>32010001</v>
      </c>
      <c r="S5" s="87">
        <v>32010002</v>
      </c>
      <c r="T5" s="87">
        <v>32010003</v>
      </c>
      <c r="U5" s="87">
        <v>32010004</v>
      </c>
      <c r="V5" s="87">
        <v>32010005</v>
      </c>
      <c r="W5" s="87">
        <v>32010006</v>
      </c>
      <c r="X5" s="88" t="s">
        <v>129</v>
      </c>
      <c r="Y5" s="88" t="s">
        <v>129</v>
      </c>
      <c r="Z5" s="88" t="s">
        <v>129</v>
      </c>
      <c r="AA5" s="88" t="s">
        <v>129</v>
      </c>
      <c r="AB5" s="89">
        <v>32010008</v>
      </c>
    </row>
    <row r="6" spans="2:31" ht="63.75">
      <c r="B6" s="328" t="s">
        <v>123</v>
      </c>
      <c r="C6" s="329"/>
      <c r="D6" s="84" t="s">
        <v>112</v>
      </c>
      <c r="E6" s="84" t="s">
        <v>145</v>
      </c>
      <c r="F6" s="84" t="s">
        <v>111</v>
      </c>
      <c r="G6" s="84" t="s">
        <v>110</v>
      </c>
      <c r="H6" s="84" t="s">
        <v>113</v>
      </c>
      <c r="I6" s="84" t="s">
        <v>3</v>
      </c>
      <c r="J6" s="84" t="s">
        <v>11</v>
      </c>
      <c r="K6" s="85" t="s">
        <v>114</v>
      </c>
      <c r="L6" s="85" t="s">
        <v>115</v>
      </c>
      <c r="M6" s="85" t="s">
        <v>212</v>
      </c>
      <c r="N6" s="85" t="s">
        <v>116</v>
      </c>
      <c r="O6" s="86" t="s">
        <v>124</v>
      </c>
      <c r="P6" s="326"/>
      <c r="Q6" s="84" t="s">
        <v>112</v>
      </c>
      <c r="R6" s="84" t="s">
        <v>145</v>
      </c>
      <c r="S6" s="84" t="s">
        <v>111</v>
      </c>
      <c r="T6" s="84" t="s">
        <v>110</v>
      </c>
      <c r="U6" s="84" t="s">
        <v>113</v>
      </c>
      <c r="V6" s="84" t="s">
        <v>3</v>
      </c>
      <c r="W6" s="84" t="s">
        <v>11</v>
      </c>
      <c r="X6" s="85" t="s">
        <v>114</v>
      </c>
      <c r="Y6" s="85" t="s">
        <v>115</v>
      </c>
      <c r="Z6" s="85" t="s">
        <v>116</v>
      </c>
      <c r="AA6" s="85" t="s">
        <v>117</v>
      </c>
      <c r="AB6" s="86" t="s">
        <v>124</v>
      </c>
      <c r="AC6" s="107" t="s">
        <v>169</v>
      </c>
      <c r="AE6" s="85" t="s">
        <v>117</v>
      </c>
    </row>
    <row r="7" spans="2:28" ht="12.75">
      <c r="B7" s="79" t="s">
        <v>80</v>
      </c>
      <c r="D7" s="80"/>
      <c r="E7" s="80"/>
      <c r="F7" s="80"/>
      <c r="G7" s="80"/>
      <c r="H7" s="80"/>
      <c r="I7" s="80"/>
      <c r="J7" s="80"/>
      <c r="K7" s="80"/>
      <c r="L7" s="80"/>
      <c r="M7" s="80"/>
      <c r="N7" s="80"/>
      <c r="O7" s="80"/>
      <c r="Q7" s="90"/>
      <c r="R7" s="90"/>
      <c r="S7" s="90"/>
      <c r="T7" s="91"/>
      <c r="U7" s="90"/>
      <c r="V7" s="90"/>
      <c r="W7" s="90"/>
      <c r="X7" s="90"/>
      <c r="Y7" s="90"/>
      <c r="Z7" s="90"/>
      <c r="AA7" s="90"/>
      <c r="AB7" s="90"/>
    </row>
    <row r="8" spans="2:29" ht="12.75">
      <c r="B8">
        <v>400</v>
      </c>
      <c r="C8" t="s">
        <v>81</v>
      </c>
      <c r="D8" s="93">
        <f>120*40</f>
        <v>4800</v>
      </c>
      <c r="E8" s="93">
        <f>120*40</f>
        <v>4800</v>
      </c>
      <c r="F8" s="93">
        <f>100*40+103*40</f>
        <v>8120</v>
      </c>
      <c r="G8" s="93">
        <f>120*40</f>
        <v>4800</v>
      </c>
      <c r="H8" s="93">
        <f>120*40</f>
        <v>4800</v>
      </c>
      <c r="I8" s="93">
        <f>100*40</f>
        <v>4000</v>
      </c>
      <c r="J8" s="93">
        <v>0</v>
      </c>
      <c r="K8" s="93">
        <f>240*40</f>
        <v>9600</v>
      </c>
      <c r="L8" s="93">
        <f>240*40</f>
        <v>9600</v>
      </c>
      <c r="M8" s="93"/>
      <c r="N8" s="93"/>
      <c r="O8" s="93"/>
      <c r="P8" s="82" t="s">
        <v>93</v>
      </c>
      <c r="Q8" s="90" t="s">
        <v>150</v>
      </c>
      <c r="R8" s="90" t="s">
        <v>152</v>
      </c>
      <c r="S8" s="90" t="s">
        <v>152</v>
      </c>
      <c r="T8" s="90" t="s">
        <v>152</v>
      </c>
      <c r="U8" s="90" t="s">
        <v>152</v>
      </c>
      <c r="V8" s="90" t="s">
        <v>153</v>
      </c>
      <c r="W8" s="90"/>
      <c r="X8" s="90"/>
      <c r="Y8" s="90" t="s">
        <v>172</v>
      </c>
      <c r="Z8" s="90" t="s">
        <v>172</v>
      </c>
      <c r="AA8" s="90" t="s">
        <v>172</v>
      </c>
      <c r="AB8" s="90"/>
      <c r="AC8" s="93">
        <f>SUM(D8:O8)</f>
        <v>50520</v>
      </c>
    </row>
    <row r="9" spans="2:29" ht="12.75">
      <c r="B9">
        <v>410</v>
      </c>
      <c r="C9" t="s">
        <v>82</v>
      </c>
      <c r="D9" s="92">
        <v>0</v>
      </c>
      <c r="E9" s="92">
        <v>0</v>
      </c>
      <c r="F9" s="92">
        <v>250</v>
      </c>
      <c r="G9" s="92">
        <v>250</v>
      </c>
      <c r="H9" s="92">
        <v>250</v>
      </c>
      <c r="I9" s="92">
        <v>0</v>
      </c>
      <c r="J9" s="92">
        <v>0</v>
      </c>
      <c r="K9" s="92">
        <v>250</v>
      </c>
      <c r="L9" s="92">
        <v>250</v>
      </c>
      <c r="M9" s="92"/>
      <c r="N9" s="92"/>
      <c r="O9" s="92"/>
      <c r="P9" s="82" t="s">
        <v>94</v>
      </c>
      <c r="Q9" s="90"/>
      <c r="R9" s="90"/>
      <c r="S9" s="90"/>
      <c r="T9" s="90"/>
      <c r="U9" s="90"/>
      <c r="V9" s="90"/>
      <c r="W9" s="90"/>
      <c r="X9" s="90"/>
      <c r="Y9" s="90"/>
      <c r="Z9" s="90"/>
      <c r="AA9" s="90"/>
      <c r="AB9" s="90"/>
      <c r="AC9" s="93">
        <f aca="true" t="shared" si="0" ref="AC9:AC20">SUM(D9:O9)</f>
        <v>1250</v>
      </c>
    </row>
    <row r="10" spans="2:29" ht="12.75">
      <c r="B10">
        <v>414</v>
      </c>
      <c r="C10" t="s">
        <v>84</v>
      </c>
      <c r="D10" s="92">
        <v>0</v>
      </c>
      <c r="E10" s="92">
        <v>0</v>
      </c>
      <c r="F10" s="92">
        <v>100</v>
      </c>
      <c r="G10" s="92">
        <v>100</v>
      </c>
      <c r="H10" s="92">
        <v>100</v>
      </c>
      <c r="I10" s="92">
        <v>0</v>
      </c>
      <c r="J10" s="92">
        <v>0</v>
      </c>
      <c r="K10" s="92">
        <v>100</v>
      </c>
      <c r="L10" s="92">
        <v>100</v>
      </c>
      <c r="M10" s="92"/>
      <c r="N10" s="92"/>
      <c r="O10" s="92"/>
      <c r="P10" s="82" t="s">
        <v>94</v>
      </c>
      <c r="Q10" s="90"/>
      <c r="R10" s="90"/>
      <c r="S10" s="90"/>
      <c r="T10" s="90"/>
      <c r="U10" s="90"/>
      <c r="V10" s="90"/>
      <c r="W10" s="90"/>
      <c r="X10" s="90"/>
      <c r="Y10" s="90"/>
      <c r="Z10" s="90"/>
      <c r="AA10" s="90"/>
      <c r="AB10" s="90"/>
      <c r="AC10" s="93">
        <f t="shared" si="0"/>
        <v>500</v>
      </c>
    </row>
    <row r="11" spans="2:29" ht="12.75">
      <c r="B11">
        <v>416</v>
      </c>
      <c r="C11" t="s">
        <v>85</v>
      </c>
      <c r="D11" s="92">
        <v>0</v>
      </c>
      <c r="E11" s="92">
        <v>100</v>
      </c>
      <c r="F11" s="92">
        <v>100</v>
      </c>
      <c r="G11" s="92">
        <v>100</v>
      </c>
      <c r="H11" s="92">
        <v>100</v>
      </c>
      <c r="I11" s="92">
        <v>0</v>
      </c>
      <c r="J11" s="92">
        <v>0</v>
      </c>
      <c r="K11" s="92">
        <v>100</v>
      </c>
      <c r="L11" s="92">
        <v>100</v>
      </c>
      <c r="M11" s="92"/>
      <c r="N11" s="92"/>
      <c r="O11" s="92"/>
      <c r="P11" s="82"/>
      <c r="Q11" s="90" t="s">
        <v>137</v>
      </c>
      <c r="R11" s="90" t="s">
        <v>137</v>
      </c>
      <c r="S11" s="90" t="s">
        <v>137</v>
      </c>
      <c r="T11" s="90" t="s">
        <v>137</v>
      </c>
      <c r="U11" s="90" t="s">
        <v>137</v>
      </c>
      <c r="V11" s="90"/>
      <c r="W11" s="90"/>
      <c r="X11" s="90"/>
      <c r="Y11" s="90" t="s">
        <v>137</v>
      </c>
      <c r="Z11" s="90" t="s">
        <v>137</v>
      </c>
      <c r="AA11" s="90" t="s">
        <v>137</v>
      </c>
      <c r="AB11" s="90"/>
      <c r="AC11" s="93">
        <f t="shared" si="0"/>
        <v>600</v>
      </c>
    </row>
    <row r="12" spans="2:29" ht="12.75">
      <c r="B12">
        <v>459</v>
      </c>
      <c r="C12" t="s">
        <v>86</v>
      </c>
      <c r="D12" s="92">
        <v>0</v>
      </c>
      <c r="E12" s="92">
        <v>0</v>
      </c>
      <c r="F12" s="92">
        <v>0</v>
      </c>
      <c r="G12" s="92">
        <v>0</v>
      </c>
      <c r="H12" s="92">
        <v>0</v>
      </c>
      <c r="I12" s="92">
        <v>0</v>
      </c>
      <c r="J12" s="92">
        <v>0</v>
      </c>
      <c r="K12" s="92">
        <v>0</v>
      </c>
      <c r="L12" s="92">
        <v>0</v>
      </c>
      <c r="M12" s="92"/>
      <c r="N12" s="92"/>
      <c r="O12" s="92"/>
      <c r="P12" s="82"/>
      <c r="Q12" s="90"/>
      <c r="R12" s="90"/>
      <c r="S12" s="90"/>
      <c r="T12" s="90"/>
      <c r="U12" s="90"/>
      <c r="V12" s="90"/>
      <c r="W12" s="90"/>
      <c r="X12" s="90"/>
      <c r="Y12" s="90"/>
      <c r="Z12" s="90"/>
      <c r="AA12" s="90"/>
      <c r="AB12" s="90"/>
      <c r="AC12" s="93">
        <f t="shared" si="0"/>
        <v>0</v>
      </c>
    </row>
    <row r="13" spans="2:29" ht="12.75">
      <c r="B13">
        <v>460</v>
      </c>
      <c r="C13" t="s">
        <v>90</v>
      </c>
      <c r="D13" s="92">
        <v>0</v>
      </c>
      <c r="E13" s="92">
        <v>0</v>
      </c>
      <c r="F13" s="92">
        <v>0</v>
      </c>
      <c r="G13" s="92">
        <v>0</v>
      </c>
      <c r="H13" s="92">
        <v>0</v>
      </c>
      <c r="I13" s="92">
        <v>0</v>
      </c>
      <c r="J13" s="92">
        <v>0</v>
      </c>
      <c r="K13" s="92">
        <v>0</v>
      </c>
      <c r="L13" s="92">
        <v>0</v>
      </c>
      <c r="M13" s="92"/>
      <c r="N13" s="92"/>
      <c r="O13" s="92"/>
      <c r="P13" s="82"/>
      <c r="Q13" s="90"/>
      <c r="R13" s="90"/>
      <c r="S13" s="90"/>
      <c r="T13" s="90"/>
      <c r="U13" s="90"/>
      <c r="V13" s="90"/>
      <c r="W13" s="90"/>
      <c r="X13" s="90"/>
      <c r="Y13" s="90"/>
      <c r="Z13" s="90"/>
      <c r="AA13" s="90"/>
      <c r="AB13" s="90"/>
      <c r="AC13" s="93">
        <f t="shared" si="0"/>
        <v>0</v>
      </c>
    </row>
    <row r="14" spans="2:29" ht="12.75">
      <c r="B14">
        <v>461</v>
      </c>
      <c r="C14" t="s">
        <v>88</v>
      </c>
      <c r="D14" s="92">
        <v>0</v>
      </c>
      <c r="E14" s="92">
        <v>0</v>
      </c>
      <c r="F14" s="92">
        <v>0</v>
      </c>
      <c r="G14" s="92">
        <v>0</v>
      </c>
      <c r="H14" s="92">
        <v>0</v>
      </c>
      <c r="I14" s="92">
        <v>0</v>
      </c>
      <c r="J14" s="92">
        <v>0</v>
      </c>
      <c r="K14" s="92">
        <v>0</v>
      </c>
      <c r="L14" s="92">
        <v>0</v>
      </c>
      <c r="M14" s="92"/>
      <c r="N14" s="92"/>
      <c r="O14" s="92"/>
      <c r="P14" s="82"/>
      <c r="Q14" s="90"/>
      <c r="R14" s="90"/>
      <c r="S14" s="90"/>
      <c r="T14" s="90"/>
      <c r="U14" s="90"/>
      <c r="V14" s="90"/>
      <c r="W14" s="90"/>
      <c r="X14" s="90"/>
      <c r="Y14" s="90"/>
      <c r="Z14" s="90"/>
      <c r="AA14" s="90"/>
      <c r="AB14" s="90"/>
      <c r="AC14" s="93">
        <f t="shared" si="0"/>
        <v>0</v>
      </c>
    </row>
    <row r="15" spans="2:29" ht="12.75">
      <c r="B15">
        <v>531</v>
      </c>
      <c r="C15" t="s">
        <v>87</v>
      </c>
      <c r="D15" s="92">
        <v>0</v>
      </c>
      <c r="E15" s="92">
        <v>0</v>
      </c>
      <c r="F15" s="92">
        <v>0</v>
      </c>
      <c r="G15" s="92">
        <v>0</v>
      </c>
      <c r="H15" s="92">
        <v>0</v>
      </c>
      <c r="I15" s="92">
        <v>0</v>
      </c>
      <c r="J15" s="92">
        <v>0</v>
      </c>
      <c r="K15" s="92">
        <v>0</v>
      </c>
      <c r="L15" s="92">
        <v>0</v>
      </c>
      <c r="M15" s="92"/>
      <c r="N15" s="92"/>
      <c r="O15" s="92">
        <v>0</v>
      </c>
      <c r="P15" s="82"/>
      <c r="Q15" s="90"/>
      <c r="R15" s="90"/>
      <c r="S15" s="90"/>
      <c r="T15" s="90"/>
      <c r="U15" s="90"/>
      <c r="V15" s="90"/>
      <c r="W15" s="90"/>
      <c r="X15" s="90"/>
      <c r="Y15" s="90"/>
      <c r="Z15" s="90"/>
      <c r="AA15" s="90"/>
      <c r="AB15" s="90"/>
      <c r="AC15" s="93">
        <f t="shared" si="0"/>
        <v>0</v>
      </c>
    </row>
    <row r="16" spans="2:29" ht="12.75">
      <c r="B16">
        <v>546</v>
      </c>
      <c r="C16" t="s">
        <v>83</v>
      </c>
      <c r="D16" s="92">
        <v>5000</v>
      </c>
      <c r="E16" s="92">
        <v>10000</v>
      </c>
      <c r="F16" s="92">
        <v>10000</v>
      </c>
      <c r="G16" s="92">
        <v>10000</v>
      </c>
      <c r="H16" s="92">
        <v>10000</v>
      </c>
      <c r="I16" s="92">
        <v>30000</v>
      </c>
      <c r="J16" s="92">
        <v>0</v>
      </c>
      <c r="K16" s="92">
        <v>20000</v>
      </c>
      <c r="L16" s="92">
        <v>20000</v>
      </c>
      <c r="M16" s="92"/>
      <c r="N16" s="92"/>
      <c r="O16" s="92">
        <v>0</v>
      </c>
      <c r="P16" s="82" t="s">
        <v>216</v>
      </c>
      <c r="Q16" s="90"/>
      <c r="R16" s="90" t="s">
        <v>146</v>
      </c>
      <c r="S16" s="90" t="s">
        <v>159</v>
      </c>
      <c r="T16" s="90" t="s">
        <v>159</v>
      </c>
      <c r="U16" s="90" t="s">
        <v>146</v>
      </c>
      <c r="V16" s="90"/>
      <c r="W16" s="90"/>
      <c r="X16" s="90"/>
      <c r="Y16" s="90" t="s">
        <v>173</v>
      </c>
      <c r="Z16" s="90" t="s">
        <v>173</v>
      </c>
      <c r="AA16" s="90" t="s">
        <v>173</v>
      </c>
      <c r="AB16" s="90"/>
      <c r="AC16" s="93">
        <f t="shared" si="0"/>
        <v>115000</v>
      </c>
    </row>
    <row r="17" spans="2:29" ht="12.75">
      <c r="B17">
        <v>628</v>
      </c>
      <c r="C17" t="s">
        <v>89</v>
      </c>
      <c r="D17" s="92">
        <v>0</v>
      </c>
      <c r="E17" s="92">
        <v>0</v>
      </c>
      <c r="F17" s="92">
        <v>0</v>
      </c>
      <c r="G17" s="92">
        <v>0</v>
      </c>
      <c r="H17" s="92">
        <v>0</v>
      </c>
      <c r="I17" s="92">
        <v>0</v>
      </c>
      <c r="J17" s="92">
        <v>0</v>
      </c>
      <c r="K17" s="92">
        <v>0</v>
      </c>
      <c r="L17" s="92">
        <v>0</v>
      </c>
      <c r="M17" s="92"/>
      <c r="N17" s="92"/>
      <c r="O17" s="92">
        <v>0</v>
      </c>
      <c r="P17" s="82"/>
      <c r="Q17" s="90"/>
      <c r="R17" s="90"/>
      <c r="S17" s="90"/>
      <c r="T17" s="90"/>
      <c r="U17" s="90"/>
      <c r="V17" s="90"/>
      <c r="W17" s="90"/>
      <c r="X17" s="90"/>
      <c r="Y17" s="90"/>
      <c r="Z17" s="90"/>
      <c r="AA17" s="90"/>
      <c r="AB17" s="90"/>
      <c r="AC17" s="93">
        <f t="shared" si="0"/>
        <v>0</v>
      </c>
    </row>
    <row r="18" spans="2:29" ht="12.75">
      <c r="B18">
        <v>629</v>
      </c>
      <c r="C18" t="s">
        <v>91</v>
      </c>
      <c r="D18" s="92">
        <v>0</v>
      </c>
      <c r="E18" s="92">
        <v>0</v>
      </c>
      <c r="F18" s="92">
        <v>0</v>
      </c>
      <c r="G18" s="92">
        <v>0</v>
      </c>
      <c r="H18" s="92">
        <v>0</v>
      </c>
      <c r="I18" s="92">
        <v>0</v>
      </c>
      <c r="J18" s="92">
        <v>0</v>
      </c>
      <c r="K18" s="92">
        <v>0</v>
      </c>
      <c r="L18" s="92">
        <v>0</v>
      </c>
      <c r="M18" s="92"/>
      <c r="N18" s="92"/>
      <c r="O18" s="92"/>
      <c r="P18" s="82" t="s">
        <v>95</v>
      </c>
      <c r="Q18" s="90"/>
      <c r="R18" s="90"/>
      <c r="S18" s="90"/>
      <c r="T18" s="90"/>
      <c r="U18" s="90"/>
      <c r="V18" s="90"/>
      <c r="W18" s="90"/>
      <c r="X18" s="90"/>
      <c r="Y18" s="90"/>
      <c r="Z18" s="90"/>
      <c r="AA18" s="90"/>
      <c r="AB18" s="90"/>
      <c r="AC18" s="93">
        <f t="shared" si="0"/>
        <v>0</v>
      </c>
    </row>
    <row r="19" spans="1:29" ht="12.75">
      <c r="A19" s="100">
        <v>0.7</v>
      </c>
      <c r="B19">
        <v>920</v>
      </c>
      <c r="C19" t="s">
        <v>190</v>
      </c>
      <c r="D19" s="92">
        <f aca="true" t="shared" si="1" ref="D19:O19">D8*$A$19</f>
        <v>3360</v>
      </c>
      <c r="E19" s="92">
        <f t="shared" si="1"/>
        <v>3360</v>
      </c>
      <c r="F19" s="92">
        <f t="shared" si="1"/>
        <v>5684</v>
      </c>
      <c r="G19" s="92">
        <f t="shared" si="1"/>
        <v>3360</v>
      </c>
      <c r="H19" s="92">
        <f t="shared" si="1"/>
        <v>3360</v>
      </c>
      <c r="I19" s="92">
        <f t="shared" si="1"/>
        <v>2800</v>
      </c>
      <c r="J19" s="92">
        <f t="shared" si="1"/>
        <v>0</v>
      </c>
      <c r="K19" s="92">
        <f t="shared" si="1"/>
        <v>6720</v>
      </c>
      <c r="L19" s="92">
        <f t="shared" si="1"/>
        <v>6720</v>
      </c>
      <c r="M19" s="92"/>
      <c r="N19" s="92"/>
      <c r="O19" s="92">
        <f t="shared" si="1"/>
        <v>0</v>
      </c>
      <c r="P19" s="82" t="s">
        <v>93</v>
      </c>
      <c r="Q19" s="90" t="s">
        <v>136</v>
      </c>
      <c r="R19" s="90" t="s">
        <v>136</v>
      </c>
      <c r="S19" s="90" t="s">
        <v>136</v>
      </c>
      <c r="T19" s="90" t="s">
        <v>136</v>
      </c>
      <c r="U19" s="90" t="s">
        <v>136</v>
      </c>
      <c r="V19" s="90" t="s">
        <v>136</v>
      </c>
      <c r="W19" s="90" t="s">
        <v>136</v>
      </c>
      <c r="X19" s="90" t="s">
        <v>136</v>
      </c>
      <c r="Y19" s="90" t="s">
        <v>136</v>
      </c>
      <c r="Z19" s="90" t="s">
        <v>136</v>
      </c>
      <c r="AA19" s="90" t="s">
        <v>136</v>
      </c>
      <c r="AB19" s="90" t="s">
        <v>136</v>
      </c>
      <c r="AC19" s="93">
        <f t="shared" si="0"/>
        <v>35364</v>
      </c>
    </row>
    <row r="20" spans="2:29" ht="12.75">
      <c r="B20">
        <v>927</v>
      </c>
      <c r="C20" t="s">
        <v>170</v>
      </c>
      <c r="D20" s="92">
        <v>0</v>
      </c>
      <c r="E20" s="92">
        <v>0</v>
      </c>
      <c r="F20" s="92">
        <v>0</v>
      </c>
      <c r="G20" s="92">
        <v>0</v>
      </c>
      <c r="H20" s="92">
        <v>0</v>
      </c>
      <c r="I20" s="92">
        <v>0</v>
      </c>
      <c r="J20" s="92">
        <v>0</v>
      </c>
      <c r="K20" s="92">
        <v>0</v>
      </c>
      <c r="L20" s="92">
        <v>0</v>
      </c>
      <c r="M20" s="92"/>
      <c r="N20" s="92"/>
      <c r="O20" s="92">
        <v>0</v>
      </c>
      <c r="P20" s="82"/>
      <c r="Q20" s="90"/>
      <c r="R20" s="90"/>
      <c r="S20" s="90"/>
      <c r="T20" s="90"/>
      <c r="U20" s="90"/>
      <c r="V20" s="90"/>
      <c r="W20" s="90"/>
      <c r="X20" s="90"/>
      <c r="Y20" s="90"/>
      <c r="Z20" s="90"/>
      <c r="AA20" s="90"/>
      <c r="AB20" s="90"/>
      <c r="AC20" s="93">
        <f t="shared" si="0"/>
        <v>0</v>
      </c>
    </row>
    <row r="21" spans="2:29" ht="12.75">
      <c r="B21" s="327" t="s">
        <v>131</v>
      </c>
      <c r="C21" s="327"/>
      <c r="D21" s="93">
        <f aca="true" t="shared" si="2" ref="D21:O21">SUM(D8:D20)</f>
        <v>13160</v>
      </c>
      <c r="E21" s="93">
        <f t="shared" si="2"/>
        <v>18260</v>
      </c>
      <c r="F21" s="93">
        <f t="shared" si="2"/>
        <v>24254</v>
      </c>
      <c r="G21" s="93">
        <f t="shared" si="2"/>
        <v>18610</v>
      </c>
      <c r="H21" s="93">
        <f t="shared" si="2"/>
        <v>18610</v>
      </c>
      <c r="I21" s="93">
        <f t="shared" si="2"/>
        <v>36800</v>
      </c>
      <c r="J21" s="93">
        <f t="shared" si="2"/>
        <v>0</v>
      </c>
      <c r="K21" s="93">
        <f t="shared" si="2"/>
        <v>36770</v>
      </c>
      <c r="L21" s="93">
        <f t="shared" si="2"/>
        <v>36770</v>
      </c>
      <c r="M21" s="93"/>
      <c r="N21" s="93"/>
      <c r="O21" s="93">
        <f t="shared" si="2"/>
        <v>0</v>
      </c>
      <c r="P21" s="82"/>
      <c r="Q21" s="90"/>
      <c r="R21" s="90"/>
      <c r="S21" s="90"/>
      <c r="T21" s="90"/>
      <c r="U21" s="90"/>
      <c r="V21" s="90"/>
      <c r="W21" s="90"/>
      <c r="X21" s="90"/>
      <c r="Y21" s="90"/>
      <c r="Z21" s="90"/>
      <c r="AA21" s="90"/>
      <c r="AB21" s="90"/>
      <c r="AC21" s="93">
        <f>SUM(AC8:AC20)</f>
        <v>203234</v>
      </c>
    </row>
    <row r="22" spans="2:28" ht="12.75">
      <c r="B22" s="79" t="s">
        <v>92</v>
      </c>
      <c r="D22" s="92"/>
      <c r="E22" s="92"/>
      <c r="F22" s="92"/>
      <c r="G22" s="92"/>
      <c r="H22" s="92"/>
      <c r="I22" s="92"/>
      <c r="J22" s="92"/>
      <c r="K22" s="92"/>
      <c r="L22" s="92"/>
      <c r="M22" s="92"/>
      <c r="N22" s="92"/>
      <c r="O22" s="92"/>
      <c r="P22" s="82"/>
      <c r="Q22" s="90"/>
      <c r="R22" s="90"/>
      <c r="S22" s="90"/>
      <c r="T22" s="90"/>
      <c r="U22" s="90"/>
      <c r="V22" s="90"/>
      <c r="W22" s="90"/>
      <c r="X22" s="90"/>
      <c r="Y22" s="90"/>
      <c r="Z22" s="90"/>
      <c r="AA22" s="90"/>
      <c r="AB22" s="90"/>
    </row>
    <row r="23" spans="2:29" ht="12.75">
      <c r="B23">
        <v>400</v>
      </c>
      <c r="C23" t="s">
        <v>81</v>
      </c>
      <c r="D23" s="93">
        <f>(17346*12)+(5364*12)*1</f>
        <v>272520</v>
      </c>
      <c r="E23" s="93">
        <f>175*40</f>
        <v>7000</v>
      </c>
      <c r="F23" s="93">
        <f>(120)*40+605*40</f>
        <v>29000</v>
      </c>
      <c r="G23" s="93">
        <f>240*40</f>
        <v>9600</v>
      </c>
      <c r="H23" s="93">
        <f>240*40</f>
        <v>9600</v>
      </c>
      <c r="I23" s="93">
        <f>200*40</f>
        <v>8000</v>
      </c>
      <c r="J23" s="93">
        <v>0</v>
      </c>
      <c r="K23" s="93">
        <f>(240)*40</f>
        <v>9600</v>
      </c>
      <c r="L23" s="93">
        <f>240*40</f>
        <v>9600</v>
      </c>
      <c r="M23" s="93"/>
      <c r="N23" s="93"/>
      <c r="O23" s="93"/>
      <c r="P23" s="82" t="s">
        <v>104</v>
      </c>
      <c r="Q23" s="90"/>
      <c r="R23" s="90" t="s">
        <v>147</v>
      </c>
      <c r="S23" s="90" t="s">
        <v>182</v>
      </c>
      <c r="T23" s="90" t="s">
        <v>163</v>
      </c>
      <c r="U23" s="90" t="s">
        <v>147</v>
      </c>
      <c r="V23" s="90" t="s">
        <v>156</v>
      </c>
      <c r="W23" s="90"/>
      <c r="X23" s="90"/>
      <c r="Y23" s="90" t="s">
        <v>174</v>
      </c>
      <c r="Z23" s="90" t="s">
        <v>174</v>
      </c>
      <c r="AA23" s="90" t="s">
        <v>174</v>
      </c>
      <c r="AB23" s="90"/>
      <c r="AC23" s="93">
        <f>SUM(D23:O23)</f>
        <v>354920</v>
      </c>
    </row>
    <row r="24" spans="2:29" ht="12.75">
      <c r="B24">
        <v>410</v>
      </c>
      <c r="C24" t="s">
        <v>82</v>
      </c>
      <c r="D24" s="92">
        <v>2500</v>
      </c>
      <c r="E24" s="92">
        <v>500</v>
      </c>
      <c r="F24" s="92">
        <v>1200</v>
      </c>
      <c r="G24" s="92">
        <v>500</v>
      </c>
      <c r="H24" s="92">
        <v>500</v>
      </c>
      <c r="I24" s="92">
        <v>250</v>
      </c>
      <c r="J24" s="92">
        <v>0</v>
      </c>
      <c r="K24" s="92">
        <v>500</v>
      </c>
      <c r="L24" s="92">
        <v>500</v>
      </c>
      <c r="M24" s="92"/>
      <c r="N24" s="92"/>
      <c r="O24" s="92"/>
      <c r="P24" s="82" t="s">
        <v>103</v>
      </c>
      <c r="Q24" s="90"/>
      <c r="R24" s="90"/>
      <c r="S24" s="90"/>
      <c r="T24" s="90"/>
      <c r="U24" s="90"/>
      <c r="V24" s="90"/>
      <c r="W24" s="90"/>
      <c r="X24" s="90"/>
      <c r="Y24" s="90"/>
      <c r="Z24" s="90"/>
      <c r="AA24" s="90"/>
      <c r="AB24" s="90"/>
      <c r="AC24" s="93">
        <f aca="true" t="shared" si="3" ref="AC24:AC35">SUM(D24:O24)</f>
        <v>6450</v>
      </c>
    </row>
    <row r="25" spans="2:29" ht="12.75">
      <c r="B25">
        <v>414</v>
      </c>
      <c r="C25" t="s">
        <v>84</v>
      </c>
      <c r="D25" s="92">
        <v>1500</v>
      </c>
      <c r="E25" s="92">
        <v>100</v>
      </c>
      <c r="F25" s="92">
        <v>250</v>
      </c>
      <c r="G25" s="92">
        <v>100</v>
      </c>
      <c r="H25" s="92">
        <v>100</v>
      </c>
      <c r="I25" s="92">
        <v>100</v>
      </c>
      <c r="J25" s="92">
        <v>0</v>
      </c>
      <c r="K25" s="92">
        <v>150</v>
      </c>
      <c r="L25" s="92">
        <v>150</v>
      </c>
      <c r="M25" s="92"/>
      <c r="N25" s="92"/>
      <c r="O25" s="92"/>
      <c r="P25" s="82" t="s">
        <v>103</v>
      </c>
      <c r="Q25" s="90"/>
      <c r="R25" s="90"/>
      <c r="S25" s="90"/>
      <c r="T25" s="90"/>
      <c r="U25" s="90"/>
      <c r="V25" s="90"/>
      <c r="W25" s="90"/>
      <c r="X25" s="90"/>
      <c r="Y25" s="90"/>
      <c r="Z25" s="90"/>
      <c r="AA25" s="90"/>
      <c r="AB25" s="90"/>
      <c r="AC25" s="93">
        <f t="shared" si="3"/>
        <v>2450</v>
      </c>
    </row>
    <row r="26" spans="2:29" ht="12.75">
      <c r="B26">
        <v>416</v>
      </c>
      <c r="C26" t="s">
        <v>85</v>
      </c>
      <c r="D26" s="92">
        <v>600</v>
      </c>
      <c r="E26" s="92">
        <v>100</v>
      </c>
      <c r="F26" s="92">
        <v>100</v>
      </c>
      <c r="G26" s="92">
        <v>100</v>
      </c>
      <c r="H26" s="92">
        <v>100</v>
      </c>
      <c r="I26" s="92">
        <v>100</v>
      </c>
      <c r="J26" s="92">
        <v>0</v>
      </c>
      <c r="K26" s="92">
        <v>100</v>
      </c>
      <c r="L26" s="92">
        <v>100</v>
      </c>
      <c r="M26" s="92"/>
      <c r="N26" s="92"/>
      <c r="O26" s="92"/>
      <c r="P26" s="82"/>
      <c r="Q26" s="90"/>
      <c r="R26" s="90"/>
      <c r="S26" s="90"/>
      <c r="T26" s="90"/>
      <c r="U26" s="90"/>
      <c r="V26" s="90"/>
      <c r="W26" s="90"/>
      <c r="X26" s="90"/>
      <c r="Y26" s="90"/>
      <c r="Z26" s="90"/>
      <c r="AA26" s="90"/>
      <c r="AB26" s="90"/>
      <c r="AC26" s="93">
        <f t="shared" si="3"/>
        <v>1300</v>
      </c>
    </row>
    <row r="27" spans="2:29" ht="12.75">
      <c r="B27">
        <v>459</v>
      </c>
      <c r="C27" t="s">
        <v>86</v>
      </c>
      <c r="D27" s="92">
        <v>2500</v>
      </c>
      <c r="E27" s="92">
        <v>0</v>
      </c>
      <c r="F27" s="92">
        <v>0</v>
      </c>
      <c r="G27" s="92">
        <v>0</v>
      </c>
      <c r="H27" s="92">
        <v>0</v>
      </c>
      <c r="I27" s="92">
        <v>0</v>
      </c>
      <c r="J27" s="92">
        <v>0</v>
      </c>
      <c r="K27" s="92">
        <v>0</v>
      </c>
      <c r="L27" s="92">
        <v>0</v>
      </c>
      <c r="M27" s="92"/>
      <c r="N27" s="92"/>
      <c r="O27" s="92"/>
      <c r="P27" s="82"/>
      <c r="Q27" s="90" t="s">
        <v>149</v>
      </c>
      <c r="R27" s="90"/>
      <c r="S27" s="90"/>
      <c r="T27" s="90"/>
      <c r="U27" s="90"/>
      <c r="V27" s="90"/>
      <c r="W27" s="90"/>
      <c r="X27" s="90"/>
      <c r="Y27" s="90"/>
      <c r="Z27" s="90"/>
      <c r="AA27" s="90"/>
      <c r="AB27" s="90"/>
      <c r="AC27" s="93">
        <f t="shared" si="3"/>
        <v>2500</v>
      </c>
    </row>
    <row r="28" spans="2:29" ht="12.75">
      <c r="B28">
        <v>460</v>
      </c>
      <c r="C28" t="s">
        <v>90</v>
      </c>
      <c r="D28" s="92">
        <v>32621</v>
      </c>
      <c r="E28" s="92">
        <v>0</v>
      </c>
      <c r="F28" s="92">
        <v>0</v>
      </c>
      <c r="G28" s="92">
        <v>0</v>
      </c>
      <c r="H28" s="92">
        <v>0</v>
      </c>
      <c r="I28" s="92">
        <v>0</v>
      </c>
      <c r="J28" s="92">
        <v>0</v>
      </c>
      <c r="K28" s="92">
        <v>0</v>
      </c>
      <c r="L28" s="92">
        <v>0</v>
      </c>
      <c r="M28" s="92"/>
      <c r="N28" s="92"/>
      <c r="O28" s="92"/>
      <c r="P28" s="82" t="s">
        <v>97</v>
      </c>
      <c r="Q28" s="90" t="s">
        <v>144</v>
      </c>
      <c r="R28" s="90"/>
      <c r="S28" s="90"/>
      <c r="T28" s="90"/>
      <c r="U28" s="90"/>
      <c r="V28" s="90"/>
      <c r="W28" s="90"/>
      <c r="X28" s="90"/>
      <c r="Y28" s="90"/>
      <c r="Z28" s="90"/>
      <c r="AA28" s="90"/>
      <c r="AB28" s="90"/>
      <c r="AC28" s="93">
        <f t="shared" si="3"/>
        <v>32621</v>
      </c>
    </row>
    <row r="29" spans="2:29" ht="12.75">
      <c r="B29">
        <v>461</v>
      </c>
      <c r="C29" t="s">
        <v>88</v>
      </c>
      <c r="D29" s="92">
        <v>2500</v>
      </c>
      <c r="E29" s="92">
        <v>0</v>
      </c>
      <c r="F29" s="92">
        <v>250</v>
      </c>
      <c r="G29" s="92">
        <v>0</v>
      </c>
      <c r="H29" s="92">
        <v>0</v>
      </c>
      <c r="I29" s="92">
        <v>200</v>
      </c>
      <c r="J29" s="92">
        <v>0</v>
      </c>
      <c r="K29" s="92">
        <v>0</v>
      </c>
      <c r="L29" s="92">
        <v>0</v>
      </c>
      <c r="M29" s="92"/>
      <c r="N29" s="92"/>
      <c r="O29" s="92"/>
      <c r="P29" s="82" t="s">
        <v>119</v>
      </c>
      <c r="Q29" s="90" t="s">
        <v>138</v>
      </c>
      <c r="R29" s="90"/>
      <c r="S29" s="90"/>
      <c r="T29" s="90"/>
      <c r="U29" s="90"/>
      <c r="V29" s="90" t="s">
        <v>154</v>
      </c>
      <c r="W29" s="90"/>
      <c r="X29" s="90"/>
      <c r="Y29" s="90"/>
      <c r="Z29" s="90"/>
      <c r="AA29" s="90"/>
      <c r="AB29" s="90"/>
      <c r="AC29" s="93">
        <f t="shared" si="3"/>
        <v>2950</v>
      </c>
    </row>
    <row r="30" spans="2:29" ht="12.75">
      <c r="B30">
        <v>531</v>
      </c>
      <c r="C30" t="s">
        <v>87</v>
      </c>
      <c r="D30" s="92">
        <v>5000</v>
      </c>
      <c r="E30" s="92">
        <v>1500</v>
      </c>
      <c r="F30" s="92">
        <v>0</v>
      </c>
      <c r="G30" s="92">
        <v>0</v>
      </c>
      <c r="H30" s="92">
        <v>10000</v>
      </c>
      <c r="I30" s="92">
        <v>850000</v>
      </c>
      <c r="J30" s="92">
        <v>0</v>
      </c>
      <c r="K30" s="92">
        <v>0</v>
      </c>
      <c r="L30" s="92">
        <v>0</v>
      </c>
      <c r="M30" s="92"/>
      <c r="N30" s="92"/>
      <c r="O30" s="92"/>
      <c r="P30" s="82" t="s">
        <v>121</v>
      </c>
      <c r="Q30" s="90" t="s">
        <v>139</v>
      </c>
      <c r="R30" s="90" t="s">
        <v>148</v>
      </c>
      <c r="S30" s="90" t="s">
        <v>160</v>
      </c>
      <c r="T30" s="90" t="s">
        <v>148</v>
      </c>
      <c r="U30" s="90" t="s">
        <v>160</v>
      </c>
      <c r="V30" s="90" t="s">
        <v>155</v>
      </c>
      <c r="W30" s="90"/>
      <c r="X30" s="90"/>
      <c r="Y30" s="90" t="s">
        <v>175</v>
      </c>
      <c r="Z30" s="90" t="s">
        <v>175</v>
      </c>
      <c r="AA30" s="90" t="s">
        <v>175</v>
      </c>
      <c r="AB30" s="90"/>
      <c r="AC30" s="93">
        <f t="shared" si="3"/>
        <v>866500</v>
      </c>
    </row>
    <row r="31" spans="2:29" ht="12.75">
      <c r="B31">
        <v>546</v>
      </c>
      <c r="C31" t="s">
        <v>83</v>
      </c>
      <c r="D31" s="92">
        <v>5500</v>
      </c>
      <c r="E31" s="92">
        <v>0</v>
      </c>
      <c r="F31" s="92">
        <f>42537.5+2736+6000</f>
        <v>51273.5</v>
      </c>
      <c r="G31" s="92">
        <f>50727.5+3636+12000</f>
        <v>66363.5</v>
      </c>
      <c r="H31" s="92">
        <f>50000</f>
        <v>50000</v>
      </c>
      <c r="I31" s="92">
        <v>200000</v>
      </c>
      <c r="J31" s="92">
        <v>250000</v>
      </c>
      <c r="K31" s="92">
        <f>42206.95+2272+6000</f>
        <v>50478.95</v>
      </c>
      <c r="L31" s="92">
        <v>15000</v>
      </c>
      <c r="M31" s="92"/>
      <c r="N31" s="92"/>
      <c r="O31" s="92"/>
      <c r="P31" s="82" t="s">
        <v>122</v>
      </c>
      <c r="Q31" s="90" t="s">
        <v>135</v>
      </c>
      <c r="R31" s="90" t="s">
        <v>151</v>
      </c>
      <c r="S31" s="90" t="s">
        <v>161</v>
      </c>
      <c r="T31" s="90" t="s">
        <v>164</v>
      </c>
      <c r="U31" s="90" t="s">
        <v>166</v>
      </c>
      <c r="V31" s="90" t="s">
        <v>157</v>
      </c>
      <c r="W31" s="90"/>
      <c r="X31" s="90" t="s">
        <v>171</v>
      </c>
      <c r="Y31" s="90" t="s">
        <v>176</v>
      </c>
      <c r="Z31" s="90" t="s">
        <v>179</v>
      </c>
      <c r="AA31" s="90" t="s">
        <v>178</v>
      </c>
      <c r="AB31" s="90"/>
      <c r="AC31" s="93">
        <f t="shared" si="3"/>
        <v>688615.95</v>
      </c>
    </row>
    <row r="32" spans="2:29" ht="12.75">
      <c r="B32">
        <v>628</v>
      </c>
      <c r="C32" t="s">
        <v>89</v>
      </c>
      <c r="D32" s="92">
        <v>250</v>
      </c>
      <c r="E32" s="92">
        <v>0</v>
      </c>
      <c r="F32" s="92">
        <v>0</v>
      </c>
      <c r="G32" s="92">
        <v>0</v>
      </c>
      <c r="H32" s="92">
        <v>0</v>
      </c>
      <c r="I32" s="92">
        <v>0</v>
      </c>
      <c r="J32" s="92">
        <v>0</v>
      </c>
      <c r="K32" s="92">
        <v>0</v>
      </c>
      <c r="L32" s="92">
        <v>0</v>
      </c>
      <c r="M32" s="92"/>
      <c r="N32" s="92"/>
      <c r="O32" s="92"/>
      <c r="P32" s="82" t="s">
        <v>99</v>
      </c>
      <c r="Q32" s="90" t="s">
        <v>140</v>
      </c>
      <c r="R32" s="90"/>
      <c r="S32" s="90"/>
      <c r="T32" s="90"/>
      <c r="U32" s="90"/>
      <c r="V32" s="90"/>
      <c r="W32" s="90"/>
      <c r="X32" s="90"/>
      <c r="Y32" s="90"/>
      <c r="Z32" s="90"/>
      <c r="AA32" s="90"/>
      <c r="AB32" s="90"/>
      <c r="AC32" s="93">
        <f t="shared" si="3"/>
        <v>250</v>
      </c>
    </row>
    <row r="33" spans="2:29" ht="12.75">
      <c r="B33">
        <v>629</v>
      </c>
      <c r="C33" t="s">
        <v>91</v>
      </c>
      <c r="D33" s="92">
        <f>4*2500+10000*0.45</f>
        <v>14500</v>
      </c>
      <c r="E33" s="92">
        <v>0</v>
      </c>
      <c r="F33" s="92">
        <v>0</v>
      </c>
      <c r="G33" s="92">
        <v>0</v>
      </c>
      <c r="H33" s="92">
        <v>0</v>
      </c>
      <c r="I33" s="92">
        <v>0</v>
      </c>
      <c r="J33" s="92">
        <v>0</v>
      </c>
      <c r="K33" s="92">
        <v>0</v>
      </c>
      <c r="L33" s="92">
        <v>0</v>
      </c>
      <c r="M33" s="92"/>
      <c r="N33" s="92"/>
      <c r="O33" s="92"/>
      <c r="P33" s="82" t="s">
        <v>100</v>
      </c>
      <c r="Q33" s="90" t="s">
        <v>141</v>
      </c>
      <c r="R33" s="90"/>
      <c r="S33" s="90"/>
      <c r="T33" s="90"/>
      <c r="U33" s="90"/>
      <c r="V33" s="90"/>
      <c r="W33" s="90"/>
      <c r="X33" s="90"/>
      <c r="Y33" s="90"/>
      <c r="Z33" s="90"/>
      <c r="AA33" s="90"/>
      <c r="AB33" s="90"/>
      <c r="AC33" s="93">
        <f t="shared" si="3"/>
        <v>14500</v>
      </c>
    </row>
    <row r="34" spans="2:29" ht="12.75">
      <c r="B34">
        <v>920</v>
      </c>
      <c r="C34" t="s">
        <v>190</v>
      </c>
      <c r="D34" s="92">
        <f aca="true" t="shared" si="4" ref="D34:O34">D23*$A$19</f>
        <v>190764</v>
      </c>
      <c r="E34" s="92">
        <f t="shared" si="4"/>
        <v>4900</v>
      </c>
      <c r="F34" s="92">
        <f t="shared" si="4"/>
        <v>20300</v>
      </c>
      <c r="G34" s="92">
        <f t="shared" si="4"/>
        <v>6720</v>
      </c>
      <c r="H34" s="92">
        <f t="shared" si="4"/>
        <v>6720</v>
      </c>
      <c r="I34" s="92">
        <f t="shared" si="4"/>
        <v>5600</v>
      </c>
      <c r="J34" s="92">
        <f t="shared" si="4"/>
        <v>0</v>
      </c>
      <c r="K34" s="92">
        <f t="shared" si="4"/>
        <v>6720</v>
      </c>
      <c r="L34" s="92">
        <f t="shared" si="4"/>
        <v>6720</v>
      </c>
      <c r="M34" s="92"/>
      <c r="N34" s="92"/>
      <c r="O34" s="92">
        <f t="shared" si="4"/>
        <v>0</v>
      </c>
      <c r="P34" s="82" t="s">
        <v>104</v>
      </c>
      <c r="Q34" s="90" t="s">
        <v>136</v>
      </c>
      <c r="R34" s="90" t="s">
        <v>136</v>
      </c>
      <c r="S34" s="90" t="s">
        <v>136</v>
      </c>
      <c r="T34" s="90" t="s">
        <v>136</v>
      </c>
      <c r="U34" s="90" t="s">
        <v>136</v>
      </c>
      <c r="V34" s="90" t="s">
        <v>136</v>
      </c>
      <c r="W34" s="90" t="s">
        <v>136</v>
      </c>
      <c r="X34" s="90" t="s">
        <v>136</v>
      </c>
      <c r="Y34" s="90" t="s">
        <v>136</v>
      </c>
      <c r="Z34" s="90" t="s">
        <v>136</v>
      </c>
      <c r="AA34" s="90" t="s">
        <v>136</v>
      </c>
      <c r="AB34" s="90" t="s">
        <v>136</v>
      </c>
      <c r="AC34" s="93">
        <f t="shared" si="3"/>
        <v>248444</v>
      </c>
    </row>
    <row r="35" spans="2:29" ht="12.75">
      <c r="B35">
        <v>927</v>
      </c>
      <c r="C35" t="s">
        <v>170</v>
      </c>
      <c r="D35" s="92">
        <v>36000</v>
      </c>
      <c r="E35" s="92">
        <v>0</v>
      </c>
      <c r="F35" s="92">
        <v>0</v>
      </c>
      <c r="G35" s="92">
        <v>0</v>
      </c>
      <c r="H35" s="92">
        <v>0</v>
      </c>
      <c r="I35" s="92">
        <v>0</v>
      </c>
      <c r="J35" s="92">
        <v>0</v>
      </c>
      <c r="K35" s="92">
        <v>0</v>
      </c>
      <c r="L35" s="92">
        <v>0</v>
      </c>
      <c r="M35" s="92"/>
      <c r="N35" s="92"/>
      <c r="O35" s="92">
        <v>0</v>
      </c>
      <c r="P35" s="82" t="s">
        <v>101</v>
      </c>
      <c r="Q35" s="90" t="s">
        <v>143</v>
      </c>
      <c r="R35" s="90"/>
      <c r="S35" s="90"/>
      <c r="T35" s="90"/>
      <c r="U35" s="90"/>
      <c r="V35" s="90"/>
      <c r="W35" s="90"/>
      <c r="X35" s="90"/>
      <c r="Y35" s="90"/>
      <c r="Z35" s="90"/>
      <c r="AA35" s="90"/>
      <c r="AB35" s="90"/>
      <c r="AC35" s="93">
        <f t="shared" si="3"/>
        <v>36000</v>
      </c>
    </row>
    <row r="36" spans="2:29" ht="12.75">
      <c r="B36" s="327" t="s">
        <v>132</v>
      </c>
      <c r="C36" s="327"/>
      <c r="D36" s="93">
        <f aca="true" t="shared" si="5" ref="D36:O36">SUM(D23:D35)</f>
        <v>566755</v>
      </c>
      <c r="E36" s="93">
        <f t="shared" si="5"/>
        <v>14100</v>
      </c>
      <c r="F36" s="93">
        <f t="shared" si="5"/>
        <v>102373.5</v>
      </c>
      <c r="G36" s="93">
        <f t="shared" si="5"/>
        <v>83383.5</v>
      </c>
      <c r="H36" s="93">
        <f t="shared" si="5"/>
        <v>77020</v>
      </c>
      <c r="I36" s="93">
        <f t="shared" si="5"/>
        <v>1064250</v>
      </c>
      <c r="J36" s="93">
        <f t="shared" si="5"/>
        <v>250000</v>
      </c>
      <c r="K36" s="93">
        <f t="shared" si="5"/>
        <v>67548.95</v>
      </c>
      <c r="L36" s="93">
        <f t="shared" si="5"/>
        <v>32070</v>
      </c>
      <c r="M36" s="93"/>
      <c r="N36" s="93"/>
      <c r="O36" s="93">
        <f t="shared" si="5"/>
        <v>0</v>
      </c>
      <c r="P36" s="82"/>
      <c r="Q36" s="90"/>
      <c r="R36" s="90"/>
      <c r="S36" s="90"/>
      <c r="T36" s="90"/>
      <c r="U36" s="90"/>
      <c r="V36" s="90"/>
      <c r="W36" s="90"/>
      <c r="X36" s="90"/>
      <c r="Y36" s="90"/>
      <c r="Z36" s="90"/>
      <c r="AA36" s="90"/>
      <c r="AB36" s="90"/>
      <c r="AC36" s="93">
        <f>SUM(AC23:AC35)</f>
        <v>2257500.95</v>
      </c>
    </row>
    <row r="37" spans="2:28" ht="12.75">
      <c r="B37" s="79" t="s">
        <v>102</v>
      </c>
      <c r="D37" s="92"/>
      <c r="E37" s="92"/>
      <c r="F37" s="92"/>
      <c r="G37" s="92"/>
      <c r="H37" s="92"/>
      <c r="I37" s="92"/>
      <c r="J37" s="92"/>
      <c r="K37" s="92"/>
      <c r="L37" s="92"/>
      <c r="M37" s="92"/>
      <c r="N37" s="92"/>
      <c r="O37" s="92"/>
      <c r="P37" s="82"/>
      <c r="Q37" s="90"/>
      <c r="R37" s="90"/>
      <c r="S37" s="90"/>
      <c r="T37" s="90"/>
      <c r="U37" s="90"/>
      <c r="V37" s="90"/>
      <c r="W37" s="90"/>
      <c r="X37" s="90"/>
      <c r="Y37" s="90"/>
      <c r="Z37" s="90"/>
      <c r="AA37" s="90"/>
      <c r="AB37" s="90"/>
    </row>
    <row r="38" spans="2:29" ht="12.75">
      <c r="B38">
        <v>400</v>
      </c>
      <c r="C38" t="s">
        <v>81</v>
      </c>
      <c r="D38" s="93">
        <f>120*40</f>
        <v>4800</v>
      </c>
      <c r="E38" s="93">
        <f>133*40</f>
        <v>5320</v>
      </c>
      <c r="F38" s="93">
        <f>120*40+1244*40</f>
        <v>54560</v>
      </c>
      <c r="G38" s="93">
        <f>150*40</f>
        <v>6000</v>
      </c>
      <c r="H38" s="93">
        <f>160*40</f>
        <v>6400</v>
      </c>
      <c r="I38" s="93">
        <f>200*40</f>
        <v>8000</v>
      </c>
      <c r="J38" s="93">
        <v>0</v>
      </c>
      <c r="K38" s="93">
        <f>240*40</f>
        <v>9600</v>
      </c>
      <c r="L38" s="93">
        <f>240*40</f>
        <v>9600</v>
      </c>
      <c r="M38" s="93"/>
      <c r="N38" s="93"/>
      <c r="O38" s="93"/>
      <c r="P38" s="82" t="s">
        <v>120</v>
      </c>
      <c r="Q38" s="90" t="s">
        <v>142</v>
      </c>
      <c r="R38" s="90" t="s">
        <v>142</v>
      </c>
      <c r="S38" s="90" t="s">
        <v>162</v>
      </c>
      <c r="T38" s="90" t="s">
        <v>165</v>
      </c>
      <c r="U38" s="90" t="s">
        <v>142</v>
      </c>
      <c r="V38" s="90" t="s">
        <v>156</v>
      </c>
      <c r="W38" s="90"/>
      <c r="X38" s="90"/>
      <c r="Y38" s="90" t="s">
        <v>142</v>
      </c>
      <c r="Z38" s="90" t="s">
        <v>142</v>
      </c>
      <c r="AA38" s="90" t="s">
        <v>142</v>
      </c>
      <c r="AB38" s="90"/>
      <c r="AC38" s="93">
        <f>SUM(D38:O38)</f>
        <v>104280</v>
      </c>
    </row>
    <row r="39" spans="2:29" ht="12.75">
      <c r="B39">
        <v>410</v>
      </c>
      <c r="C39" t="s">
        <v>82</v>
      </c>
      <c r="D39" s="92">
        <v>0</v>
      </c>
      <c r="E39" s="92">
        <v>0</v>
      </c>
      <c r="F39" s="92">
        <v>1500</v>
      </c>
      <c r="G39" s="92">
        <v>500</v>
      </c>
      <c r="H39" s="92">
        <v>250</v>
      </c>
      <c r="I39" s="92">
        <v>250</v>
      </c>
      <c r="J39" s="92">
        <v>0</v>
      </c>
      <c r="K39" s="92">
        <v>500</v>
      </c>
      <c r="L39" s="92">
        <v>500</v>
      </c>
      <c r="M39" s="92"/>
      <c r="N39" s="92"/>
      <c r="O39" s="92"/>
      <c r="P39" s="82" t="s">
        <v>96</v>
      </c>
      <c r="Q39" s="90"/>
      <c r="R39" s="90"/>
      <c r="S39" s="90"/>
      <c r="T39" s="90"/>
      <c r="U39" s="90"/>
      <c r="V39" s="90"/>
      <c r="W39" s="90"/>
      <c r="X39" s="90"/>
      <c r="Y39" s="90"/>
      <c r="Z39" s="90"/>
      <c r="AA39" s="90"/>
      <c r="AB39" s="90"/>
      <c r="AC39" s="93">
        <f aca="true" t="shared" si="6" ref="AC39:AC50">SUM(D39:O39)</f>
        <v>3500</v>
      </c>
    </row>
    <row r="40" spans="2:29" ht="12.75">
      <c r="B40">
        <v>414</v>
      </c>
      <c r="C40" t="s">
        <v>84</v>
      </c>
      <c r="D40" s="92">
        <v>0</v>
      </c>
      <c r="E40" s="92">
        <v>0</v>
      </c>
      <c r="F40" s="92">
        <v>250</v>
      </c>
      <c r="G40" s="92">
        <v>100</v>
      </c>
      <c r="H40" s="92">
        <v>100</v>
      </c>
      <c r="I40" s="92">
        <v>100</v>
      </c>
      <c r="J40" s="92">
        <v>0</v>
      </c>
      <c r="K40" s="92">
        <v>150</v>
      </c>
      <c r="L40" s="92">
        <v>150</v>
      </c>
      <c r="M40" s="92"/>
      <c r="N40" s="92"/>
      <c r="O40" s="92"/>
      <c r="P40" s="82" t="s">
        <v>96</v>
      </c>
      <c r="Q40" s="90"/>
      <c r="R40" s="90"/>
      <c r="S40" s="90"/>
      <c r="T40" s="90"/>
      <c r="U40" s="90"/>
      <c r="V40" s="90"/>
      <c r="W40" s="90"/>
      <c r="X40" s="90"/>
      <c r="Y40" s="90"/>
      <c r="Z40" s="90"/>
      <c r="AA40" s="90"/>
      <c r="AB40" s="90"/>
      <c r="AC40" s="93">
        <f t="shared" si="6"/>
        <v>850</v>
      </c>
    </row>
    <row r="41" spans="2:29" ht="12.75">
      <c r="B41">
        <v>416</v>
      </c>
      <c r="C41" t="s">
        <v>85</v>
      </c>
      <c r="D41" s="92">
        <v>0</v>
      </c>
      <c r="E41" s="92">
        <v>0</v>
      </c>
      <c r="F41" s="92">
        <v>250</v>
      </c>
      <c r="G41" s="92">
        <v>100</v>
      </c>
      <c r="H41" s="92">
        <v>100</v>
      </c>
      <c r="I41" s="92">
        <v>100</v>
      </c>
      <c r="J41" s="92">
        <v>0</v>
      </c>
      <c r="K41" s="92">
        <v>100</v>
      </c>
      <c r="L41" s="92">
        <v>100</v>
      </c>
      <c r="M41" s="92"/>
      <c r="N41" s="92"/>
      <c r="O41" s="92"/>
      <c r="P41" s="82"/>
      <c r="Q41" s="90"/>
      <c r="R41" s="90"/>
      <c r="S41" s="90"/>
      <c r="T41" s="90"/>
      <c r="U41" s="90"/>
      <c r="V41" s="90"/>
      <c r="W41" s="90"/>
      <c r="X41" s="90"/>
      <c r="Y41" s="90"/>
      <c r="Z41" s="90"/>
      <c r="AA41" s="90"/>
      <c r="AB41" s="90"/>
      <c r="AC41" s="93">
        <f t="shared" si="6"/>
        <v>750</v>
      </c>
    </row>
    <row r="42" spans="2:29" ht="12.75">
      <c r="B42">
        <v>459</v>
      </c>
      <c r="C42" t="s">
        <v>86</v>
      </c>
      <c r="D42" s="92">
        <v>0</v>
      </c>
      <c r="E42" s="92">
        <v>0</v>
      </c>
      <c r="F42" s="92">
        <v>0</v>
      </c>
      <c r="G42" s="92">
        <v>0</v>
      </c>
      <c r="H42" s="92">
        <v>0</v>
      </c>
      <c r="I42" s="92">
        <v>0</v>
      </c>
      <c r="J42" s="92">
        <v>0</v>
      </c>
      <c r="K42" s="92">
        <v>0</v>
      </c>
      <c r="L42" s="92">
        <v>0</v>
      </c>
      <c r="M42" s="92"/>
      <c r="N42" s="92"/>
      <c r="O42" s="92"/>
      <c r="P42" s="82" t="s">
        <v>106</v>
      </c>
      <c r="Q42" s="90"/>
      <c r="R42" s="90"/>
      <c r="S42" s="90"/>
      <c r="T42" s="90"/>
      <c r="U42" s="90"/>
      <c r="V42" s="90"/>
      <c r="W42" s="90"/>
      <c r="X42" s="90"/>
      <c r="Y42" s="90"/>
      <c r="Z42" s="90"/>
      <c r="AA42" s="90"/>
      <c r="AB42" s="90"/>
      <c r="AC42" s="93">
        <f t="shared" si="6"/>
        <v>0</v>
      </c>
    </row>
    <row r="43" spans="2:29" ht="12.75">
      <c r="B43">
        <v>460</v>
      </c>
      <c r="C43" t="s">
        <v>90</v>
      </c>
      <c r="D43" s="92">
        <v>0</v>
      </c>
      <c r="E43" s="92">
        <v>0</v>
      </c>
      <c r="F43" s="92">
        <v>0</v>
      </c>
      <c r="G43" s="92">
        <v>0</v>
      </c>
      <c r="H43" s="92">
        <v>0</v>
      </c>
      <c r="I43" s="92">
        <v>0</v>
      </c>
      <c r="J43" s="92">
        <v>0</v>
      </c>
      <c r="K43" s="92">
        <v>0</v>
      </c>
      <c r="L43" s="92">
        <v>0</v>
      </c>
      <c r="M43" s="92"/>
      <c r="N43" s="92"/>
      <c r="O43" s="92"/>
      <c r="P43" s="82" t="s">
        <v>97</v>
      </c>
      <c r="Q43" s="90"/>
      <c r="R43" s="90"/>
      <c r="S43" s="90"/>
      <c r="T43" s="90"/>
      <c r="U43" s="90"/>
      <c r="V43" s="90"/>
      <c r="W43" s="90"/>
      <c r="X43" s="90"/>
      <c r="Y43" s="90"/>
      <c r="Z43" s="90"/>
      <c r="AA43" s="90"/>
      <c r="AB43" s="90"/>
      <c r="AC43" s="93">
        <f t="shared" si="6"/>
        <v>0</v>
      </c>
    </row>
    <row r="44" spans="2:29" ht="12.75">
      <c r="B44">
        <v>461</v>
      </c>
      <c r="C44" t="s">
        <v>88</v>
      </c>
      <c r="D44" s="92">
        <v>0</v>
      </c>
      <c r="E44" s="92">
        <v>0</v>
      </c>
      <c r="F44" s="92">
        <v>200</v>
      </c>
      <c r="G44" s="92">
        <v>0</v>
      </c>
      <c r="H44" s="92">
        <v>0</v>
      </c>
      <c r="I44" s="92">
        <v>100</v>
      </c>
      <c r="J44" s="92">
        <v>0</v>
      </c>
      <c r="K44" s="92">
        <v>200</v>
      </c>
      <c r="L44" s="92">
        <v>200</v>
      </c>
      <c r="M44" s="92"/>
      <c r="N44" s="92"/>
      <c r="O44" s="92"/>
      <c r="P44" s="82" t="s">
        <v>107</v>
      </c>
      <c r="Q44" s="90"/>
      <c r="R44" s="90"/>
      <c r="S44" s="90"/>
      <c r="T44" s="90"/>
      <c r="U44" s="90"/>
      <c r="V44" s="90"/>
      <c r="W44" s="90"/>
      <c r="X44" s="90"/>
      <c r="Y44" s="90"/>
      <c r="Z44" s="90"/>
      <c r="AA44" s="90"/>
      <c r="AB44" s="90"/>
      <c r="AC44" s="93">
        <f t="shared" si="6"/>
        <v>700</v>
      </c>
    </row>
    <row r="45" spans="2:29" ht="12.75">
      <c r="B45">
        <v>531</v>
      </c>
      <c r="C45" t="s">
        <v>87</v>
      </c>
      <c r="D45" s="92">
        <v>0</v>
      </c>
      <c r="E45" s="92">
        <v>0</v>
      </c>
      <c r="F45" s="92">
        <v>28000</v>
      </c>
      <c r="G45" s="92">
        <v>0</v>
      </c>
      <c r="H45" s="92">
        <v>15000</v>
      </c>
      <c r="I45" s="92">
        <v>0</v>
      </c>
      <c r="J45" s="92">
        <v>0</v>
      </c>
      <c r="K45" s="92">
        <v>0</v>
      </c>
      <c r="L45" s="92">
        <v>0</v>
      </c>
      <c r="M45" s="92"/>
      <c r="N45" s="92"/>
      <c r="O45" s="92">
        <v>0</v>
      </c>
      <c r="P45" s="82"/>
      <c r="Q45" s="90"/>
      <c r="R45" s="90"/>
      <c r="S45" s="90"/>
      <c r="T45" s="90"/>
      <c r="U45" s="90"/>
      <c r="V45" s="90"/>
      <c r="W45" s="90"/>
      <c r="X45" s="90"/>
      <c r="Y45" s="90"/>
      <c r="Z45" s="90"/>
      <c r="AA45" s="90"/>
      <c r="AB45" s="90"/>
      <c r="AC45" s="93">
        <f t="shared" si="6"/>
        <v>43000</v>
      </c>
    </row>
    <row r="46" spans="2:29" ht="12.75">
      <c r="B46">
        <v>546</v>
      </c>
      <c r="C46" t="s">
        <v>83</v>
      </c>
      <c r="D46" s="92">
        <v>10770</v>
      </c>
      <c r="E46" s="92">
        <f>50000+68851+590005</f>
        <v>708856</v>
      </c>
      <c r="F46" s="92">
        <f>518931+50000+15336+1241000+205380</f>
        <v>2030647</v>
      </c>
      <c r="G46" s="92">
        <f>412965+27986+45500+218850+1712500</f>
        <v>2417801</v>
      </c>
      <c r="H46" s="92">
        <f>25830+100000+218595</f>
        <v>344425</v>
      </c>
      <c r="I46" s="92">
        <v>80000</v>
      </c>
      <c r="J46" s="92">
        <v>0</v>
      </c>
      <c r="K46" s="92">
        <f>613568.5+15336+78000+871750</f>
        <v>1578654.5</v>
      </c>
      <c r="L46" s="92">
        <f>230000-L31+153948</f>
        <v>368948</v>
      </c>
      <c r="M46" s="92"/>
      <c r="N46" s="92"/>
      <c r="O46" s="92"/>
      <c r="P46" s="82" t="s">
        <v>118</v>
      </c>
      <c r="Q46" s="90"/>
      <c r="R46" s="90"/>
      <c r="S46" s="90"/>
      <c r="T46" s="90"/>
      <c r="U46" s="90"/>
      <c r="V46" s="90"/>
      <c r="W46" s="90"/>
      <c r="X46" s="90"/>
      <c r="Y46" s="90"/>
      <c r="Z46" s="90"/>
      <c r="AA46" s="90"/>
      <c r="AB46" s="90"/>
      <c r="AC46" s="93">
        <f t="shared" si="6"/>
        <v>7540101.5</v>
      </c>
    </row>
    <row r="47" spans="2:29" ht="12.75">
      <c r="B47">
        <v>628</v>
      </c>
      <c r="C47" t="s">
        <v>89</v>
      </c>
      <c r="D47" s="92">
        <v>0</v>
      </c>
      <c r="E47" s="92">
        <v>0</v>
      </c>
      <c r="F47" s="92">
        <v>0</v>
      </c>
      <c r="G47" s="92">
        <v>0</v>
      </c>
      <c r="H47" s="92">
        <v>0</v>
      </c>
      <c r="I47" s="92">
        <v>0</v>
      </c>
      <c r="J47" s="92">
        <v>0</v>
      </c>
      <c r="K47" s="92">
        <v>0</v>
      </c>
      <c r="L47" s="92">
        <v>0</v>
      </c>
      <c r="M47" s="92"/>
      <c r="N47" s="92"/>
      <c r="O47" s="92">
        <v>0</v>
      </c>
      <c r="P47" s="82"/>
      <c r="Q47" s="90"/>
      <c r="R47" s="90"/>
      <c r="S47" s="90"/>
      <c r="T47" s="90"/>
      <c r="U47" s="90"/>
      <c r="V47" s="90"/>
      <c r="W47" s="90"/>
      <c r="X47" s="90"/>
      <c r="Y47" s="90"/>
      <c r="Z47" s="90"/>
      <c r="AA47" s="90"/>
      <c r="AB47" s="90"/>
      <c r="AC47" s="93">
        <f t="shared" si="6"/>
        <v>0</v>
      </c>
    </row>
    <row r="48" spans="2:29" ht="12.75">
      <c r="B48">
        <v>629</v>
      </c>
      <c r="C48" t="s">
        <v>91</v>
      </c>
      <c r="D48" s="92">
        <v>0</v>
      </c>
      <c r="E48" s="92">
        <v>0</v>
      </c>
      <c r="F48" s="92">
        <v>0</v>
      </c>
      <c r="G48" s="92">
        <v>0</v>
      </c>
      <c r="H48" s="92">
        <v>0</v>
      </c>
      <c r="I48" s="92">
        <v>0</v>
      </c>
      <c r="J48" s="92">
        <v>0</v>
      </c>
      <c r="K48" s="92">
        <v>0</v>
      </c>
      <c r="L48" s="92">
        <v>0</v>
      </c>
      <c r="M48" s="92"/>
      <c r="N48" s="92"/>
      <c r="O48" s="92"/>
      <c r="P48" s="82" t="s">
        <v>100</v>
      </c>
      <c r="Q48" s="90"/>
      <c r="R48" s="90"/>
      <c r="S48" s="90"/>
      <c r="T48" s="90"/>
      <c r="U48" s="90"/>
      <c r="V48" s="90"/>
      <c r="W48" s="90"/>
      <c r="X48" s="90"/>
      <c r="Y48" s="90"/>
      <c r="Z48" s="90"/>
      <c r="AA48" s="90"/>
      <c r="AB48" s="90"/>
      <c r="AC48" s="93">
        <f t="shared" si="6"/>
        <v>0</v>
      </c>
    </row>
    <row r="49" spans="2:29" ht="12.75">
      <c r="B49">
        <v>920</v>
      </c>
      <c r="C49" t="s">
        <v>190</v>
      </c>
      <c r="D49" s="92">
        <f aca="true" t="shared" si="7" ref="D49:O49">D38*$A$19</f>
        <v>3360</v>
      </c>
      <c r="E49" s="92">
        <f t="shared" si="7"/>
        <v>3723.9999999999995</v>
      </c>
      <c r="F49" s="92">
        <f>F38*$A$19</f>
        <v>38192</v>
      </c>
      <c r="G49" s="92">
        <f>G38*$A$19</f>
        <v>4200</v>
      </c>
      <c r="H49" s="92">
        <f t="shared" si="7"/>
        <v>4480</v>
      </c>
      <c r="I49" s="92">
        <f t="shared" si="7"/>
        <v>5600</v>
      </c>
      <c r="J49" s="92">
        <f t="shared" si="7"/>
        <v>0</v>
      </c>
      <c r="K49" s="92">
        <f>K38*$A$19</f>
        <v>6720</v>
      </c>
      <c r="L49" s="92">
        <f t="shared" si="7"/>
        <v>6720</v>
      </c>
      <c r="M49" s="92"/>
      <c r="N49" s="92"/>
      <c r="O49" s="92">
        <f t="shared" si="7"/>
        <v>0</v>
      </c>
      <c r="P49" s="82" t="s">
        <v>108</v>
      </c>
      <c r="Q49" s="90"/>
      <c r="R49" s="90"/>
      <c r="S49" s="90" t="s">
        <v>136</v>
      </c>
      <c r="T49" s="90" t="s">
        <v>136</v>
      </c>
      <c r="U49" s="90"/>
      <c r="V49" s="90" t="s">
        <v>136</v>
      </c>
      <c r="W49" s="90" t="s">
        <v>136</v>
      </c>
      <c r="X49" s="90" t="s">
        <v>136</v>
      </c>
      <c r="Y49" s="90"/>
      <c r="Z49" s="90"/>
      <c r="AA49" s="90"/>
      <c r="AB49" s="90" t="s">
        <v>136</v>
      </c>
      <c r="AC49" s="93">
        <f t="shared" si="6"/>
        <v>72996</v>
      </c>
    </row>
    <row r="50" spans="2:29" ht="12.75">
      <c r="B50">
        <v>927</v>
      </c>
      <c r="C50" t="s">
        <v>170</v>
      </c>
      <c r="D50" s="92">
        <v>0</v>
      </c>
      <c r="E50" s="92">
        <v>0</v>
      </c>
      <c r="F50" s="92">
        <v>0</v>
      </c>
      <c r="G50" s="92">
        <v>0</v>
      </c>
      <c r="H50" s="92">
        <v>0</v>
      </c>
      <c r="I50" s="92">
        <v>0</v>
      </c>
      <c r="J50" s="92">
        <v>0</v>
      </c>
      <c r="K50" s="92">
        <v>0</v>
      </c>
      <c r="L50" s="92">
        <v>0</v>
      </c>
      <c r="M50" s="92"/>
      <c r="N50" s="92"/>
      <c r="O50" s="92">
        <v>0</v>
      </c>
      <c r="P50" s="82"/>
      <c r="Q50" s="90"/>
      <c r="R50" s="90"/>
      <c r="S50" s="90"/>
      <c r="T50" s="90"/>
      <c r="U50" s="90"/>
      <c r="V50" s="90"/>
      <c r="W50" s="90"/>
      <c r="X50" s="90"/>
      <c r="Y50" s="90"/>
      <c r="Z50" s="90"/>
      <c r="AA50" s="90"/>
      <c r="AB50" s="90"/>
      <c r="AC50" s="93">
        <f t="shared" si="6"/>
        <v>0</v>
      </c>
    </row>
    <row r="51" spans="2:29" ht="12.75">
      <c r="B51" s="327" t="s">
        <v>133</v>
      </c>
      <c r="C51" s="327"/>
      <c r="D51" s="93">
        <f aca="true" t="shared" si="8" ref="D51:O51">SUM(D38:D50)</f>
        <v>18930</v>
      </c>
      <c r="E51" s="93">
        <f t="shared" si="8"/>
        <v>717900</v>
      </c>
      <c r="F51" s="93">
        <f t="shared" si="8"/>
        <v>2153599</v>
      </c>
      <c r="G51" s="93">
        <f t="shared" si="8"/>
        <v>2428701</v>
      </c>
      <c r="H51" s="93">
        <f t="shared" si="8"/>
        <v>370755</v>
      </c>
      <c r="I51" s="93">
        <f t="shared" si="8"/>
        <v>94150</v>
      </c>
      <c r="J51" s="93">
        <f t="shared" si="8"/>
        <v>0</v>
      </c>
      <c r="K51" s="93">
        <f t="shared" si="8"/>
        <v>1595924.5</v>
      </c>
      <c r="L51" s="93">
        <f t="shared" si="8"/>
        <v>386218</v>
      </c>
      <c r="M51" s="93"/>
      <c r="N51" s="93"/>
      <c r="O51" s="93">
        <f t="shared" si="8"/>
        <v>0</v>
      </c>
      <c r="P51" s="82"/>
      <c r="Q51" s="90"/>
      <c r="R51" s="90"/>
      <c r="S51" s="90"/>
      <c r="T51" s="90"/>
      <c r="U51" s="90"/>
      <c r="V51" s="90"/>
      <c r="W51" s="90"/>
      <c r="X51" s="90"/>
      <c r="Y51" s="90"/>
      <c r="Z51" s="90"/>
      <c r="AA51" s="90"/>
      <c r="AB51" s="90"/>
      <c r="AC51" s="93">
        <f>SUM(AC38:AC50)</f>
        <v>7766177.5</v>
      </c>
    </row>
    <row r="52" spans="2:28" ht="12.75">
      <c r="B52" s="79" t="s">
        <v>41</v>
      </c>
      <c r="D52" s="92"/>
      <c r="E52" s="92"/>
      <c r="F52" s="92"/>
      <c r="G52" s="92"/>
      <c r="H52" s="92"/>
      <c r="I52" s="92"/>
      <c r="J52" s="92"/>
      <c r="K52" s="92"/>
      <c r="L52" s="92"/>
      <c r="M52" s="92"/>
      <c r="N52" s="92"/>
      <c r="O52" s="92"/>
      <c r="P52" s="82"/>
      <c r="Q52" s="90"/>
      <c r="R52" s="90"/>
      <c r="S52" s="90"/>
      <c r="T52" s="90"/>
      <c r="U52" s="90"/>
      <c r="V52" s="90"/>
      <c r="W52" s="90"/>
      <c r="X52" s="90"/>
      <c r="Y52" s="90"/>
      <c r="Z52" s="90"/>
      <c r="AA52" s="90"/>
      <c r="AB52" s="90"/>
    </row>
    <row r="53" spans="2:29" ht="12.75">
      <c r="B53">
        <v>400</v>
      </c>
      <c r="C53" t="s">
        <v>81</v>
      </c>
      <c r="D53" s="93">
        <f>100*40</f>
        <v>4000</v>
      </c>
      <c r="E53" s="93">
        <f>100*40</f>
        <v>4000</v>
      </c>
      <c r="F53" s="93">
        <f>120*40+120*40</f>
        <v>9600</v>
      </c>
      <c r="G53" s="93">
        <f>100*40</f>
        <v>4000</v>
      </c>
      <c r="H53" s="93">
        <f>150*40</f>
        <v>6000</v>
      </c>
      <c r="I53" s="93">
        <f>120*40</f>
        <v>4800</v>
      </c>
      <c r="J53" s="93">
        <v>0</v>
      </c>
      <c r="K53" s="93">
        <f>120*40</f>
        <v>4800</v>
      </c>
      <c r="L53" s="93">
        <f>120*40</f>
        <v>4800</v>
      </c>
      <c r="M53" s="93"/>
      <c r="N53" s="93"/>
      <c r="O53" s="93">
        <v>0</v>
      </c>
      <c r="P53" s="82" t="s">
        <v>109</v>
      </c>
      <c r="Q53" s="90"/>
      <c r="R53" s="90"/>
      <c r="S53" s="90"/>
      <c r="T53" s="90"/>
      <c r="U53" s="90"/>
      <c r="V53" s="90" t="s">
        <v>158</v>
      </c>
      <c r="W53" s="90"/>
      <c r="X53" s="90"/>
      <c r="Y53" s="90"/>
      <c r="Z53" s="90"/>
      <c r="AA53" s="90"/>
      <c r="AB53" s="90"/>
      <c r="AC53" s="93">
        <f>SUM(D53:O53)</f>
        <v>42000</v>
      </c>
    </row>
    <row r="54" spans="2:29" ht="12.75">
      <c r="B54">
        <v>410</v>
      </c>
      <c r="C54" t="s">
        <v>82</v>
      </c>
      <c r="D54" s="92">
        <v>500</v>
      </c>
      <c r="E54" s="92">
        <v>500</v>
      </c>
      <c r="F54" s="92">
        <v>500</v>
      </c>
      <c r="G54" s="92">
        <v>500</v>
      </c>
      <c r="H54" s="92">
        <v>500</v>
      </c>
      <c r="I54" s="92">
        <v>0</v>
      </c>
      <c r="J54" s="92">
        <v>0</v>
      </c>
      <c r="K54" s="92">
        <v>500</v>
      </c>
      <c r="L54" s="92">
        <v>500</v>
      </c>
      <c r="M54" s="92"/>
      <c r="N54" s="92"/>
      <c r="O54" s="92">
        <v>0</v>
      </c>
      <c r="P54" s="82" t="s">
        <v>94</v>
      </c>
      <c r="Q54" s="90"/>
      <c r="R54" s="90"/>
      <c r="S54" s="90"/>
      <c r="T54" s="90"/>
      <c r="U54" s="90"/>
      <c r="V54" s="90"/>
      <c r="W54" s="90"/>
      <c r="X54" s="90"/>
      <c r="Y54" s="90"/>
      <c r="Z54" s="90"/>
      <c r="AA54" s="90"/>
      <c r="AB54" s="90"/>
      <c r="AC54" s="93">
        <f aca="true" t="shared" si="9" ref="AC54:AC65">SUM(D54:O54)</f>
        <v>3500</v>
      </c>
    </row>
    <row r="55" spans="2:29" ht="12.75">
      <c r="B55">
        <v>414</v>
      </c>
      <c r="C55" t="s">
        <v>84</v>
      </c>
      <c r="D55" s="92">
        <v>100</v>
      </c>
      <c r="E55" s="92">
        <v>100</v>
      </c>
      <c r="F55" s="92">
        <v>100</v>
      </c>
      <c r="G55" s="92">
        <v>100</v>
      </c>
      <c r="H55" s="92">
        <v>100</v>
      </c>
      <c r="I55" s="92">
        <v>0</v>
      </c>
      <c r="J55" s="92">
        <v>0</v>
      </c>
      <c r="K55" s="92">
        <v>100</v>
      </c>
      <c r="L55" s="92">
        <v>100</v>
      </c>
      <c r="M55" s="92"/>
      <c r="N55" s="92"/>
      <c r="O55" s="92">
        <v>0</v>
      </c>
      <c r="P55" s="82" t="s">
        <v>94</v>
      </c>
      <c r="Q55" s="90"/>
      <c r="R55" s="90"/>
      <c r="S55" s="90"/>
      <c r="T55" s="90"/>
      <c r="U55" s="90"/>
      <c r="V55" s="90"/>
      <c r="W55" s="90"/>
      <c r="X55" s="90"/>
      <c r="Y55" s="90"/>
      <c r="Z55" s="90"/>
      <c r="AA55" s="90"/>
      <c r="AB55" s="90"/>
      <c r="AC55" s="93">
        <f t="shared" si="9"/>
        <v>700</v>
      </c>
    </row>
    <row r="56" spans="2:29" ht="12.75">
      <c r="B56">
        <v>416</v>
      </c>
      <c r="C56" t="s">
        <v>85</v>
      </c>
      <c r="D56" s="92">
        <v>100</v>
      </c>
      <c r="E56" s="92">
        <v>100</v>
      </c>
      <c r="F56" s="92">
        <v>100</v>
      </c>
      <c r="G56" s="92">
        <v>100</v>
      </c>
      <c r="H56" s="92">
        <v>100</v>
      </c>
      <c r="I56" s="92">
        <v>0</v>
      </c>
      <c r="J56" s="92">
        <v>0</v>
      </c>
      <c r="K56" s="92">
        <v>100</v>
      </c>
      <c r="L56" s="92">
        <v>100</v>
      </c>
      <c r="M56" s="92"/>
      <c r="N56" s="92"/>
      <c r="O56" s="92">
        <v>0</v>
      </c>
      <c r="P56" s="82"/>
      <c r="Q56" s="90"/>
      <c r="R56" s="90"/>
      <c r="S56" s="90"/>
      <c r="T56" s="90"/>
      <c r="U56" s="90"/>
      <c r="V56" s="90"/>
      <c r="W56" s="90"/>
      <c r="X56" s="90"/>
      <c r="Y56" s="90"/>
      <c r="Z56" s="90"/>
      <c r="AA56" s="90"/>
      <c r="AB56" s="90"/>
      <c r="AC56" s="93">
        <f t="shared" si="9"/>
        <v>700</v>
      </c>
    </row>
    <row r="57" spans="2:29" ht="12.75">
      <c r="B57">
        <v>459</v>
      </c>
      <c r="C57" t="s">
        <v>86</v>
      </c>
      <c r="D57" s="92">
        <v>0</v>
      </c>
      <c r="E57" s="92">
        <v>0</v>
      </c>
      <c r="F57" s="92">
        <v>0</v>
      </c>
      <c r="G57" s="92">
        <v>0</v>
      </c>
      <c r="H57" s="92">
        <v>0</v>
      </c>
      <c r="I57" s="92">
        <v>0</v>
      </c>
      <c r="J57" s="92">
        <v>0</v>
      </c>
      <c r="K57" s="92">
        <v>0</v>
      </c>
      <c r="L57" s="92">
        <v>0</v>
      </c>
      <c r="M57" s="92"/>
      <c r="N57" s="92"/>
      <c r="O57" s="92">
        <v>0</v>
      </c>
      <c r="P57" s="82"/>
      <c r="Q57" s="90"/>
      <c r="R57" s="90"/>
      <c r="S57" s="90"/>
      <c r="T57" s="90"/>
      <c r="U57" s="90"/>
      <c r="V57" s="90"/>
      <c r="W57" s="90"/>
      <c r="X57" s="90"/>
      <c r="Y57" s="90"/>
      <c r="Z57" s="90"/>
      <c r="AA57" s="90"/>
      <c r="AB57" s="90"/>
      <c r="AC57" s="93">
        <f t="shared" si="9"/>
        <v>0</v>
      </c>
    </row>
    <row r="58" spans="2:29" ht="12.75">
      <c r="B58">
        <v>460</v>
      </c>
      <c r="C58" t="s">
        <v>90</v>
      </c>
      <c r="D58" s="92">
        <v>0</v>
      </c>
      <c r="E58" s="92">
        <v>0</v>
      </c>
      <c r="F58" s="92">
        <v>0</v>
      </c>
      <c r="G58" s="92">
        <v>0</v>
      </c>
      <c r="H58" s="92">
        <v>0</v>
      </c>
      <c r="I58" s="92">
        <v>0</v>
      </c>
      <c r="J58" s="92">
        <v>0</v>
      </c>
      <c r="K58" s="92">
        <v>0</v>
      </c>
      <c r="L58" s="92">
        <v>0</v>
      </c>
      <c r="M58" s="92"/>
      <c r="N58" s="92"/>
      <c r="O58" s="92">
        <v>0</v>
      </c>
      <c r="P58" s="82"/>
      <c r="Q58" s="90"/>
      <c r="R58" s="90"/>
      <c r="S58" s="90"/>
      <c r="T58" s="90"/>
      <c r="U58" s="90"/>
      <c r="V58" s="90"/>
      <c r="W58" s="90"/>
      <c r="X58" s="90"/>
      <c r="Y58" s="90"/>
      <c r="Z58" s="90"/>
      <c r="AA58" s="90"/>
      <c r="AB58" s="90"/>
      <c r="AC58" s="93">
        <f t="shared" si="9"/>
        <v>0</v>
      </c>
    </row>
    <row r="59" spans="2:29" ht="12.75">
      <c r="B59">
        <v>461</v>
      </c>
      <c r="C59" t="s">
        <v>88</v>
      </c>
      <c r="D59" s="92">
        <v>0</v>
      </c>
      <c r="E59" s="92">
        <v>0</v>
      </c>
      <c r="F59" s="92">
        <v>0</v>
      </c>
      <c r="G59" s="92">
        <v>0</v>
      </c>
      <c r="H59" s="92">
        <v>0</v>
      </c>
      <c r="I59" s="92">
        <v>0</v>
      </c>
      <c r="J59" s="92">
        <v>0</v>
      </c>
      <c r="K59" s="92">
        <v>0</v>
      </c>
      <c r="L59" s="92">
        <v>0</v>
      </c>
      <c r="M59" s="92"/>
      <c r="N59" s="92"/>
      <c r="O59" s="92">
        <v>0</v>
      </c>
      <c r="P59" s="82" t="s">
        <v>98</v>
      </c>
      <c r="Q59" s="90"/>
      <c r="R59" s="90"/>
      <c r="S59" s="90"/>
      <c r="T59" s="90"/>
      <c r="U59" s="90"/>
      <c r="V59" s="90"/>
      <c r="W59" s="90"/>
      <c r="X59" s="90"/>
      <c r="Y59" s="90"/>
      <c r="Z59" s="90"/>
      <c r="AA59" s="90"/>
      <c r="AB59" s="90"/>
      <c r="AC59" s="93">
        <f t="shared" si="9"/>
        <v>0</v>
      </c>
    </row>
    <row r="60" spans="2:29" ht="12.75">
      <c r="B60">
        <v>531</v>
      </c>
      <c r="C60" t="s">
        <v>87</v>
      </c>
      <c r="D60" s="92">
        <v>0</v>
      </c>
      <c r="E60" s="92">
        <v>0</v>
      </c>
      <c r="F60" s="92">
        <v>0</v>
      </c>
      <c r="G60" s="92">
        <v>0</v>
      </c>
      <c r="H60" s="92">
        <v>0</v>
      </c>
      <c r="I60" s="92">
        <v>0</v>
      </c>
      <c r="J60" s="92">
        <v>0</v>
      </c>
      <c r="K60" s="92">
        <v>0</v>
      </c>
      <c r="L60" s="92">
        <v>0</v>
      </c>
      <c r="M60" s="92"/>
      <c r="N60" s="92"/>
      <c r="O60" s="92">
        <v>0</v>
      </c>
      <c r="P60" s="82"/>
      <c r="Q60" s="90"/>
      <c r="R60" s="90"/>
      <c r="S60" s="90"/>
      <c r="T60" s="90"/>
      <c r="U60" s="90"/>
      <c r="V60" s="90"/>
      <c r="W60" s="90"/>
      <c r="X60" s="90"/>
      <c r="Y60" s="90"/>
      <c r="Z60" s="90"/>
      <c r="AA60" s="90"/>
      <c r="AB60" s="90"/>
      <c r="AC60" s="93">
        <f t="shared" si="9"/>
        <v>0</v>
      </c>
    </row>
    <row r="61" spans="2:29" ht="12.75">
      <c r="B61">
        <v>546</v>
      </c>
      <c r="C61" t="s">
        <v>83</v>
      </c>
      <c r="D61" s="92">
        <v>25000</v>
      </c>
      <c r="E61" s="92">
        <v>25000</v>
      </c>
      <c r="F61" s="92">
        <v>25000</v>
      </c>
      <c r="G61" s="92">
        <v>25000</v>
      </c>
      <c r="H61" s="92">
        <v>25000</v>
      </c>
      <c r="I61" s="92">
        <v>21500</v>
      </c>
      <c r="J61" s="92">
        <v>0</v>
      </c>
      <c r="K61" s="92">
        <v>25000</v>
      </c>
      <c r="L61" s="92">
        <v>25000</v>
      </c>
      <c r="M61" s="92"/>
      <c r="N61" s="92"/>
      <c r="O61" s="92">
        <v>0</v>
      </c>
      <c r="P61" s="82" t="s">
        <v>105</v>
      </c>
      <c r="Q61" s="90"/>
      <c r="R61" s="90"/>
      <c r="S61" s="90"/>
      <c r="T61" s="90"/>
      <c r="U61" s="90"/>
      <c r="V61" s="90"/>
      <c r="W61" s="90"/>
      <c r="X61" s="90"/>
      <c r="Y61" s="90"/>
      <c r="Z61" s="90"/>
      <c r="AA61" s="90"/>
      <c r="AB61" s="90"/>
      <c r="AC61" s="93">
        <f t="shared" si="9"/>
        <v>196500</v>
      </c>
    </row>
    <row r="62" spans="2:29" ht="12.75">
      <c r="B62">
        <v>628</v>
      </c>
      <c r="C62" t="s">
        <v>89</v>
      </c>
      <c r="D62" s="92">
        <v>0</v>
      </c>
      <c r="E62" s="92">
        <v>0</v>
      </c>
      <c r="F62" s="92">
        <v>0</v>
      </c>
      <c r="G62" s="92">
        <v>0</v>
      </c>
      <c r="H62" s="92">
        <v>0</v>
      </c>
      <c r="I62" s="92">
        <v>0</v>
      </c>
      <c r="J62" s="92">
        <v>0</v>
      </c>
      <c r="K62" s="92">
        <v>0</v>
      </c>
      <c r="L62" s="92">
        <v>0</v>
      </c>
      <c r="M62" s="92"/>
      <c r="N62" s="92"/>
      <c r="O62" s="92">
        <v>0</v>
      </c>
      <c r="P62" s="82"/>
      <c r="Q62" s="90"/>
      <c r="R62" s="90"/>
      <c r="S62" s="90"/>
      <c r="T62" s="90"/>
      <c r="U62" s="90"/>
      <c r="V62" s="90"/>
      <c r="W62" s="90"/>
      <c r="X62" s="90"/>
      <c r="Y62" s="90"/>
      <c r="Z62" s="90"/>
      <c r="AA62" s="90"/>
      <c r="AB62" s="90"/>
      <c r="AC62" s="93">
        <f t="shared" si="9"/>
        <v>0</v>
      </c>
    </row>
    <row r="63" spans="2:29" ht="12.75">
      <c r="B63">
        <v>629</v>
      </c>
      <c r="C63" t="s">
        <v>91</v>
      </c>
      <c r="D63" s="92">
        <v>100</v>
      </c>
      <c r="E63" s="92">
        <v>100</v>
      </c>
      <c r="F63" s="92">
        <v>100</v>
      </c>
      <c r="G63" s="92">
        <v>100</v>
      </c>
      <c r="H63" s="92">
        <v>100</v>
      </c>
      <c r="I63" s="92">
        <v>0</v>
      </c>
      <c r="J63" s="92">
        <v>0</v>
      </c>
      <c r="K63" s="92">
        <v>100</v>
      </c>
      <c r="L63" s="92">
        <v>100</v>
      </c>
      <c r="M63" s="92"/>
      <c r="N63" s="92"/>
      <c r="O63" s="92">
        <v>0</v>
      </c>
      <c r="P63" s="82"/>
      <c r="Q63" s="90"/>
      <c r="R63" s="90"/>
      <c r="S63" s="90"/>
      <c r="T63" s="90"/>
      <c r="U63" s="90"/>
      <c r="V63" s="90"/>
      <c r="W63" s="90"/>
      <c r="X63" s="90"/>
      <c r="Y63" s="90"/>
      <c r="Z63" s="90"/>
      <c r="AA63" s="90"/>
      <c r="AB63" s="90"/>
      <c r="AC63" s="93">
        <f t="shared" si="9"/>
        <v>700</v>
      </c>
    </row>
    <row r="64" spans="2:29" ht="12.75">
      <c r="B64">
        <v>920</v>
      </c>
      <c r="C64" t="s">
        <v>190</v>
      </c>
      <c r="D64" s="92">
        <f aca="true" t="shared" si="10" ref="D64:O64">D53*$A$19</f>
        <v>2800</v>
      </c>
      <c r="E64" s="92">
        <f t="shared" si="10"/>
        <v>2800</v>
      </c>
      <c r="F64" s="92">
        <f>F53*$A$19</f>
        <v>6720</v>
      </c>
      <c r="G64" s="92">
        <f>G53*$A$19</f>
        <v>2800</v>
      </c>
      <c r="H64" s="92">
        <f t="shared" si="10"/>
        <v>4200</v>
      </c>
      <c r="I64" s="92">
        <f t="shared" si="10"/>
        <v>3360</v>
      </c>
      <c r="J64" s="92">
        <f t="shared" si="10"/>
        <v>0</v>
      </c>
      <c r="K64" s="92">
        <f>K53*$A$19</f>
        <v>3360</v>
      </c>
      <c r="L64" s="92">
        <f t="shared" si="10"/>
        <v>3360</v>
      </c>
      <c r="M64" s="92"/>
      <c r="N64" s="92"/>
      <c r="O64" s="92">
        <f t="shared" si="10"/>
        <v>0</v>
      </c>
      <c r="P64" s="82" t="s">
        <v>109</v>
      </c>
      <c r="Q64" s="90"/>
      <c r="R64" s="90"/>
      <c r="S64" s="90" t="s">
        <v>136</v>
      </c>
      <c r="T64" s="90" t="s">
        <v>136</v>
      </c>
      <c r="U64" s="90"/>
      <c r="V64" s="90" t="s">
        <v>136</v>
      </c>
      <c r="W64" s="90" t="s">
        <v>136</v>
      </c>
      <c r="X64" s="90" t="s">
        <v>136</v>
      </c>
      <c r="Y64" s="90"/>
      <c r="Z64" s="90"/>
      <c r="AA64" s="90"/>
      <c r="AB64" s="90" t="s">
        <v>136</v>
      </c>
      <c r="AC64" s="93">
        <f t="shared" si="9"/>
        <v>29400</v>
      </c>
    </row>
    <row r="65" spans="2:29" ht="12.75">
      <c r="B65">
        <v>927</v>
      </c>
      <c r="C65" t="s">
        <v>170</v>
      </c>
      <c r="D65" s="92">
        <v>0</v>
      </c>
      <c r="E65" s="92">
        <v>0</v>
      </c>
      <c r="F65" s="92">
        <v>0</v>
      </c>
      <c r="G65" s="92">
        <v>0</v>
      </c>
      <c r="H65" s="92">
        <v>0</v>
      </c>
      <c r="I65" s="92">
        <v>0</v>
      </c>
      <c r="J65" s="92">
        <v>0</v>
      </c>
      <c r="K65" s="92">
        <v>0</v>
      </c>
      <c r="L65" s="92">
        <v>0</v>
      </c>
      <c r="M65" s="92"/>
      <c r="N65" s="92"/>
      <c r="O65" s="92">
        <v>0</v>
      </c>
      <c r="P65" s="82"/>
      <c r="Q65" s="90"/>
      <c r="R65" s="90"/>
      <c r="S65" s="90"/>
      <c r="T65" s="90"/>
      <c r="U65" s="90"/>
      <c r="V65" s="90"/>
      <c r="W65" s="90"/>
      <c r="X65" s="90"/>
      <c r="Y65" s="90"/>
      <c r="Z65" s="90"/>
      <c r="AA65" s="90"/>
      <c r="AB65" s="90"/>
      <c r="AC65" s="93">
        <f t="shared" si="9"/>
        <v>0</v>
      </c>
    </row>
    <row r="66" spans="2:29" ht="12.75">
      <c r="B66" s="327" t="s">
        <v>130</v>
      </c>
      <c r="C66" s="327"/>
      <c r="D66" s="93">
        <f aca="true" t="shared" si="11" ref="D66:L66">SUM(D53:D65)</f>
        <v>32600</v>
      </c>
      <c r="E66" s="93">
        <f t="shared" si="11"/>
        <v>32600</v>
      </c>
      <c r="F66" s="93">
        <f>SUM(F53:F65)</f>
        <v>42120</v>
      </c>
      <c r="G66" s="93">
        <f>SUM(G53:G65)</f>
        <v>32600</v>
      </c>
      <c r="H66" s="93">
        <f t="shared" si="11"/>
        <v>36000</v>
      </c>
      <c r="I66" s="93">
        <f t="shared" si="11"/>
        <v>29660</v>
      </c>
      <c r="J66" s="93">
        <f t="shared" si="11"/>
        <v>0</v>
      </c>
      <c r="K66" s="93">
        <f>SUM(K53:K65)</f>
        <v>33960</v>
      </c>
      <c r="L66" s="93">
        <f t="shared" si="11"/>
        <v>33960</v>
      </c>
      <c r="M66" s="93"/>
      <c r="N66" s="93"/>
      <c r="O66" s="93">
        <f>SUM(O53:O65)</f>
        <v>0</v>
      </c>
      <c r="P66" s="82"/>
      <c r="Q66" s="90"/>
      <c r="R66" s="90"/>
      <c r="S66" s="90"/>
      <c r="T66" s="90"/>
      <c r="U66" s="90"/>
      <c r="V66" s="90"/>
      <c r="W66" s="90"/>
      <c r="X66" s="90"/>
      <c r="Y66" s="90"/>
      <c r="Z66" s="90"/>
      <c r="AA66" s="90"/>
      <c r="AB66" s="90"/>
      <c r="AC66" s="93">
        <f>SUM(AC53:AC65)</f>
        <v>273500</v>
      </c>
    </row>
    <row r="67" spans="2:29" s="79" customFormat="1" ht="12.75">
      <c r="B67" s="327" t="s">
        <v>5</v>
      </c>
      <c r="C67" s="327"/>
      <c r="D67" s="96">
        <f>SUM(D66,D51,D36,D21)</f>
        <v>631445</v>
      </c>
      <c r="E67" s="96">
        <f>SUM(E66,E51,E36,E21)</f>
        <v>782860</v>
      </c>
      <c r="F67" s="96">
        <f aca="true" t="shared" si="12" ref="F67:O67">SUM(F66,F51,F36,F21)</f>
        <v>2322346.5</v>
      </c>
      <c r="G67" s="96">
        <f t="shared" si="12"/>
        <v>2563294.5</v>
      </c>
      <c r="H67" s="96">
        <f>SUM(H66,H51,H36,H21)</f>
        <v>502385</v>
      </c>
      <c r="I67" s="96">
        <f t="shared" si="12"/>
        <v>1224860</v>
      </c>
      <c r="J67" s="96">
        <f t="shared" si="12"/>
        <v>250000</v>
      </c>
      <c r="K67" s="96">
        <f t="shared" si="12"/>
        <v>1734203.45</v>
      </c>
      <c r="L67" s="96">
        <f>SUM(L66,L51,L36,L21)</f>
        <v>489018</v>
      </c>
      <c r="M67" s="96">
        <f>SUM(M66,M51,M36,M21)</f>
        <v>0</v>
      </c>
      <c r="N67" s="96">
        <f>SUM(N66,N51,N36,N21)</f>
        <v>0</v>
      </c>
      <c r="O67" s="96">
        <f t="shared" si="12"/>
        <v>0</v>
      </c>
      <c r="P67" s="97"/>
      <c r="Q67" s="98"/>
      <c r="R67" s="98"/>
      <c r="S67" s="98"/>
      <c r="T67" s="98"/>
      <c r="U67" s="98"/>
      <c r="V67" s="98"/>
      <c r="W67" s="98"/>
      <c r="X67" s="98"/>
      <c r="Y67" s="98"/>
      <c r="Z67" s="98"/>
      <c r="AA67" s="98"/>
      <c r="AB67" s="98"/>
      <c r="AC67" s="96">
        <f>SUM(AC66,AC51,AC36,AC21)</f>
        <v>10500412.45</v>
      </c>
    </row>
    <row r="68" spans="4:28" ht="12.75">
      <c r="D68" s="92"/>
      <c r="E68" s="92"/>
      <c r="F68" s="92"/>
      <c r="G68" s="92"/>
      <c r="H68" s="92"/>
      <c r="I68" s="92"/>
      <c r="J68" s="92"/>
      <c r="K68" s="92"/>
      <c r="L68" s="92"/>
      <c r="M68" s="92"/>
      <c r="N68" s="92"/>
      <c r="O68" s="92"/>
      <c r="P68" s="82"/>
      <c r="Q68" s="90"/>
      <c r="R68" s="90"/>
      <c r="S68" s="90"/>
      <c r="T68" s="90"/>
      <c r="U68" s="90"/>
      <c r="V68" s="90"/>
      <c r="W68" s="90"/>
      <c r="X68" s="90"/>
      <c r="Y68" s="90"/>
      <c r="Z68" s="90"/>
      <c r="AA68" s="90"/>
      <c r="AB68" s="90"/>
    </row>
    <row r="69" spans="2:28" ht="12.75">
      <c r="B69" s="330" t="s">
        <v>134</v>
      </c>
      <c r="C69" s="330"/>
      <c r="D69" s="94">
        <f>922403-E69</f>
        <v>657835</v>
      </c>
      <c r="E69" s="94">
        <f>33180+15000+(13400/2)+15960+32500+148728+(25000/2)</f>
        <v>264568</v>
      </c>
      <c r="F69" s="94">
        <v>2797908</v>
      </c>
      <c r="G69" s="94">
        <v>1846597</v>
      </c>
      <c r="H69" s="94">
        <v>260914</v>
      </c>
      <c r="I69" s="94">
        <v>910680</v>
      </c>
      <c r="J69" s="94">
        <v>250000</v>
      </c>
      <c r="K69" s="94">
        <v>0</v>
      </c>
      <c r="L69" s="94">
        <v>0</v>
      </c>
      <c r="M69" s="94">
        <v>0</v>
      </c>
      <c r="N69" s="94">
        <v>0</v>
      </c>
      <c r="O69" s="94">
        <v>0</v>
      </c>
      <c r="P69" s="83"/>
      <c r="Q69" s="90"/>
      <c r="R69" s="90"/>
      <c r="S69" s="90"/>
      <c r="T69" s="90"/>
      <c r="U69" s="90"/>
      <c r="V69" s="90"/>
      <c r="W69" s="90"/>
      <c r="X69" s="90"/>
      <c r="Y69" s="90"/>
      <c r="Z69" s="90"/>
      <c r="AA69" s="90"/>
      <c r="AB69" s="90"/>
    </row>
    <row r="70" spans="2:28" ht="12.75">
      <c r="B70" s="331" t="s">
        <v>125</v>
      </c>
      <c r="C70" s="331"/>
      <c r="D70" s="93">
        <f>D67-D69</f>
        <v>-26390</v>
      </c>
      <c r="E70" s="93">
        <f>E67-E69</f>
        <v>518292</v>
      </c>
      <c r="F70" s="93">
        <f aca="true" t="shared" si="13" ref="F70:O70">F67-F69</f>
        <v>-475561.5</v>
      </c>
      <c r="G70" s="93">
        <f t="shared" si="13"/>
        <v>716697.5</v>
      </c>
      <c r="H70" s="93">
        <f t="shared" si="13"/>
        <v>241471</v>
      </c>
      <c r="I70" s="93">
        <f t="shared" si="13"/>
        <v>314180</v>
      </c>
      <c r="J70" s="93">
        <f t="shared" si="13"/>
        <v>0</v>
      </c>
      <c r="K70" s="93">
        <f t="shared" si="13"/>
        <v>1734203.45</v>
      </c>
      <c r="L70" s="93">
        <f t="shared" si="13"/>
        <v>489018</v>
      </c>
      <c r="M70" s="93">
        <f t="shared" si="13"/>
        <v>0</v>
      </c>
      <c r="N70" s="93">
        <f t="shared" si="13"/>
        <v>0</v>
      </c>
      <c r="O70" s="93">
        <f t="shared" si="13"/>
        <v>0</v>
      </c>
      <c r="P70" s="82"/>
      <c r="Q70" s="90"/>
      <c r="R70" s="90"/>
      <c r="S70" s="90"/>
      <c r="T70" s="90"/>
      <c r="U70" s="90"/>
      <c r="V70" s="90"/>
      <c r="W70" s="90"/>
      <c r="X70" s="90"/>
      <c r="Y70" s="90"/>
      <c r="Z70" s="90"/>
      <c r="AA70" s="90"/>
      <c r="AB70" s="90"/>
    </row>
    <row r="71" spans="2:28" ht="12.75">
      <c r="B71" s="81" t="s">
        <v>177</v>
      </c>
      <c r="C71" s="81"/>
      <c r="D71" s="95">
        <f>D67/D69</f>
        <v>0.9598835574270144</v>
      </c>
      <c r="E71" s="95">
        <f aca="true" t="shared" si="14" ref="E71:J71">E67/E69</f>
        <v>2.9590124278068397</v>
      </c>
      <c r="F71" s="95">
        <f t="shared" si="14"/>
        <v>0.8300296149837665</v>
      </c>
      <c r="G71" s="95">
        <f t="shared" si="14"/>
        <v>1.3881179813462277</v>
      </c>
      <c r="H71" s="95">
        <f t="shared" si="14"/>
        <v>1.925481193036786</v>
      </c>
      <c r="I71" s="95">
        <f t="shared" si="14"/>
        <v>1.3449949488294461</v>
      </c>
      <c r="J71" s="95">
        <f t="shared" si="14"/>
        <v>1</v>
      </c>
      <c r="K71" s="95"/>
      <c r="L71" s="95"/>
      <c r="M71" s="95"/>
      <c r="N71" s="95"/>
      <c r="O71" s="95"/>
      <c r="P71" s="82"/>
      <c r="Q71" s="90"/>
      <c r="R71" s="90"/>
      <c r="S71" s="90"/>
      <c r="T71" s="90"/>
      <c r="U71" s="90"/>
      <c r="V71" s="90"/>
      <c r="W71" s="90"/>
      <c r="X71" s="90"/>
      <c r="Y71" s="90"/>
      <c r="Z71" s="90"/>
      <c r="AA71" s="90"/>
      <c r="AB71" s="90"/>
    </row>
    <row r="72" spans="2:28" ht="409.5">
      <c r="B72" s="332" t="s">
        <v>126</v>
      </c>
      <c r="C72" s="333"/>
      <c r="D72" s="99" t="s">
        <v>189</v>
      </c>
      <c r="E72" s="99" t="s">
        <v>213</v>
      </c>
      <c r="F72" s="99" t="s">
        <v>208</v>
      </c>
      <c r="G72" s="99" t="s">
        <v>207</v>
      </c>
      <c r="H72" s="99" t="s">
        <v>215</v>
      </c>
      <c r="I72" s="99" t="s">
        <v>214</v>
      </c>
      <c r="J72" s="99" t="s">
        <v>209</v>
      </c>
      <c r="K72" s="99" t="s">
        <v>211</v>
      </c>
      <c r="L72" s="99" t="s">
        <v>217</v>
      </c>
      <c r="M72" s="99"/>
      <c r="N72" s="99"/>
      <c r="O72" s="99" t="s">
        <v>210</v>
      </c>
      <c r="Q72" s="90"/>
      <c r="R72" s="90"/>
      <c r="S72" s="90"/>
      <c r="T72" s="90"/>
      <c r="U72" s="90"/>
      <c r="V72" s="90"/>
      <c r="W72" s="90"/>
      <c r="X72" s="90"/>
      <c r="Y72" s="90"/>
      <c r="Z72" s="90"/>
      <c r="AA72" s="90"/>
      <c r="AB72" s="90"/>
    </row>
  </sheetData>
  <mergeCells count="11">
    <mergeCell ref="B67:C67"/>
    <mergeCell ref="B69:C69"/>
    <mergeCell ref="B70:C70"/>
    <mergeCell ref="B72:C72"/>
    <mergeCell ref="P5:P6"/>
    <mergeCell ref="B66:C66"/>
    <mergeCell ref="B51:C51"/>
    <mergeCell ref="B36:C36"/>
    <mergeCell ref="B21:C21"/>
    <mergeCell ref="B5:C5"/>
    <mergeCell ref="B6:C6"/>
  </mergeCells>
  <printOptions horizontalCentered="1"/>
  <pageMargins left="0.5" right="0.5" top="0.25" bottom="0.5" header="0" footer="0"/>
  <pageSetup fitToHeight="9" fitToWidth="4" horizontalDpi="1200" verticalDpi="1200" orientation="landscape" scale="52" r:id="rId1"/>
</worksheet>
</file>

<file path=xl/worksheets/sheet4.xml><?xml version="1.0" encoding="utf-8"?>
<worksheet xmlns="http://schemas.openxmlformats.org/spreadsheetml/2006/main" xmlns:r="http://schemas.openxmlformats.org/officeDocument/2006/relationships">
  <dimension ref="A1:S52"/>
  <sheetViews>
    <sheetView zoomScale="75" zoomScaleNormal="75" workbookViewId="0" topLeftCell="A1">
      <selection activeCell="D11" sqref="D11"/>
    </sheetView>
  </sheetViews>
  <sheetFormatPr defaultColWidth="9.140625" defaultRowHeight="12.75"/>
  <cols>
    <col min="1" max="1" width="4.421875" style="0" customWidth="1"/>
    <col min="2" max="2" width="3.00390625" style="0" customWidth="1"/>
    <col min="3" max="3" width="32.57421875" style="0" customWidth="1"/>
    <col min="4" max="4" width="13.7109375" style="0" customWidth="1"/>
    <col min="5" max="5" width="3.57421875" style="0" customWidth="1"/>
    <col min="6" max="6" width="13.7109375" style="0" customWidth="1"/>
    <col min="7" max="7" width="3.8515625" style="0" customWidth="1"/>
    <col min="8" max="8" width="13.7109375" style="0" customWidth="1"/>
    <col min="9" max="9" width="3.00390625" style="0" customWidth="1"/>
    <col min="10" max="10" width="13.7109375" style="0" customWidth="1"/>
    <col min="11" max="11" width="4.00390625" style="0" customWidth="1"/>
    <col min="12" max="12" width="13.7109375" style="0" customWidth="1"/>
    <col min="13" max="13" width="3.8515625" style="0" customWidth="1"/>
    <col min="14" max="14" width="13.7109375" style="0" customWidth="1"/>
    <col min="15" max="15" width="3.28125" style="0" customWidth="1"/>
    <col min="16" max="16" width="13.7109375" style="0" customWidth="1"/>
  </cols>
  <sheetData>
    <row r="1" spans="1:19" ht="18">
      <c r="A1" s="8"/>
      <c r="B1" s="9"/>
      <c r="C1" s="334" t="s">
        <v>72</v>
      </c>
      <c r="D1" s="335"/>
      <c r="E1" s="335"/>
      <c r="F1" s="335"/>
      <c r="G1" s="335"/>
      <c r="H1" s="335"/>
      <c r="I1" s="335"/>
      <c r="J1" s="335"/>
      <c r="K1" s="335"/>
      <c r="L1" s="335"/>
      <c r="M1" s="335"/>
      <c r="N1" s="335"/>
      <c r="O1" s="335"/>
      <c r="P1" s="335"/>
      <c r="Q1" s="9"/>
      <c r="R1" s="70"/>
      <c r="S1" s="70"/>
    </row>
    <row r="2" spans="1:19" ht="18">
      <c r="A2" s="8"/>
      <c r="B2" s="9"/>
      <c r="C2" s="336"/>
      <c r="D2" s="336"/>
      <c r="E2" s="336"/>
      <c r="F2" s="336"/>
      <c r="G2" s="336"/>
      <c r="H2" s="336"/>
      <c r="I2" s="336"/>
      <c r="J2" s="336"/>
      <c r="K2" s="336"/>
      <c r="L2" s="336"/>
      <c r="M2" s="336"/>
      <c r="N2" s="336"/>
      <c r="O2" s="336"/>
      <c r="P2" s="336"/>
      <c r="Q2" s="9"/>
      <c r="R2" s="70"/>
      <c r="S2" s="70"/>
    </row>
    <row r="3" spans="1:19" ht="12.75">
      <c r="A3" s="6"/>
      <c r="B3" s="7"/>
      <c r="C3" s="7"/>
      <c r="D3" s="7"/>
      <c r="E3" s="7"/>
      <c r="F3" s="7"/>
      <c r="G3" s="7"/>
      <c r="H3" s="7"/>
      <c r="I3" s="7"/>
      <c r="J3" s="7"/>
      <c r="K3" s="7"/>
      <c r="L3" s="7"/>
      <c r="M3" s="7"/>
      <c r="N3" s="7"/>
      <c r="O3" s="7"/>
      <c r="P3" s="7"/>
      <c r="Q3" s="7"/>
      <c r="R3" s="71"/>
      <c r="S3" s="71"/>
    </row>
    <row r="4" spans="1:19" ht="13.5" thickBot="1">
      <c r="A4" s="76"/>
      <c r="B4" s="77"/>
      <c r="C4" s="78" t="s">
        <v>46</v>
      </c>
      <c r="D4" s="76" t="s">
        <v>47</v>
      </c>
      <c r="E4" s="76"/>
      <c r="F4" s="76" t="s">
        <v>48</v>
      </c>
      <c r="G4" s="76"/>
      <c r="H4" s="76" t="s">
        <v>49</v>
      </c>
      <c r="I4" s="76"/>
      <c r="J4" s="76" t="s">
        <v>51</v>
      </c>
      <c r="K4" s="76"/>
      <c r="L4" s="76" t="s">
        <v>50</v>
      </c>
      <c r="M4" s="76"/>
      <c r="N4" s="76" t="s">
        <v>52</v>
      </c>
      <c r="O4" s="76"/>
      <c r="P4" s="76" t="s">
        <v>53</v>
      </c>
      <c r="Q4" s="76" t="s">
        <v>54</v>
      </c>
      <c r="R4" s="76"/>
      <c r="S4" s="76"/>
    </row>
    <row r="5" spans="1:19" ht="26.25" thickBot="1">
      <c r="A5" s="6"/>
      <c r="B5" s="7"/>
      <c r="C5" s="73" t="s">
        <v>0</v>
      </c>
      <c r="D5" s="337" t="s">
        <v>65</v>
      </c>
      <c r="E5" s="338"/>
      <c r="F5" s="339" t="s">
        <v>58</v>
      </c>
      <c r="G5" s="340"/>
      <c r="H5" s="341" t="s">
        <v>14</v>
      </c>
      <c r="I5" s="338"/>
      <c r="J5" s="341" t="s">
        <v>15</v>
      </c>
      <c r="K5" s="338"/>
      <c r="L5" s="341" t="s">
        <v>3</v>
      </c>
      <c r="M5" s="338"/>
      <c r="N5" s="341" t="s">
        <v>11</v>
      </c>
      <c r="O5" s="338"/>
      <c r="P5" s="74" t="s">
        <v>4</v>
      </c>
      <c r="Q5" s="75" t="s">
        <v>40</v>
      </c>
      <c r="R5" s="71"/>
      <c r="S5" s="71"/>
    </row>
    <row r="6" spans="1:19" ht="12.75">
      <c r="A6" s="6">
        <v>1</v>
      </c>
      <c r="B6" s="7"/>
      <c r="C6" s="10" t="s">
        <v>45</v>
      </c>
      <c r="D6" s="11">
        <v>115000</v>
      </c>
      <c r="E6" s="12" t="s">
        <v>7</v>
      </c>
      <c r="F6" s="11">
        <f>60200+1990</f>
        <v>62190</v>
      </c>
      <c r="G6" s="12" t="s">
        <v>9</v>
      </c>
      <c r="H6" s="11">
        <v>52270</v>
      </c>
      <c r="I6" s="12" t="s">
        <v>17</v>
      </c>
      <c r="J6" s="13">
        <v>14000</v>
      </c>
      <c r="K6" s="14" t="s">
        <v>21</v>
      </c>
      <c r="L6" s="11"/>
      <c r="M6" s="15"/>
      <c r="N6" s="11"/>
      <c r="O6" s="15"/>
      <c r="P6" s="16">
        <f>SUM(N6,L6,J6,H6,F6,D6)</f>
        <v>243460</v>
      </c>
      <c r="Q6" s="17">
        <f aca="true" t="shared" si="0" ref="Q6:Q24">P6/$P$24</f>
        <v>0.03483722377307203</v>
      </c>
      <c r="R6" s="71"/>
      <c r="S6" s="71"/>
    </row>
    <row r="7" spans="1:19" ht="12.75">
      <c r="A7" s="6">
        <v>2</v>
      </c>
      <c r="B7" s="7"/>
      <c r="C7" s="18" t="s">
        <v>23</v>
      </c>
      <c r="D7" s="11">
        <f>((90000*1.65)+(300*58))/5</f>
        <v>33180</v>
      </c>
      <c r="E7" s="19" t="s">
        <v>22</v>
      </c>
      <c r="F7" s="11">
        <f>((90000*1.65)+(300*58))/5</f>
        <v>33180</v>
      </c>
      <c r="G7" s="19" t="s">
        <v>22</v>
      </c>
      <c r="H7" s="11">
        <f>((90000*1.65)+(300*58))/5</f>
        <v>33180</v>
      </c>
      <c r="I7" s="19" t="s">
        <v>22</v>
      </c>
      <c r="J7" s="11">
        <f>((90000*1.65)+(300*58))/5</f>
        <v>33180</v>
      </c>
      <c r="K7" s="19" t="s">
        <v>22</v>
      </c>
      <c r="L7" s="11">
        <f>((90000*1.65)+(300*58))/5</f>
        <v>33180</v>
      </c>
      <c r="M7" s="19" t="s">
        <v>22</v>
      </c>
      <c r="N7" s="11"/>
      <c r="O7" s="20"/>
      <c r="P7" s="21">
        <f aca="true" t="shared" si="1" ref="P7:P23">SUM(N7,L7,J7,H7,F7,D7)</f>
        <v>165900</v>
      </c>
      <c r="Q7" s="22">
        <f t="shared" si="0"/>
        <v>0.023738993772909923</v>
      </c>
      <c r="R7" s="71"/>
      <c r="S7" s="71"/>
    </row>
    <row r="8" spans="1:19" ht="12.75">
      <c r="A8" s="6">
        <v>3</v>
      </c>
      <c r="B8" s="7"/>
      <c r="C8" s="18" t="s">
        <v>28</v>
      </c>
      <c r="D8" s="11"/>
      <c r="E8" s="23"/>
      <c r="F8" s="11"/>
      <c r="G8" s="20"/>
      <c r="H8" s="11"/>
      <c r="I8" s="20"/>
      <c r="J8" s="11"/>
      <c r="K8" s="20"/>
      <c r="L8" s="11">
        <f>100*75+20000</f>
        <v>27500</v>
      </c>
      <c r="M8" s="24" t="s">
        <v>39</v>
      </c>
      <c r="N8" s="11"/>
      <c r="O8" s="20"/>
      <c r="P8" s="21">
        <f t="shared" si="1"/>
        <v>27500</v>
      </c>
      <c r="Q8" s="22">
        <f t="shared" si="0"/>
        <v>0.003935035134147215</v>
      </c>
      <c r="R8" s="71"/>
      <c r="S8" s="71"/>
    </row>
    <row r="9" spans="1:19" ht="12.75">
      <c r="A9" s="6">
        <v>4</v>
      </c>
      <c r="B9" s="7"/>
      <c r="C9" s="18" t="s">
        <v>29</v>
      </c>
      <c r="D9" s="11">
        <f>200*67</f>
        <v>13400</v>
      </c>
      <c r="E9" s="23" t="s">
        <v>37</v>
      </c>
      <c r="F9" s="11"/>
      <c r="G9" s="20"/>
      <c r="H9" s="11"/>
      <c r="I9" s="20"/>
      <c r="J9" s="11">
        <f>200*67</f>
        <v>13400</v>
      </c>
      <c r="K9" s="24" t="s">
        <v>37</v>
      </c>
      <c r="L9" s="11"/>
      <c r="M9" s="25"/>
      <c r="N9" s="11"/>
      <c r="O9" s="20"/>
      <c r="P9" s="21">
        <f t="shared" si="1"/>
        <v>26800</v>
      </c>
      <c r="Q9" s="22">
        <f t="shared" si="0"/>
        <v>0.0038348706034598314</v>
      </c>
      <c r="R9" s="71"/>
      <c r="S9" s="71"/>
    </row>
    <row r="10" spans="1:19" ht="12.75">
      <c r="A10" s="6">
        <v>5</v>
      </c>
      <c r="B10" s="7"/>
      <c r="C10" s="18" t="s">
        <v>30</v>
      </c>
      <c r="D10" s="11"/>
      <c r="E10" s="20"/>
      <c r="F10" s="11">
        <v>49000</v>
      </c>
      <c r="G10" s="23" t="s">
        <v>9</v>
      </c>
      <c r="H10" s="11">
        <v>23500</v>
      </c>
      <c r="I10" s="23" t="s">
        <v>17</v>
      </c>
      <c r="J10" s="11"/>
      <c r="K10" s="20"/>
      <c r="L10" s="11"/>
      <c r="M10" s="25"/>
      <c r="N10" s="11"/>
      <c r="O10" s="20"/>
      <c r="P10" s="21">
        <f t="shared" si="1"/>
        <v>72500</v>
      </c>
      <c r="Q10" s="22">
        <f t="shared" si="0"/>
        <v>0.01037418353547902</v>
      </c>
      <c r="R10" s="71"/>
      <c r="S10" s="71"/>
    </row>
    <row r="11" spans="1:19" ht="12.75">
      <c r="A11" s="6">
        <v>6</v>
      </c>
      <c r="B11" s="7"/>
      <c r="C11" s="18" t="s">
        <v>31</v>
      </c>
      <c r="D11" s="11">
        <v>15000</v>
      </c>
      <c r="E11" s="23" t="s">
        <v>7</v>
      </c>
      <c r="F11" s="11">
        <f>104550+6640</f>
        <v>111190</v>
      </c>
      <c r="G11" s="23" t="s">
        <v>9</v>
      </c>
      <c r="H11" s="11">
        <f>52500+3185</f>
        <v>55685</v>
      </c>
      <c r="I11" s="23" t="s">
        <v>17</v>
      </c>
      <c r="J11" s="11">
        <v>55000</v>
      </c>
      <c r="K11" s="23" t="s">
        <v>21</v>
      </c>
      <c r="L11" s="11"/>
      <c r="M11" s="25"/>
      <c r="N11" s="11"/>
      <c r="O11" s="20"/>
      <c r="P11" s="21">
        <f t="shared" si="1"/>
        <v>236875</v>
      </c>
      <c r="Q11" s="22">
        <f t="shared" si="0"/>
        <v>0.03389496172367715</v>
      </c>
      <c r="R11" s="71"/>
      <c r="S11" s="71"/>
    </row>
    <row r="12" spans="1:19" ht="12.75">
      <c r="A12" s="6">
        <v>7</v>
      </c>
      <c r="B12" s="7"/>
      <c r="C12" s="18" t="s">
        <v>1</v>
      </c>
      <c r="D12" s="11">
        <f>(501+339)*19+32500+45*1695</f>
        <v>124735</v>
      </c>
      <c r="E12" s="23" t="s">
        <v>16</v>
      </c>
      <c r="F12" s="11">
        <f>205347.5+7950+15000</f>
        <v>228297.5</v>
      </c>
      <c r="G12" s="23" t="s">
        <v>9</v>
      </c>
      <c r="H12" s="11">
        <f>211641.85+7140+25000</f>
        <v>243781.85</v>
      </c>
      <c r="I12" s="23" t="s">
        <v>17</v>
      </c>
      <c r="J12" s="11">
        <f>J26*24</f>
        <v>11688</v>
      </c>
      <c r="K12" s="23" t="s">
        <v>21</v>
      </c>
      <c r="L12" s="11"/>
      <c r="M12" s="25"/>
      <c r="N12" s="11"/>
      <c r="O12" s="26"/>
      <c r="P12" s="21">
        <f t="shared" si="1"/>
        <v>608502.35</v>
      </c>
      <c r="Q12" s="22">
        <f t="shared" si="0"/>
        <v>0.08707193187131437</v>
      </c>
      <c r="R12" s="71"/>
      <c r="S12" s="71"/>
    </row>
    <row r="13" spans="1:19" ht="12.75">
      <c r="A13" s="6">
        <v>8</v>
      </c>
      <c r="B13" s="7"/>
      <c r="C13" s="18" t="s">
        <v>24</v>
      </c>
      <c r="D13" s="11"/>
      <c r="E13" s="20"/>
      <c r="F13" s="11">
        <v>84500</v>
      </c>
      <c r="G13" s="23" t="s">
        <v>9</v>
      </c>
      <c r="H13" s="11">
        <v>40700</v>
      </c>
      <c r="I13" s="23" t="s">
        <v>17</v>
      </c>
      <c r="J13" s="11"/>
      <c r="K13" s="20"/>
      <c r="L13" s="11"/>
      <c r="M13" s="25"/>
      <c r="N13" s="11"/>
      <c r="O13" s="20"/>
      <c r="P13" s="21">
        <f t="shared" si="1"/>
        <v>125200</v>
      </c>
      <c r="Q13" s="22">
        <f t="shared" si="0"/>
        <v>0.017915141774372048</v>
      </c>
      <c r="R13" s="71"/>
      <c r="S13" s="71"/>
    </row>
    <row r="14" spans="1:19" ht="12.75">
      <c r="A14" s="6">
        <v>9</v>
      </c>
      <c r="B14" s="7"/>
      <c r="C14" s="18" t="s">
        <v>73</v>
      </c>
      <c r="D14" s="11"/>
      <c r="E14" s="23"/>
      <c r="F14" s="11">
        <f>75000*1.65</f>
        <v>123750</v>
      </c>
      <c r="G14" s="23" t="s">
        <v>43</v>
      </c>
      <c r="H14" s="11"/>
      <c r="I14" s="20"/>
      <c r="J14" s="11">
        <f>(40*12)*67</f>
        <v>32160</v>
      </c>
      <c r="K14" s="24" t="s">
        <v>38</v>
      </c>
      <c r="L14" s="11"/>
      <c r="M14" s="25"/>
      <c r="N14" s="11"/>
      <c r="O14" s="20"/>
      <c r="P14" s="21">
        <f t="shared" si="1"/>
        <v>155910</v>
      </c>
      <c r="Q14" s="22">
        <f t="shared" si="0"/>
        <v>0.022309502827814263</v>
      </c>
      <c r="R14" s="71"/>
      <c r="S14" s="71"/>
    </row>
    <row r="15" spans="1:19" ht="12.75">
      <c r="A15" s="6">
        <v>10</v>
      </c>
      <c r="B15" s="7"/>
      <c r="C15" s="18" t="s">
        <v>33</v>
      </c>
      <c r="D15" s="11"/>
      <c r="E15" s="20"/>
      <c r="F15" s="11"/>
      <c r="G15" s="20"/>
      <c r="H15" s="11"/>
      <c r="I15" s="20"/>
      <c r="J15" s="11"/>
      <c r="K15" s="20"/>
      <c r="L15" s="11">
        <f>10000+3000+57500+15000+10000+25000+28000+35000+10000</f>
        <v>193500</v>
      </c>
      <c r="M15" s="23" t="s">
        <v>26</v>
      </c>
      <c r="N15" s="11"/>
      <c r="O15" s="20"/>
      <c r="P15" s="21">
        <f t="shared" si="1"/>
        <v>193500</v>
      </c>
      <c r="Q15" s="22">
        <f t="shared" si="0"/>
        <v>0.027688338125726766</v>
      </c>
      <c r="R15" s="71"/>
      <c r="S15" s="71"/>
    </row>
    <row r="16" spans="1:19" ht="12.75">
      <c r="A16" s="6">
        <v>11</v>
      </c>
      <c r="B16" s="7"/>
      <c r="C16" s="18" t="s">
        <v>34</v>
      </c>
      <c r="D16" s="11"/>
      <c r="E16" s="20"/>
      <c r="F16" s="11"/>
      <c r="G16" s="20"/>
      <c r="H16" s="11"/>
      <c r="I16" s="20"/>
      <c r="J16" s="11"/>
      <c r="K16" s="20"/>
      <c r="L16" s="11">
        <f>25000+8800</f>
        <v>33800</v>
      </c>
      <c r="M16" s="23" t="s">
        <v>26</v>
      </c>
      <c r="N16" s="11"/>
      <c r="O16" s="20"/>
      <c r="P16" s="21">
        <f>SUM(N16,L16,J16,H16,F16,D16)</f>
        <v>33800</v>
      </c>
      <c r="Q16" s="22">
        <f t="shared" si="0"/>
        <v>0.004836515910333667</v>
      </c>
      <c r="R16" s="71"/>
      <c r="S16" s="71"/>
    </row>
    <row r="17" spans="1:19" ht="12.75">
      <c r="A17" s="6">
        <v>12</v>
      </c>
      <c r="B17" s="7"/>
      <c r="C17" s="18" t="s">
        <v>35</v>
      </c>
      <c r="D17" s="11"/>
      <c r="E17" s="20"/>
      <c r="F17" s="11"/>
      <c r="G17" s="20"/>
      <c r="H17" s="11"/>
      <c r="I17" s="20"/>
      <c r="J17" s="11"/>
      <c r="K17" s="20"/>
      <c r="L17" s="11">
        <v>28000</v>
      </c>
      <c r="M17" s="23" t="s">
        <v>26</v>
      </c>
      <c r="N17" s="11"/>
      <c r="O17" s="20"/>
      <c r="P17" s="21">
        <f>SUM(N17,L17,J17,H17,F17,D17)</f>
        <v>28000</v>
      </c>
      <c r="Q17" s="22">
        <f t="shared" si="0"/>
        <v>0.004006581227495346</v>
      </c>
      <c r="R17" s="71"/>
      <c r="S17" s="71"/>
    </row>
    <row r="18" spans="1:19" ht="12.75">
      <c r="A18" s="6">
        <v>13</v>
      </c>
      <c r="B18" s="7"/>
      <c r="C18" s="18" t="s">
        <v>36</v>
      </c>
      <c r="D18" s="11"/>
      <c r="E18" s="20"/>
      <c r="F18" s="11"/>
      <c r="G18" s="20"/>
      <c r="H18" s="11"/>
      <c r="I18" s="20"/>
      <c r="J18" s="11"/>
      <c r="K18" s="20"/>
      <c r="L18" s="11">
        <v>523000</v>
      </c>
      <c r="M18" s="23" t="s">
        <v>26</v>
      </c>
      <c r="N18" s="11"/>
      <c r="O18" s="20"/>
      <c r="P18" s="21">
        <f>SUM(N18,L18,J18,H18,F18,D18)</f>
        <v>523000</v>
      </c>
      <c r="Q18" s="22">
        <f t="shared" si="0"/>
        <v>0.07483721364214521</v>
      </c>
      <c r="R18" s="71"/>
      <c r="S18" s="71"/>
    </row>
    <row r="19" spans="1:19" ht="12.75">
      <c r="A19" s="6">
        <v>14</v>
      </c>
      <c r="B19" s="7"/>
      <c r="C19" s="18" t="s">
        <v>2</v>
      </c>
      <c r="D19" s="11">
        <f>((75*1695*3)+67*2080)*0.8</f>
        <v>416588</v>
      </c>
      <c r="E19" s="23" t="s">
        <v>18</v>
      </c>
      <c r="F19" s="11"/>
      <c r="G19" s="20"/>
      <c r="H19" s="11"/>
      <c r="I19" s="20"/>
      <c r="J19" s="11"/>
      <c r="K19" s="20"/>
      <c r="L19" s="11"/>
      <c r="M19" s="25"/>
      <c r="N19" s="11"/>
      <c r="O19" s="20"/>
      <c r="P19" s="21">
        <f t="shared" si="1"/>
        <v>416588</v>
      </c>
      <c r="Q19" s="22">
        <f t="shared" si="0"/>
        <v>0.05961048787142254</v>
      </c>
      <c r="R19" s="71"/>
      <c r="S19" s="71"/>
    </row>
    <row r="20" spans="1:19" ht="12.75">
      <c r="A20" s="6">
        <v>15</v>
      </c>
      <c r="B20" s="7"/>
      <c r="C20" s="18" t="s">
        <v>13</v>
      </c>
      <c r="D20" s="11"/>
      <c r="E20" s="20"/>
      <c r="F20" s="11"/>
      <c r="G20" s="20"/>
      <c r="H20" s="11"/>
      <c r="I20" s="26"/>
      <c r="J20" s="11"/>
      <c r="K20" s="20"/>
      <c r="L20" s="11">
        <v>50000</v>
      </c>
      <c r="M20" s="23" t="s">
        <v>25</v>
      </c>
      <c r="N20" s="11">
        <v>250000</v>
      </c>
      <c r="O20" s="23" t="s">
        <v>12</v>
      </c>
      <c r="P20" s="21">
        <f t="shared" si="1"/>
        <v>300000</v>
      </c>
      <c r="Q20" s="22">
        <f t="shared" si="0"/>
        <v>0.042927656008878705</v>
      </c>
      <c r="R20" s="71"/>
      <c r="S20" s="71"/>
    </row>
    <row r="21" spans="1:19" ht="12.75">
      <c r="A21" s="6">
        <v>16</v>
      </c>
      <c r="B21" s="7"/>
      <c r="C21" s="18" t="s">
        <v>8</v>
      </c>
      <c r="D21" s="11">
        <f>30*205.97+60*719.96+159*212.26+159*208.22+47*225+47*250+339*30</f>
        <v>148728.02000000002</v>
      </c>
      <c r="E21" s="23" t="s">
        <v>16</v>
      </c>
      <c r="F21" s="11">
        <v>2080800</v>
      </c>
      <c r="G21" s="23" t="s">
        <v>9</v>
      </c>
      <c r="H21" s="11">
        <v>1372480</v>
      </c>
      <c r="I21" s="23" t="s">
        <v>17</v>
      </c>
      <c r="J21" s="11">
        <v>76486</v>
      </c>
      <c r="K21" s="19" t="s">
        <v>21</v>
      </c>
      <c r="L21" s="11"/>
      <c r="M21" s="25"/>
      <c r="N21" s="11"/>
      <c r="O21" s="25"/>
      <c r="P21" s="21">
        <f t="shared" si="1"/>
        <v>3678494.02</v>
      </c>
      <c r="Q21" s="22">
        <f t="shared" si="0"/>
        <v>0.5263637530709246</v>
      </c>
      <c r="R21" s="71"/>
      <c r="S21" s="71"/>
    </row>
    <row r="22" spans="1:19" ht="12.75">
      <c r="A22" s="6">
        <v>17</v>
      </c>
      <c r="B22" s="7"/>
      <c r="C22" s="18" t="s">
        <v>20</v>
      </c>
      <c r="D22" s="11">
        <f>14*734+6.2*1102+3*2204+4*1763</f>
        <v>30772.4</v>
      </c>
      <c r="E22" s="23" t="s">
        <v>19</v>
      </c>
      <c r="F22" s="11"/>
      <c r="G22" s="26"/>
      <c r="H22" s="11"/>
      <c r="I22" s="26"/>
      <c r="J22" s="11"/>
      <c r="K22" s="20"/>
      <c r="L22" s="11"/>
      <c r="M22" s="25"/>
      <c r="N22" s="11"/>
      <c r="O22" s="25"/>
      <c r="P22" s="21">
        <f t="shared" si="1"/>
        <v>30772.4</v>
      </c>
      <c r="Q22" s="22">
        <f t="shared" si="0"/>
        <v>0.0044032900058920636</v>
      </c>
      <c r="R22" s="72"/>
      <c r="S22" s="71"/>
    </row>
    <row r="23" spans="1:19" ht="12.75">
      <c r="A23" s="6">
        <v>18</v>
      </c>
      <c r="B23" s="7"/>
      <c r="C23" s="18" t="s">
        <v>32</v>
      </c>
      <c r="D23" s="11">
        <v>25000</v>
      </c>
      <c r="E23" s="23" t="s">
        <v>27</v>
      </c>
      <c r="F23" s="11">
        <v>25000</v>
      </c>
      <c r="G23" s="23" t="s">
        <v>27</v>
      </c>
      <c r="H23" s="11">
        <v>25000</v>
      </c>
      <c r="I23" s="23" t="s">
        <v>27</v>
      </c>
      <c r="J23" s="11">
        <v>25000</v>
      </c>
      <c r="K23" s="23" t="s">
        <v>27</v>
      </c>
      <c r="L23" s="11">
        <v>21700</v>
      </c>
      <c r="M23" s="23" t="s">
        <v>26</v>
      </c>
      <c r="N23" s="11"/>
      <c r="O23" s="23"/>
      <c r="P23" s="21">
        <f t="shared" si="1"/>
        <v>121700</v>
      </c>
      <c r="Q23" s="22">
        <f t="shared" si="0"/>
        <v>0.017414319120935128</v>
      </c>
      <c r="R23" s="71"/>
      <c r="S23" s="71"/>
    </row>
    <row r="24" spans="1:19" ht="13.5" thickBot="1">
      <c r="A24" s="6">
        <v>19</v>
      </c>
      <c r="B24" s="7"/>
      <c r="C24" s="27" t="s">
        <v>5</v>
      </c>
      <c r="D24" s="28">
        <f>SUM(D6:D23)</f>
        <v>922403.42</v>
      </c>
      <c r="E24" s="29"/>
      <c r="F24" s="28">
        <f>SUM(F6:F23)</f>
        <v>2797907.5</v>
      </c>
      <c r="G24" s="29"/>
      <c r="H24" s="28">
        <f>SUM(H6:H23)</f>
        <v>1846596.85</v>
      </c>
      <c r="I24" s="29"/>
      <c r="J24" s="28">
        <f>SUM(J6:J23)</f>
        <v>260914</v>
      </c>
      <c r="K24" s="29"/>
      <c r="L24" s="28">
        <f>SUM(L6:L23)</f>
        <v>910680</v>
      </c>
      <c r="M24" s="30"/>
      <c r="N24" s="28">
        <f>SUM(N6:N23)</f>
        <v>250000</v>
      </c>
      <c r="O24" s="29"/>
      <c r="P24" s="31">
        <f>SUM(P6:P23)</f>
        <v>6988501.7700000005</v>
      </c>
      <c r="Q24" s="32">
        <f t="shared" si="0"/>
        <v>1</v>
      </c>
      <c r="R24" s="71"/>
      <c r="S24" s="71"/>
    </row>
    <row r="25" spans="1:19" ht="13.5" thickBot="1">
      <c r="A25" s="6">
        <v>20</v>
      </c>
      <c r="B25" s="7"/>
      <c r="C25" s="4" t="s">
        <v>44</v>
      </c>
      <c r="D25" s="3">
        <f>D24/$P$24</f>
        <v>0.1319887223839109</v>
      </c>
      <c r="E25" s="1"/>
      <c r="F25" s="3">
        <f>F24/$P$24</f>
        <v>0.40035870234887266</v>
      </c>
      <c r="G25" s="1"/>
      <c r="H25" s="3">
        <f>H24/$P$24</f>
        <v>0.26423358121293</v>
      </c>
      <c r="I25" s="1"/>
      <c r="J25" s="3">
        <f>J24/$P$24</f>
        <v>0.0373347547996686</v>
      </c>
      <c r="K25" s="1"/>
      <c r="L25" s="3">
        <f>L24/$P$24</f>
        <v>0.1303111925805522</v>
      </c>
      <c r="M25" s="1"/>
      <c r="N25" s="3">
        <f>N24/$P$24</f>
        <v>0.03577304667406559</v>
      </c>
      <c r="O25" s="1"/>
      <c r="P25" s="1"/>
      <c r="Q25" s="2"/>
      <c r="R25" s="71"/>
      <c r="S25" s="71"/>
    </row>
    <row r="26" spans="1:19" ht="12.75">
      <c r="A26" s="6">
        <v>21</v>
      </c>
      <c r="B26" s="7"/>
      <c r="C26" s="33" t="s">
        <v>6</v>
      </c>
      <c r="D26" s="34">
        <f>1695+1695+501</f>
        <v>3891</v>
      </c>
      <c r="E26" s="35" t="s">
        <v>7</v>
      </c>
      <c r="F26" s="34">
        <v>8605</v>
      </c>
      <c r="G26" s="36" t="s">
        <v>9</v>
      </c>
      <c r="H26" s="34">
        <v>15499</v>
      </c>
      <c r="I26" s="36" t="s">
        <v>17</v>
      </c>
      <c r="J26" s="34">
        <v>487</v>
      </c>
      <c r="K26" s="37" t="s">
        <v>21</v>
      </c>
      <c r="L26" s="38"/>
      <c r="M26" s="39"/>
      <c r="N26" s="40"/>
      <c r="O26" s="41"/>
      <c r="P26" s="40">
        <f>SUM(N26,J26,H26,F26,D26)</f>
        <v>28482</v>
      </c>
      <c r="Q26" s="42"/>
      <c r="R26" s="71"/>
      <c r="S26" s="71"/>
    </row>
    <row r="27" spans="1:19" ht="12.75">
      <c r="A27" s="6">
        <v>22</v>
      </c>
      <c r="B27" s="7"/>
      <c r="C27" s="43" t="s">
        <v>74</v>
      </c>
      <c r="D27" s="44">
        <v>12366</v>
      </c>
      <c r="E27" s="23" t="s">
        <v>7</v>
      </c>
      <c r="F27" s="44">
        <v>65403</v>
      </c>
      <c r="G27" s="23" t="s">
        <v>9</v>
      </c>
      <c r="H27" s="44">
        <v>45030</v>
      </c>
      <c r="I27" s="23" t="s">
        <v>17</v>
      </c>
      <c r="J27" s="44">
        <v>10587</v>
      </c>
      <c r="K27" s="24" t="s">
        <v>21</v>
      </c>
      <c r="L27" s="45"/>
      <c r="M27" s="20"/>
      <c r="N27" s="46"/>
      <c r="O27" s="47"/>
      <c r="P27" s="46">
        <f>SUM(D27,F27,H27,J27)</f>
        <v>133386</v>
      </c>
      <c r="Q27" s="48"/>
      <c r="R27" s="71"/>
      <c r="S27" s="71"/>
    </row>
    <row r="28" spans="1:19" ht="16.5" customHeight="1">
      <c r="A28" s="6">
        <v>23</v>
      </c>
      <c r="B28" s="7"/>
      <c r="C28" s="49" t="s">
        <v>75</v>
      </c>
      <c r="D28" s="50">
        <v>98119</v>
      </c>
      <c r="E28" s="20"/>
      <c r="F28" s="50">
        <v>511944</v>
      </c>
      <c r="G28" s="25"/>
      <c r="H28" s="50">
        <v>358419</v>
      </c>
      <c r="I28" s="20"/>
      <c r="J28" s="50">
        <v>85042</v>
      </c>
      <c r="K28" s="20"/>
      <c r="L28" s="51"/>
      <c r="M28" s="20"/>
      <c r="N28" s="52"/>
      <c r="O28" s="47"/>
      <c r="P28" s="50">
        <f>((7*6.75+5*8.45)/12)*P27</f>
        <v>994837.25</v>
      </c>
      <c r="Q28" s="53"/>
      <c r="R28" s="71"/>
      <c r="S28" s="71"/>
    </row>
    <row r="29" spans="1:19" ht="17.25" customHeight="1" thickBot="1">
      <c r="A29" s="6">
        <v>24</v>
      </c>
      <c r="B29" s="7"/>
      <c r="C29" s="54" t="s">
        <v>42</v>
      </c>
      <c r="D29" s="55">
        <f>D24/D28</f>
        <v>9.400864460502044</v>
      </c>
      <c r="E29" s="56" t="s">
        <v>10</v>
      </c>
      <c r="F29" s="55">
        <f>F24/F28</f>
        <v>5.465260848842842</v>
      </c>
      <c r="G29" s="56" t="s">
        <v>10</v>
      </c>
      <c r="H29" s="55">
        <v>5.15</v>
      </c>
      <c r="I29" s="56" t="s">
        <v>10</v>
      </c>
      <c r="J29" s="55">
        <v>3.07</v>
      </c>
      <c r="K29" s="56" t="s">
        <v>10</v>
      </c>
      <c r="L29" s="55"/>
      <c r="M29" s="56"/>
      <c r="N29" s="55"/>
      <c r="O29" s="56"/>
      <c r="P29" s="57">
        <f>P24/P28</f>
        <v>7.024768895615841</v>
      </c>
      <c r="Q29" s="58" t="s">
        <v>10</v>
      </c>
      <c r="R29" s="71"/>
      <c r="S29" s="71"/>
    </row>
    <row r="30" spans="1:19" ht="12.75">
      <c r="A30" s="6"/>
      <c r="B30" s="7"/>
      <c r="C30" s="59"/>
      <c r="D30" s="60"/>
      <c r="E30" s="61"/>
      <c r="F30" s="60"/>
      <c r="G30" s="61"/>
      <c r="H30" s="60"/>
      <c r="I30" s="61"/>
      <c r="J30" s="60"/>
      <c r="K30" s="61"/>
      <c r="L30" s="60"/>
      <c r="M30" s="61"/>
      <c r="N30" s="60"/>
      <c r="O30" s="61"/>
      <c r="P30" s="62"/>
      <c r="Q30" s="61"/>
      <c r="R30" s="71"/>
      <c r="S30" s="71"/>
    </row>
    <row r="31" spans="1:19" ht="12.75">
      <c r="A31" s="6"/>
      <c r="B31" s="7"/>
      <c r="C31" s="63"/>
      <c r="D31" s="7"/>
      <c r="E31" s="7"/>
      <c r="F31" s="7"/>
      <c r="G31" s="7"/>
      <c r="H31" s="64"/>
      <c r="I31" s="7"/>
      <c r="J31" s="7"/>
      <c r="K31" s="7"/>
      <c r="L31" s="7"/>
      <c r="M31" s="7"/>
      <c r="N31" s="7"/>
      <c r="O31" s="7"/>
      <c r="P31" s="64"/>
      <c r="Q31" s="7"/>
      <c r="R31" s="71"/>
      <c r="S31" s="71"/>
    </row>
    <row r="32" spans="1:19" ht="12.75">
      <c r="A32" s="6"/>
      <c r="B32" s="65" t="s">
        <v>7</v>
      </c>
      <c r="C32" s="66" t="s">
        <v>55</v>
      </c>
      <c r="D32" s="7"/>
      <c r="E32" s="7"/>
      <c r="F32" s="7"/>
      <c r="G32" s="7"/>
      <c r="H32" s="64"/>
      <c r="I32" s="7"/>
      <c r="J32" s="7"/>
      <c r="K32" s="7"/>
      <c r="L32" s="7"/>
      <c r="M32" s="7"/>
      <c r="N32" s="7"/>
      <c r="O32" s="7"/>
      <c r="P32" s="7"/>
      <c r="Q32" s="7"/>
      <c r="R32" s="71"/>
      <c r="S32" s="71"/>
    </row>
    <row r="33" spans="1:19" ht="12.75">
      <c r="A33" s="6"/>
      <c r="B33" s="65" t="s">
        <v>16</v>
      </c>
      <c r="C33" s="66" t="s">
        <v>76</v>
      </c>
      <c r="D33" s="7"/>
      <c r="E33" s="7"/>
      <c r="F33" s="7"/>
      <c r="G33" s="7"/>
      <c r="H33" s="64"/>
      <c r="I33" s="7"/>
      <c r="J33" s="7"/>
      <c r="K33" s="7"/>
      <c r="L33" s="7"/>
      <c r="M33" s="7"/>
      <c r="N33" s="7"/>
      <c r="O33" s="7"/>
      <c r="P33" s="7"/>
      <c r="Q33" s="7"/>
      <c r="R33" s="71"/>
      <c r="S33" s="71"/>
    </row>
    <row r="34" spans="1:19" ht="12.75">
      <c r="A34" s="6"/>
      <c r="B34" s="65" t="s">
        <v>18</v>
      </c>
      <c r="C34" s="66" t="s">
        <v>77</v>
      </c>
      <c r="D34" s="7"/>
      <c r="E34" s="7"/>
      <c r="F34" s="7"/>
      <c r="G34" s="7"/>
      <c r="H34" s="64"/>
      <c r="I34" s="7"/>
      <c r="J34" s="7"/>
      <c r="K34" s="7"/>
      <c r="L34" s="7"/>
      <c r="M34" s="7"/>
      <c r="N34" s="7"/>
      <c r="O34" s="7"/>
      <c r="P34" s="7"/>
      <c r="Q34" s="7"/>
      <c r="R34" s="71"/>
      <c r="S34" s="71"/>
    </row>
    <row r="35" spans="1:19" ht="12.75">
      <c r="A35" s="6"/>
      <c r="B35" s="65"/>
      <c r="C35" s="67" t="s">
        <v>78</v>
      </c>
      <c r="D35" s="7"/>
      <c r="E35" s="7"/>
      <c r="F35" s="7"/>
      <c r="G35" s="7"/>
      <c r="H35" s="64"/>
      <c r="I35" s="7"/>
      <c r="J35" s="7"/>
      <c r="K35" s="7"/>
      <c r="L35" s="7"/>
      <c r="M35" s="7"/>
      <c r="N35" s="7"/>
      <c r="O35" s="7"/>
      <c r="P35" s="7"/>
      <c r="Q35" s="7"/>
      <c r="R35" s="71"/>
      <c r="S35" s="71"/>
    </row>
    <row r="36" spans="1:19" ht="12.75">
      <c r="A36" s="6"/>
      <c r="B36" s="65" t="s">
        <v>19</v>
      </c>
      <c r="C36" s="66" t="s">
        <v>64</v>
      </c>
      <c r="D36" s="7"/>
      <c r="E36" s="7"/>
      <c r="F36" s="7"/>
      <c r="G36" s="7"/>
      <c r="H36" s="64"/>
      <c r="I36" s="7"/>
      <c r="J36" s="7"/>
      <c r="K36" s="7"/>
      <c r="L36" s="7"/>
      <c r="M36" s="7"/>
      <c r="N36" s="7"/>
      <c r="O36" s="7"/>
      <c r="P36" s="7"/>
      <c r="Q36" s="7"/>
      <c r="R36" s="71"/>
      <c r="S36" s="71"/>
    </row>
    <row r="37" spans="1:19" ht="12.75">
      <c r="A37" s="6"/>
      <c r="B37" s="65" t="s">
        <v>9</v>
      </c>
      <c r="C37" s="68" t="s">
        <v>67</v>
      </c>
      <c r="D37" s="7"/>
      <c r="E37" s="7"/>
      <c r="F37" s="7"/>
      <c r="G37" s="7"/>
      <c r="H37" s="64"/>
      <c r="I37" s="7"/>
      <c r="J37" s="7"/>
      <c r="K37" s="7"/>
      <c r="L37" s="7"/>
      <c r="M37" s="7"/>
      <c r="N37" s="7"/>
      <c r="O37" s="7"/>
      <c r="P37" s="7"/>
      <c r="Q37" s="7"/>
      <c r="R37" s="71"/>
      <c r="S37" s="71"/>
    </row>
    <row r="38" spans="1:19" ht="12.75">
      <c r="A38" s="6"/>
      <c r="B38" s="65" t="s">
        <v>43</v>
      </c>
      <c r="C38" s="68" t="s">
        <v>68</v>
      </c>
      <c r="D38" s="7"/>
      <c r="E38" s="7"/>
      <c r="F38" s="7"/>
      <c r="G38" s="7"/>
      <c r="H38" s="64"/>
      <c r="I38" s="7"/>
      <c r="J38" s="7"/>
      <c r="K38" s="7"/>
      <c r="L38" s="7"/>
      <c r="M38" s="7"/>
      <c r="N38" s="7"/>
      <c r="O38" s="7"/>
      <c r="P38" s="7"/>
      <c r="Q38" s="7"/>
      <c r="R38" s="71"/>
      <c r="S38" s="71"/>
    </row>
    <row r="39" spans="1:19" ht="12.75">
      <c r="A39" s="6"/>
      <c r="B39" s="65" t="s">
        <v>17</v>
      </c>
      <c r="C39" s="68" t="s">
        <v>67</v>
      </c>
      <c r="D39" s="69"/>
      <c r="E39" s="7"/>
      <c r="F39" s="7"/>
      <c r="G39" s="7"/>
      <c r="H39" s="7"/>
      <c r="I39" s="7"/>
      <c r="J39" s="7"/>
      <c r="K39" s="7"/>
      <c r="L39" s="7"/>
      <c r="M39" s="7"/>
      <c r="N39" s="7"/>
      <c r="O39" s="7"/>
      <c r="P39" s="7"/>
      <c r="Q39" s="7"/>
      <c r="R39" s="71"/>
      <c r="S39" s="71"/>
    </row>
    <row r="40" spans="1:19" ht="12.75">
      <c r="A40" s="6"/>
      <c r="B40" s="65" t="s">
        <v>21</v>
      </c>
      <c r="C40" s="68" t="s">
        <v>69</v>
      </c>
      <c r="D40" s="7"/>
      <c r="E40" s="7"/>
      <c r="F40" s="7"/>
      <c r="G40" s="7"/>
      <c r="H40" s="7"/>
      <c r="I40" s="7"/>
      <c r="J40" s="7"/>
      <c r="K40" s="7"/>
      <c r="L40" s="7"/>
      <c r="M40" s="7"/>
      <c r="N40" s="7"/>
      <c r="O40" s="7"/>
      <c r="P40" s="7"/>
      <c r="Q40" s="342" t="s">
        <v>66</v>
      </c>
      <c r="R40" s="343" t="s">
        <v>63</v>
      </c>
      <c r="S40" s="343" t="s">
        <v>62</v>
      </c>
    </row>
    <row r="41" spans="1:19" ht="12.75">
      <c r="A41" s="6"/>
      <c r="B41" s="65" t="s">
        <v>26</v>
      </c>
      <c r="C41" s="68" t="s">
        <v>70</v>
      </c>
      <c r="D41" s="7"/>
      <c r="E41" s="7"/>
      <c r="F41" s="7"/>
      <c r="G41" s="7"/>
      <c r="H41" s="7"/>
      <c r="I41" s="7"/>
      <c r="J41" s="7"/>
      <c r="K41" s="7"/>
      <c r="L41" s="7"/>
      <c r="M41" s="7"/>
      <c r="N41" s="7"/>
      <c r="O41" s="7"/>
      <c r="P41" s="7"/>
      <c r="Q41" s="342"/>
      <c r="R41" s="343"/>
      <c r="S41" s="343"/>
    </row>
    <row r="42" spans="1:19" ht="12.75">
      <c r="A42" s="6"/>
      <c r="B42" s="65" t="s">
        <v>12</v>
      </c>
      <c r="C42" s="66" t="s">
        <v>56</v>
      </c>
      <c r="D42" s="7"/>
      <c r="E42" s="7"/>
      <c r="F42" s="7"/>
      <c r="G42" s="7"/>
      <c r="H42" s="7"/>
      <c r="I42" s="7"/>
      <c r="J42" s="7"/>
      <c r="K42" s="7"/>
      <c r="L42" s="7"/>
      <c r="M42" s="7"/>
      <c r="N42" s="7"/>
      <c r="O42" s="7"/>
      <c r="P42" s="7"/>
      <c r="Q42" s="342"/>
      <c r="R42" s="343"/>
      <c r="S42" s="343"/>
    </row>
    <row r="43" spans="1:19" ht="12.75">
      <c r="A43" s="6"/>
      <c r="B43" s="65" t="s">
        <v>22</v>
      </c>
      <c r="C43" s="66" t="s">
        <v>59</v>
      </c>
      <c r="D43" s="7"/>
      <c r="E43" s="7"/>
      <c r="F43" s="7"/>
      <c r="G43" s="7"/>
      <c r="H43" s="7"/>
      <c r="I43" s="7"/>
      <c r="J43" s="7"/>
      <c r="K43" s="7"/>
      <c r="L43" s="7"/>
      <c r="M43" s="7"/>
      <c r="N43" s="7"/>
      <c r="O43" s="7"/>
      <c r="P43" s="7"/>
      <c r="Q43" s="342"/>
      <c r="R43" s="343"/>
      <c r="S43" s="343"/>
    </row>
    <row r="44" spans="1:19" ht="12.75">
      <c r="A44" s="6"/>
      <c r="B44" s="66" t="s">
        <v>37</v>
      </c>
      <c r="C44" s="67" t="s">
        <v>60</v>
      </c>
      <c r="D44" s="7"/>
      <c r="E44" s="7"/>
      <c r="F44" s="7"/>
      <c r="G44" s="7"/>
      <c r="H44" s="7"/>
      <c r="I44" s="7"/>
      <c r="J44" s="7"/>
      <c r="K44" s="7"/>
      <c r="L44" s="7"/>
      <c r="M44" s="7"/>
      <c r="N44" s="7"/>
      <c r="O44" s="7"/>
      <c r="P44" s="7"/>
      <c r="Q44" s="342"/>
      <c r="R44" s="343"/>
      <c r="S44" s="343"/>
    </row>
    <row r="45" spans="1:19" ht="12.75">
      <c r="A45" s="6"/>
      <c r="B45" s="66" t="s">
        <v>38</v>
      </c>
      <c r="C45" s="67" t="s">
        <v>79</v>
      </c>
      <c r="D45" s="7"/>
      <c r="E45" s="7"/>
      <c r="F45" s="7"/>
      <c r="G45" s="7"/>
      <c r="H45" s="7"/>
      <c r="I45" s="7"/>
      <c r="J45" s="7"/>
      <c r="K45" s="7"/>
      <c r="L45" s="7"/>
      <c r="M45" s="7"/>
      <c r="N45" s="7"/>
      <c r="O45" s="7"/>
      <c r="P45" s="7"/>
      <c r="Q45" s="342"/>
      <c r="R45" s="343"/>
      <c r="S45" s="343"/>
    </row>
    <row r="46" spans="1:19" ht="12.75">
      <c r="A46" s="6"/>
      <c r="B46" s="66" t="s">
        <v>39</v>
      </c>
      <c r="C46" s="67" t="s">
        <v>71</v>
      </c>
      <c r="D46" s="7"/>
      <c r="E46" s="7"/>
      <c r="F46" s="7"/>
      <c r="G46" s="7"/>
      <c r="H46" s="7"/>
      <c r="I46" s="7"/>
      <c r="J46" s="7"/>
      <c r="K46" s="7"/>
      <c r="L46" s="7"/>
      <c r="M46" s="7"/>
      <c r="N46" s="7"/>
      <c r="O46" s="7"/>
      <c r="P46" s="7"/>
      <c r="Q46" s="342"/>
      <c r="R46" s="343"/>
      <c r="S46" s="343"/>
    </row>
    <row r="47" spans="1:19" ht="12.75">
      <c r="A47" s="6"/>
      <c r="B47" s="65" t="s">
        <v>25</v>
      </c>
      <c r="C47" s="66" t="s">
        <v>57</v>
      </c>
      <c r="D47" s="7"/>
      <c r="E47" s="7"/>
      <c r="F47" s="7"/>
      <c r="G47" s="7"/>
      <c r="H47" s="7"/>
      <c r="I47" s="7"/>
      <c r="J47" s="7"/>
      <c r="K47" s="7"/>
      <c r="L47" s="7"/>
      <c r="M47" s="7"/>
      <c r="N47" s="7"/>
      <c r="O47" s="7"/>
      <c r="P47" s="7"/>
      <c r="Q47" s="342"/>
      <c r="R47" s="343"/>
      <c r="S47" s="343"/>
    </row>
    <row r="48" spans="1:19" ht="12.75">
      <c r="A48" s="6"/>
      <c r="B48" s="65" t="s">
        <v>27</v>
      </c>
      <c r="C48" s="66" t="s">
        <v>61</v>
      </c>
      <c r="D48" s="7"/>
      <c r="E48" s="7"/>
      <c r="F48" s="7"/>
      <c r="G48" s="7"/>
      <c r="H48" s="7"/>
      <c r="I48" s="7"/>
      <c r="J48" s="7"/>
      <c r="K48" s="7"/>
      <c r="L48" s="7"/>
      <c r="M48" s="7"/>
      <c r="N48" s="7"/>
      <c r="O48" s="7"/>
      <c r="P48" s="7"/>
      <c r="Q48" s="342"/>
      <c r="R48" s="343"/>
      <c r="S48" s="343"/>
    </row>
    <row r="49" spans="1:19" ht="12.75">
      <c r="A49" s="6"/>
      <c r="B49" s="7"/>
      <c r="C49" s="7"/>
      <c r="D49" s="7"/>
      <c r="E49" s="7"/>
      <c r="F49" s="7"/>
      <c r="G49" s="7"/>
      <c r="H49" s="7"/>
      <c r="I49" s="7"/>
      <c r="J49" s="7"/>
      <c r="K49" s="7"/>
      <c r="L49" s="7"/>
      <c r="M49" s="7"/>
      <c r="N49" s="7"/>
      <c r="O49" s="7"/>
      <c r="P49" s="7"/>
      <c r="Q49" s="342"/>
      <c r="R49" s="343"/>
      <c r="S49" s="343"/>
    </row>
    <row r="50" spans="1:19" ht="12.75">
      <c r="A50" s="6"/>
      <c r="B50" s="7"/>
      <c r="C50" s="7"/>
      <c r="D50" s="7"/>
      <c r="E50" s="7"/>
      <c r="F50" s="7"/>
      <c r="G50" s="7"/>
      <c r="H50" s="7"/>
      <c r="I50" s="7"/>
      <c r="J50" s="7"/>
      <c r="K50" s="7"/>
      <c r="L50" s="7"/>
      <c r="M50" s="7"/>
      <c r="N50" s="7"/>
      <c r="O50" s="7"/>
      <c r="P50" s="7"/>
      <c r="Q50" s="342"/>
      <c r="R50" s="343"/>
      <c r="S50" s="343"/>
    </row>
    <row r="51" spans="1:19" ht="12.75">
      <c r="A51" s="6"/>
      <c r="B51" s="7"/>
      <c r="C51" s="7"/>
      <c r="D51" s="7"/>
      <c r="E51" s="7"/>
      <c r="F51" s="7"/>
      <c r="G51" s="7"/>
      <c r="H51" s="7"/>
      <c r="I51" s="7"/>
      <c r="J51" s="7"/>
      <c r="K51" s="7"/>
      <c r="L51" s="7"/>
      <c r="M51" s="7"/>
      <c r="N51" s="7"/>
      <c r="O51" s="7"/>
      <c r="P51" s="7"/>
      <c r="Q51" s="342"/>
      <c r="R51" s="343"/>
      <c r="S51" s="343"/>
    </row>
    <row r="52" spans="1:19" ht="12.75">
      <c r="A52" s="6"/>
      <c r="B52" s="7"/>
      <c r="C52" s="7"/>
      <c r="D52" s="7"/>
      <c r="E52" s="7"/>
      <c r="F52" s="7"/>
      <c r="G52" s="7"/>
      <c r="H52" s="7"/>
      <c r="I52" s="7"/>
      <c r="J52" s="7"/>
      <c r="K52" s="7"/>
      <c r="L52" s="7"/>
      <c r="M52" s="7"/>
      <c r="N52" s="7"/>
      <c r="O52" s="7"/>
      <c r="P52" s="7"/>
      <c r="Q52" s="342"/>
      <c r="R52" s="343"/>
      <c r="S52" s="343"/>
    </row>
  </sheetData>
  <mergeCells count="11">
    <mergeCell ref="Q40:Q52"/>
    <mergeCell ref="R40:R52"/>
    <mergeCell ref="S40:S52"/>
    <mergeCell ref="C1:P1"/>
    <mergeCell ref="C2:P2"/>
    <mergeCell ref="D5:E5"/>
    <mergeCell ref="F5:G5"/>
    <mergeCell ref="H5:I5"/>
    <mergeCell ref="J5:K5"/>
    <mergeCell ref="L5:M5"/>
    <mergeCell ref="N5:O5"/>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subject>
  <dc:creator/>
  <cp:keywords> </cp:keywords>
  <dc:description> </dc:description>
  <cp:lastModifiedBy/>
  <cp:lastPrinted>1970-01-01T06:00:00Z</cp:lastPrinted>
  <dcterms:created xsi:type="dcterms:W3CDTF">1970-01-01T06:00:00Z</dcterms:created>
  <dcterms:modified xsi:type="dcterms:W3CDTF">2007-10-11T20:09:22Z</dcterms:modified>
  <cp:category>::ODMA\GRPWISE\ASPOSUPT.PUPSC.PUPSCDocs:54928.1</cp:category>
  <cp:version/>
  <cp:contentType/>
  <cp:contentStatus/>
</cp:coreProperties>
</file>