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045" windowHeight="7020" activeTab="0"/>
  </bookViews>
  <sheets>
    <sheet name="QGC Exhibit 5.21U" sheetId="1" r:id="rId1"/>
  </sheets>
  <definedNames>
    <definedName name="Mainlog">#REF!</definedName>
    <definedName name="_xlnm.Print_Area" localSheetId="0">'QGC Exhibit 5.21U'!$A$1:$AA$77</definedName>
  </definedNames>
  <calcPr fullCalcOnLoad="1"/>
</workbook>
</file>

<file path=xl/sharedStrings.xml><?xml version="1.0" encoding="utf-8"?>
<sst xmlns="http://schemas.openxmlformats.org/spreadsheetml/2006/main" count="146" uniqueCount="54">
  <si>
    <t>Questar Gas Company</t>
  </si>
  <si>
    <t>Docket No. 07-057-13</t>
  </si>
  <si>
    <t>Page 1 of 3</t>
  </si>
  <si>
    <t>Page 2 of 3</t>
  </si>
  <si>
    <t>Page 3 of 3</t>
  </si>
  <si>
    <t>Capital Structure &amp; Cost of Capital</t>
  </si>
  <si>
    <t>(Dollars in Thousands)</t>
  </si>
  <si>
    <t>2006 Actual</t>
  </si>
  <si>
    <t>2007 Actual</t>
  </si>
  <si>
    <t>2008 Forecast</t>
  </si>
  <si>
    <t>Capital</t>
  </si>
  <si>
    <t xml:space="preserve">Line </t>
  </si>
  <si>
    <t>Structure @</t>
  </si>
  <si>
    <t>%</t>
  </si>
  <si>
    <t>Weigthed</t>
  </si>
  <si>
    <t>No.</t>
  </si>
  <si>
    <t>Cost</t>
  </si>
  <si>
    <t>Long-term debt</t>
  </si>
  <si>
    <t>Principal balance</t>
  </si>
  <si>
    <t>Unamortized debt expense</t>
  </si>
  <si>
    <t>Unamortized loss on reaquired debt</t>
  </si>
  <si>
    <t>Total long-term debt</t>
  </si>
  <si>
    <t>Common equity</t>
  </si>
  <si>
    <t>Common stock</t>
  </si>
  <si>
    <t>Premium on common stock</t>
  </si>
  <si>
    <t>Retained earnings</t>
  </si>
  <si>
    <t>Total common equity</t>
  </si>
  <si>
    <t>Total cost of capital</t>
  </si>
  <si>
    <t>Cost of Debt</t>
  </si>
  <si>
    <t>Interest cost</t>
  </si>
  <si>
    <t>Amortization of debt discount &amp; expense</t>
  </si>
  <si>
    <t>Cost of debt</t>
  </si>
  <si>
    <t>Principal</t>
  </si>
  <si>
    <t>Maturity</t>
  </si>
  <si>
    <t>Rate</t>
  </si>
  <si>
    <t>Medium term notes</t>
  </si>
  <si>
    <t>Term loan</t>
  </si>
  <si>
    <t>New loan</t>
  </si>
  <si>
    <t>Short-term debt balance</t>
  </si>
  <si>
    <t>Forecast Assumptions:</t>
  </si>
  <si>
    <t>Equity contribution from Questar in March 2008</t>
  </si>
  <si>
    <t>30-year</t>
  </si>
  <si>
    <t>Underwriter fee</t>
  </si>
  <si>
    <t>Discount</t>
  </si>
  <si>
    <t>Cost of new loans:</t>
  </si>
  <si>
    <t>10-year</t>
  </si>
  <si>
    <t>Per year</t>
  </si>
  <si>
    <t>Expenses (est.)</t>
  </si>
  <si>
    <t>Debt discount &amp; expense @ 31-Dec-08</t>
  </si>
  <si>
    <t>Balance</t>
  </si>
  <si>
    <t>Amortization</t>
  </si>
  <si>
    <t>Prior</t>
  </si>
  <si>
    <t>Unamortized loss @ 31-Dec-08</t>
  </si>
  <si>
    <t>Exhibit QGC 5.21U2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</si>
</sst>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d\-mmm\-yyyy;@"/>
    <numFmt numFmtId="166" formatCode="_(* #,##0_);_(* \(#,##0\);_(* &quot;-&quot;??_);_(@_)"/>
    <numFmt numFmtId="167" formatCode="0.0%"/>
    <numFmt numFmtId="168" formatCode="[$-409]d\-mmm\-yy;@"/>
    <numFmt numFmtId="169" formatCode="0.000%"/>
    <numFmt numFmtId="170" formatCode="_(* #,##0.0_);_(* \(#,##0.0\);_(* &quot;-&quot;??_);_(@_)"/>
    <numFmt numFmtId="171" formatCode="0.0"/>
    <numFmt numFmtId="172" formatCode="[$-409]mmm\-yy;@"/>
    <numFmt numFmtId="173" formatCode="&quot;$&quot;#,##0.0_);[Red]\(&quot;$&quot;#,##0.0\)"/>
    <numFmt numFmtId="174" formatCode="&quot;$&quot;#,##0"/>
    <numFmt numFmtId="175" formatCode="yyyy"/>
    <numFmt numFmtId="176" formatCode="[$-409]dddd\,\ mmmm\ dd\,\ yyyy"/>
    <numFmt numFmtId="177" formatCode="0.0000"/>
    <numFmt numFmtId="178" formatCode="0.000"/>
    <numFmt numFmtId="179" formatCode="#,##0.0000"/>
    <numFmt numFmtId="180" formatCode="&quot;$&quot;#,##0.0"/>
    <numFmt numFmtId="181" formatCode="#,##0.0_);\(#,##0.0\)"/>
    <numFmt numFmtId="182" formatCode="_(* #,##0.000_);_(* \(#,##0.000\);_(* &quot;-&quot;??_);_(@_)"/>
    <numFmt numFmtId="183" formatCode="0.00000000"/>
    <numFmt numFmtId="184" formatCode="0.0000000"/>
    <numFmt numFmtId="185" formatCode="0.000000"/>
    <numFmt numFmtId="186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quotePrefix="1">
      <alignment horizontal="right"/>
      <protection/>
    </xf>
    <xf numFmtId="0" fontId="5" fillId="0" borderId="0" xfId="21" applyFont="1">
      <alignment/>
      <protection/>
    </xf>
    <xf numFmtId="0" fontId="0" fillId="0" borderId="1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168" fontId="0" fillId="0" borderId="3" xfId="21" applyNumberFormat="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8" fillId="0" borderId="0" xfId="21" applyFont="1">
      <alignment/>
      <protection/>
    </xf>
    <xf numFmtId="166" fontId="0" fillId="0" borderId="0" xfId="15" applyNumberFormat="1" applyAlignment="1">
      <alignment/>
    </xf>
    <xf numFmtId="166" fontId="0" fillId="0" borderId="4" xfId="15" applyNumberFormat="1" applyBorder="1" applyAlignment="1">
      <alignment/>
    </xf>
    <xf numFmtId="10" fontId="0" fillId="0" borderId="0" xfId="22" applyNumberFormat="1" applyAlignment="1">
      <alignment/>
    </xf>
    <xf numFmtId="10" fontId="0" fillId="0" borderId="4" xfId="22" applyNumberFormat="1" applyBorder="1" applyAlignment="1">
      <alignment/>
    </xf>
    <xf numFmtId="10" fontId="0" fillId="0" borderId="0" xfId="15" applyNumberFormat="1" applyAlignment="1">
      <alignment/>
    </xf>
    <xf numFmtId="10" fontId="0" fillId="0" borderId="5" xfId="22" applyNumberFormat="1" applyBorder="1" applyAlignment="1">
      <alignment/>
    </xf>
    <xf numFmtId="0" fontId="8" fillId="0" borderId="0" xfId="21" applyFont="1" applyBorder="1">
      <alignment/>
      <protection/>
    </xf>
    <xf numFmtId="0" fontId="0" fillId="0" borderId="0" xfId="21" applyBorder="1">
      <alignment/>
      <protection/>
    </xf>
    <xf numFmtId="166" fontId="0" fillId="0" borderId="6" xfId="15" applyNumberFormat="1" applyBorder="1" applyAlignment="1">
      <alignment horizontal="center"/>
    </xf>
    <xf numFmtId="168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7" xfId="15" applyNumberFormat="1" applyBorder="1" applyAlignment="1">
      <alignment/>
    </xf>
    <xf numFmtId="170" fontId="0" fillId="0" borderId="0" xfId="15" applyNumberFormat="1" applyAlignment="1">
      <alignment/>
    </xf>
    <xf numFmtId="5" fontId="0" fillId="0" borderId="0" xfId="21" applyNumberFormat="1">
      <alignment/>
      <protection/>
    </xf>
    <xf numFmtId="10" fontId="0" fillId="0" borderId="0" xfId="21" applyNumberFormat="1">
      <alignment/>
      <protection/>
    </xf>
    <xf numFmtId="0" fontId="0" fillId="0" borderId="0" xfId="21" applyFont="1">
      <alignment/>
      <protection/>
    </xf>
    <xf numFmtId="37" fontId="0" fillId="0" borderId="0" xfId="21" applyNumberFormat="1">
      <alignment/>
      <protection/>
    </xf>
    <xf numFmtId="168" fontId="0" fillId="0" borderId="0" xfId="21" applyNumberFormat="1">
      <alignment/>
      <protection/>
    </xf>
    <xf numFmtId="37" fontId="0" fillId="0" borderId="0" xfId="15" applyNumberFormat="1" applyAlignment="1">
      <alignment/>
    </xf>
    <xf numFmtId="37" fontId="0" fillId="0" borderId="4" xfId="21" applyNumberForma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GC Exhibit 5.2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workbookViewId="0" topLeftCell="A1">
      <selection activeCell="J3" sqref="J3"/>
    </sheetView>
  </sheetViews>
  <sheetFormatPr defaultColWidth="11.57421875" defaultRowHeight="12.75"/>
  <cols>
    <col min="1" max="1" width="5.00390625" style="1" bestFit="1" customWidth="1"/>
    <col min="2" max="2" width="19.7109375" style="2" customWidth="1"/>
    <col min="3" max="3" width="17.57421875" style="2" customWidth="1"/>
    <col min="4" max="4" width="9.140625" style="2" customWidth="1"/>
    <col min="5" max="5" width="11.421875" style="2" customWidth="1"/>
    <col min="6" max="6" width="14.57421875" style="2" customWidth="1"/>
    <col min="7" max="8" width="11.421875" style="2" customWidth="1"/>
    <col min="9" max="9" width="22.140625" style="2" bestFit="1" customWidth="1"/>
    <col min="10" max="10" width="9.7109375" style="1" customWidth="1"/>
    <col min="11" max="11" width="22.421875" style="2" customWidth="1"/>
    <col min="12" max="12" width="17.28125" style="2" customWidth="1"/>
    <col min="13" max="13" width="9.7109375" style="2" customWidth="1"/>
    <col min="14" max="17" width="11.57421875" style="2" customWidth="1"/>
    <col min="18" max="18" width="29.421875" style="2" customWidth="1"/>
    <col min="19" max="19" width="8.57421875" style="1" customWidth="1"/>
    <col min="20" max="21" width="17.28125" style="2" customWidth="1"/>
    <col min="22" max="22" width="9.421875" style="2" customWidth="1"/>
    <col min="23" max="23" width="18.421875" style="2" customWidth="1"/>
    <col min="24" max="26" width="11.57421875" style="2" customWidth="1"/>
    <col min="27" max="27" width="17.28125" style="2" customWidth="1"/>
    <col min="28" max="16384" width="11.57421875" style="2" customWidth="1"/>
  </cols>
  <sheetData>
    <row r="1" spans="9:27" ht="15.75">
      <c r="I1" s="3" t="s">
        <v>0</v>
      </c>
      <c r="R1" s="3" t="s">
        <v>0</v>
      </c>
      <c r="AA1" s="3" t="s">
        <v>0</v>
      </c>
    </row>
    <row r="2" spans="9:27" ht="15.75">
      <c r="I2" s="3" t="s">
        <v>1</v>
      </c>
      <c r="R2" s="3" t="s">
        <v>1</v>
      </c>
      <c r="AA2" s="3" t="s">
        <v>1</v>
      </c>
    </row>
    <row r="3" spans="9:27" ht="15.75">
      <c r="I3" s="4" t="s">
        <v>53</v>
      </c>
      <c r="R3" s="4" t="str">
        <f>+I3</f>
        <v>Exhibit QGC 5.21U2</v>
      </c>
      <c r="AA3" s="4" t="str">
        <f>+R3</f>
        <v>Exhibit QGC 5.21U2</v>
      </c>
    </row>
    <row r="4" spans="2:27" ht="15.75">
      <c r="B4" s="5"/>
      <c r="I4" s="4" t="s">
        <v>2</v>
      </c>
      <c r="K4" s="5"/>
      <c r="R4" s="4" t="s">
        <v>3</v>
      </c>
      <c r="T4" s="5"/>
      <c r="AA4" s="4" t="s">
        <v>4</v>
      </c>
    </row>
    <row r="5" spans="2:26" ht="26.25">
      <c r="B5" s="36" t="s">
        <v>5</v>
      </c>
      <c r="C5" s="36"/>
      <c r="D5" s="36"/>
      <c r="E5" s="36"/>
      <c r="F5" s="36"/>
      <c r="G5" s="36"/>
      <c r="H5" s="36"/>
      <c r="K5" s="36" t="s">
        <v>5</v>
      </c>
      <c r="L5" s="36"/>
      <c r="M5" s="36"/>
      <c r="N5" s="36"/>
      <c r="O5" s="36"/>
      <c r="P5" s="36"/>
      <c r="Q5" s="36"/>
      <c r="T5" s="36" t="s">
        <v>5</v>
      </c>
      <c r="U5" s="36"/>
      <c r="V5" s="36"/>
      <c r="W5" s="36"/>
      <c r="X5" s="36"/>
      <c r="Y5" s="36"/>
      <c r="Z5" s="36"/>
    </row>
    <row r="6" spans="2:26" ht="15.75">
      <c r="B6" s="37" t="s">
        <v>6</v>
      </c>
      <c r="C6" s="37"/>
      <c r="D6" s="37"/>
      <c r="E6" s="37"/>
      <c r="F6" s="37"/>
      <c r="G6" s="37"/>
      <c r="H6" s="37"/>
      <c r="K6" s="37" t="s">
        <v>6</v>
      </c>
      <c r="L6" s="37"/>
      <c r="M6" s="37"/>
      <c r="N6" s="37"/>
      <c r="O6" s="37"/>
      <c r="P6" s="37"/>
      <c r="Q6" s="37"/>
      <c r="T6" s="37" t="s">
        <v>6</v>
      </c>
      <c r="U6" s="37"/>
      <c r="V6" s="37"/>
      <c r="W6" s="37"/>
      <c r="X6" s="37"/>
      <c r="Y6" s="37"/>
      <c r="Z6" s="37"/>
    </row>
    <row r="7" spans="5:26" ht="12.75">
      <c r="E7" s="32" t="s">
        <v>7</v>
      </c>
      <c r="F7" s="33"/>
      <c r="G7" s="33"/>
      <c r="H7" s="34"/>
      <c r="N7" s="35" t="s">
        <v>8</v>
      </c>
      <c r="O7" s="33"/>
      <c r="P7" s="33"/>
      <c r="Q7" s="34"/>
      <c r="W7" s="32" t="s">
        <v>9</v>
      </c>
      <c r="X7" s="33"/>
      <c r="Y7" s="33"/>
      <c r="Z7" s="34"/>
    </row>
    <row r="8" spans="5:26" ht="12.75">
      <c r="E8" s="6" t="s">
        <v>10</v>
      </c>
      <c r="F8" s="6"/>
      <c r="G8" s="6"/>
      <c r="H8" s="6"/>
      <c r="N8" s="6" t="s">
        <v>10</v>
      </c>
      <c r="O8" s="6"/>
      <c r="P8" s="6"/>
      <c r="Q8" s="6"/>
      <c r="W8" s="6" t="s">
        <v>10</v>
      </c>
      <c r="X8" s="6"/>
      <c r="Y8" s="6"/>
      <c r="Z8" s="6"/>
    </row>
    <row r="9" spans="1:26" ht="12.75">
      <c r="A9" s="1" t="s">
        <v>11</v>
      </c>
      <c r="E9" s="7" t="s">
        <v>12</v>
      </c>
      <c r="F9" s="7" t="s">
        <v>13</v>
      </c>
      <c r="G9" s="7"/>
      <c r="H9" s="7" t="s">
        <v>14</v>
      </c>
      <c r="J9" s="1" t="s">
        <v>11</v>
      </c>
      <c r="N9" s="7" t="s">
        <v>12</v>
      </c>
      <c r="O9" s="7" t="s">
        <v>13</v>
      </c>
      <c r="P9" s="7"/>
      <c r="Q9" s="7" t="s">
        <v>14</v>
      </c>
      <c r="S9" s="1" t="s">
        <v>11</v>
      </c>
      <c r="W9" s="7" t="s">
        <v>12</v>
      </c>
      <c r="X9" s="7" t="s">
        <v>13</v>
      </c>
      <c r="Y9" s="7"/>
      <c r="Z9" s="7" t="s">
        <v>14</v>
      </c>
    </row>
    <row r="10" spans="1:26" ht="12.75">
      <c r="A10" s="1" t="s">
        <v>15</v>
      </c>
      <c r="E10" s="8">
        <v>39082</v>
      </c>
      <c r="F10" s="9" t="s">
        <v>10</v>
      </c>
      <c r="G10" s="9" t="s">
        <v>16</v>
      </c>
      <c r="H10" s="9" t="s">
        <v>16</v>
      </c>
      <c r="J10" s="1" t="s">
        <v>15</v>
      </c>
      <c r="N10" s="8">
        <v>39447</v>
      </c>
      <c r="O10" s="9" t="s">
        <v>10</v>
      </c>
      <c r="P10" s="9" t="s">
        <v>16</v>
      </c>
      <c r="Q10" s="9" t="s">
        <v>16</v>
      </c>
      <c r="S10" s="1" t="s">
        <v>15</v>
      </c>
      <c r="W10" s="8">
        <v>39813</v>
      </c>
      <c r="X10" s="9" t="s">
        <v>10</v>
      </c>
      <c r="Y10" s="9" t="s">
        <v>16</v>
      </c>
      <c r="Z10" s="9" t="s">
        <v>16</v>
      </c>
    </row>
    <row r="11" spans="2:20" ht="12.75">
      <c r="B11" s="10" t="s">
        <v>17</v>
      </c>
      <c r="K11" s="10" t="s">
        <v>17</v>
      </c>
      <c r="T11" s="10" t="s">
        <v>17</v>
      </c>
    </row>
    <row r="12" spans="1:26" ht="12.75">
      <c r="A12" s="1">
        <f>+A11+1</f>
        <v>1</v>
      </c>
      <c r="B12" s="2" t="s">
        <v>18</v>
      </c>
      <c r="E12" s="11">
        <f>E57</f>
        <v>323000</v>
      </c>
      <c r="F12" s="11"/>
      <c r="G12" s="11"/>
      <c r="H12" s="11"/>
      <c r="J12" s="1">
        <f>+J11+1</f>
        <v>1</v>
      </c>
      <c r="K12" s="2" t="s">
        <v>18</v>
      </c>
      <c r="N12" s="11">
        <f>N57</f>
        <v>313000</v>
      </c>
      <c r="O12" s="11"/>
      <c r="P12" s="11"/>
      <c r="Q12" s="11"/>
      <c r="S12" s="1">
        <f>+S11+1</f>
        <v>1</v>
      </c>
      <c r="T12" s="2" t="s">
        <v>18</v>
      </c>
      <c r="W12" s="11">
        <f>W58</f>
        <v>370000</v>
      </c>
      <c r="X12" s="11"/>
      <c r="Y12" s="11"/>
      <c r="Z12" s="11"/>
    </row>
    <row r="13" spans="1:26" ht="12.75">
      <c r="A13" s="1">
        <f>+A12+1</f>
        <v>2</v>
      </c>
      <c r="B13" s="2" t="s">
        <v>19</v>
      </c>
      <c r="E13" s="11">
        <v>-2186</v>
      </c>
      <c r="F13" s="11"/>
      <c r="G13" s="11"/>
      <c r="H13" s="11"/>
      <c r="J13" s="1">
        <f>+J12+1</f>
        <v>2</v>
      </c>
      <c r="K13" s="2" t="s">
        <v>19</v>
      </c>
      <c r="N13" s="11">
        <v>-1921</v>
      </c>
      <c r="O13" s="11"/>
      <c r="P13" s="11"/>
      <c r="Q13" s="11"/>
      <c r="S13" s="1">
        <f>+S12+1</f>
        <v>2</v>
      </c>
      <c r="T13" s="2" t="s">
        <v>19</v>
      </c>
      <c r="W13" s="11">
        <f>-Y72</f>
        <v>-3291</v>
      </c>
      <c r="X13" s="11"/>
      <c r="Y13" s="11"/>
      <c r="Z13" s="11"/>
    </row>
    <row r="14" spans="1:26" ht="12.75">
      <c r="A14" s="1">
        <f>+A13+1</f>
        <v>3</v>
      </c>
      <c r="B14" s="2" t="s">
        <v>20</v>
      </c>
      <c r="E14" s="12">
        <v>-8757</v>
      </c>
      <c r="F14" s="11"/>
      <c r="G14" s="11"/>
      <c r="H14" s="11"/>
      <c r="J14" s="1">
        <f>+J13+1</f>
        <v>3</v>
      </c>
      <c r="K14" s="2" t="s">
        <v>20</v>
      </c>
      <c r="N14" s="12">
        <v>-8009</v>
      </c>
      <c r="O14" s="11"/>
      <c r="P14" s="11"/>
      <c r="Q14" s="11"/>
      <c r="S14" s="1">
        <f>+S13+1</f>
        <v>3</v>
      </c>
      <c r="T14" s="2" t="s">
        <v>20</v>
      </c>
      <c r="W14" s="12">
        <f>-Y74</f>
        <v>-7460</v>
      </c>
      <c r="X14" s="11"/>
      <c r="Y14" s="11"/>
      <c r="Z14" s="11"/>
    </row>
    <row r="15" spans="1:26" ht="12.75">
      <c r="A15" s="1">
        <f>+A14+1</f>
        <v>4</v>
      </c>
      <c r="C15" s="2" t="s">
        <v>21</v>
      </c>
      <c r="E15" s="11">
        <f>SUM(E12:E14)</f>
        <v>312057</v>
      </c>
      <c r="F15" s="13">
        <f>E15/(E15+E20)</f>
        <v>0.4863610009725443</v>
      </c>
      <c r="G15" s="13">
        <f>E27</f>
        <v>0.066451321393207</v>
      </c>
      <c r="H15" s="13">
        <f>F15*G15</f>
        <v>0.032319331188748406</v>
      </c>
      <c r="J15" s="1">
        <f>+J14+1</f>
        <v>4</v>
      </c>
      <c r="L15" s="2" t="s">
        <v>21</v>
      </c>
      <c r="N15" s="11">
        <f>SUM(N12:N14)</f>
        <v>303070</v>
      </c>
      <c r="O15" s="13">
        <f>N15/(N15+N20)</f>
        <v>0.47101590049717224</v>
      </c>
      <c r="P15" s="13">
        <f>N27</f>
        <v>0.06597023789883524</v>
      </c>
      <c r="Q15" s="13">
        <f>O15*P15</f>
        <v>0.031073031009932563</v>
      </c>
      <c r="S15" s="1">
        <f>+S14+1</f>
        <v>4</v>
      </c>
      <c r="U15" s="2" t="s">
        <v>21</v>
      </c>
      <c r="W15" s="11">
        <f>SUM(W12:W14)</f>
        <v>359249</v>
      </c>
      <c r="X15" s="13">
        <f>W15/(W15+W20)</f>
        <v>0.4862167158862365</v>
      </c>
      <c r="Y15" s="13">
        <f>W27</f>
        <v>0.06724101296500941</v>
      </c>
      <c r="Z15" s="13">
        <f>X15*Y15</f>
        <v>0.032693704496710725</v>
      </c>
    </row>
    <row r="16" spans="2:26" ht="12.75">
      <c r="B16" s="10" t="s">
        <v>22</v>
      </c>
      <c r="E16" s="11"/>
      <c r="F16" s="13"/>
      <c r="G16" s="13"/>
      <c r="H16" s="13"/>
      <c r="K16" s="10" t="s">
        <v>22</v>
      </c>
      <c r="N16" s="11"/>
      <c r="O16" s="13"/>
      <c r="P16" s="13"/>
      <c r="Q16" s="13"/>
      <c r="T16" s="10" t="s">
        <v>22</v>
      </c>
      <c r="W16" s="11"/>
      <c r="X16" s="13"/>
      <c r="Y16" s="13"/>
      <c r="Z16" s="13"/>
    </row>
    <row r="17" spans="1:26" ht="12.75">
      <c r="A17" s="1">
        <f>+A15+1</f>
        <v>5</v>
      </c>
      <c r="B17" s="2" t="s">
        <v>23</v>
      </c>
      <c r="E17" s="11">
        <v>22974</v>
      </c>
      <c r="F17" s="13"/>
      <c r="G17" s="13"/>
      <c r="H17" s="13"/>
      <c r="J17" s="1">
        <f>+J15+1</f>
        <v>5</v>
      </c>
      <c r="K17" s="2" t="s">
        <v>23</v>
      </c>
      <c r="N17" s="11">
        <v>22974</v>
      </c>
      <c r="O17" s="13"/>
      <c r="P17" s="13"/>
      <c r="Q17" s="13"/>
      <c r="S17" s="1">
        <f>+S15+1</f>
        <v>5</v>
      </c>
      <c r="T17" s="2" t="s">
        <v>23</v>
      </c>
      <c r="W17" s="11">
        <v>22974</v>
      </c>
      <c r="X17" s="13"/>
      <c r="Y17" s="13"/>
      <c r="Z17" s="13"/>
    </row>
    <row r="18" spans="1:26" ht="12.75">
      <c r="A18" s="1">
        <f>+A17+1</f>
        <v>6</v>
      </c>
      <c r="B18" s="2" t="s">
        <v>24</v>
      </c>
      <c r="E18" s="11">
        <v>115959</v>
      </c>
      <c r="F18" s="13"/>
      <c r="G18" s="13"/>
      <c r="H18" s="13"/>
      <c r="J18" s="1">
        <f>+J17+1</f>
        <v>6</v>
      </c>
      <c r="K18" s="2" t="s">
        <v>24</v>
      </c>
      <c r="N18" s="11">
        <v>116342</v>
      </c>
      <c r="O18" s="13"/>
      <c r="P18" s="13"/>
      <c r="Q18" s="13"/>
      <c r="S18" s="1">
        <f>+S17+1</f>
        <v>6</v>
      </c>
      <c r="T18" s="2" t="s">
        <v>24</v>
      </c>
      <c r="W18" s="11">
        <f>116342+30000</f>
        <v>146342</v>
      </c>
      <c r="X18" s="13"/>
      <c r="Y18" s="13"/>
      <c r="Z18" s="13"/>
    </row>
    <row r="19" spans="1:26" ht="12.75">
      <c r="A19" s="1">
        <f>+A18+1</f>
        <v>7</v>
      </c>
      <c r="B19" s="2" t="s">
        <v>25</v>
      </c>
      <c r="E19" s="12">
        <v>190626</v>
      </c>
      <c r="F19" s="13"/>
      <c r="G19" s="13"/>
      <c r="H19" s="13"/>
      <c r="J19" s="1">
        <f>+J18+1</f>
        <v>7</v>
      </c>
      <c r="K19" s="2" t="s">
        <v>25</v>
      </c>
      <c r="N19" s="12">
        <v>201053</v>
      </c>
      <c r="O19" s="13"/>
      <c r="P19" s="13"/>
      <c r="Q19" s="13"/>
      <c r="S19" s="1">
        <f>+S18+1</f>
        <v>7</v>
      </c>
      <c r="T19" s="2" t="s">
        <v>25</v>
      </c>
      <c r="W19" s="12">
        <f>N19+36748-27500</f>
        <v>210301</v>
      </c>
      <c r="X19" s="13"/>
      <c r="Y19" s="13"/>
      <c r="Z19" s="13"/>
    </row>
    <row r="20" spans="1:26" ht="12.75">
      <c r="A20" s="1">
        <f>+A19+1</f>
        <v>8</v>
      </c>
      <c r="C20" s="2" t="s">
        <v>26</v>
      </c>
      <c r="E20" s="11">
        <f>SUM(E17:E19)</f>
        <v>329559</v>
      </c>
      <c r="F20" s="13">
        <f>E20/(E15+E20)</f>
        <v>0.5136389990274557</v>
      </c>
      <c r="G20" s="13">
        <v>0.112</v>
      </c>
      <c r="H20" s="14">
        <f>F20*G20</f>
        <v>0.05752756789107504</v>
      </c>
      <c r="J20" s="1">
        <f>+J19+1</f>
        <v>8</v>
      </c>
      <c r="L20" s="2" t="s">
        <v>26</v>
      </c>
      <c r="N20" s="11">
        <f>SUM(N17:N19)</f>
        <v>340369</v>
      </c>
      <c r="O20" s="13">
        <f>N20/(N15+N20)</f>
        <v>0.5289840995028278</v>
      </c>
      <c r="P20" s="13">
        <v>0.112</v>
      </c>
      <c r="Q20" s="14">
        <f>O20*P20</f>
        <v>0.059246219144316714</v>
      </c>
      <c r="S20" s="1">
        <f>+S19+1</f>
        <v>8</v>
      </c>
      <c r="U20" s="2" t="s">
        <v>26</v>
      </c>
      <c r="W20" s="11">
        <f>SUM(W17:W19)</f>
        <v>379617</v>
      </c>
      <c r="X20" s="13">
        <f>W20/(W15+W20)</f>
        <v>0.5137832841137635</v>
      </c>
      <c r="Y20" s="13">
        <v>0.1125</v>
      </c>
      <c r="Z20" s="14">
        <f>X20*Y20</f>
        <v>0.057800619462798394</v>
      </c>
    </row>
    <row r="21" spans="1:26" ht="13.5" thickBot="1">
      <c r="A21" s="1">
        <f>+A20+1</f>
        <v>9</v>
      </c>
      <c r="C21" s="2" t="s">
        <v>27</v>
      </c>
      <c r="E21" s="11"/>
      <c r="F21" s="15"/>
      <c r="G21" s="15"/>
      <c r="H21" s="16">
        <f>H15+H20</f>
        <v>0.08984689907982345</v>
      </c>
      <c r="J21" s="1">
        <f>+J20+1</f>
        <v>9</v>
      </c>
      <c r="L21" s="2" t="s">
        <v>27</v>
      </c>
      <c r="N21" s="11"/>
      <c r="O21" s="15"/>
      <c r="P21" s="15"/>
      <c r="Q21" s="16">
        <f>Q15+Q20</f>
        <v>0.09031925015424927</v>
      </c>
      <c r="S21" s="1">
        <f>+S20+1</f>
        <v>9</v>
      </c>
      <c r="U21" s="2" t="s">
        <v>27</v>
      </c>
      <c r="W21" s="11"/>
      <c r="X21" s="15"/>
      <c r="Y21" s="15"/>
      <c r="Z21" s="16">
        <f>Z15+Z20</f>
        <v>0.09049432395950913</v>
      </c>
    </row>
    <row r="22" spans="2:26" ht="13.5" thickTop="1">
      <c r="B22" s="17" t="s">
        <v>28</v>
      </c>
      <c r="C22" s="18"/>
      <c r="D22" s="18"/>
      <c r="E22" s="11"/>
      <c r="F22" s="11"/>
      <c r="G22" s="11"/>
      <c r="H22" s="11"/>
      <c r="K22" s="17" t="s">
        <v>28</v>
      </c>
      <c r="L22" s="18"/>
      <c r="M22" s="18"/>
      <c r="N22" s="11"/>
      <c r="O22" s="11"/>
      <c r="P22" s="11"/>
      <c r="Q22" s="11"/>
      <c r="T22" s="17" t="s">
        <v>28</v>
      </c>
      <c r="U22" s="18"/>
      <c r="V22" s="18"/>
      <c r="W22" s="11"/>
      <c r="X22" s="11"/>
      <c r="Y22" s="11"/>
      <c r="Z22" s="11"/>
    </row>
    <row r="23" spans="1:26" ht="12.75">
      <c r="A23" s="1">
        <f>+A21+1</f>
        <v>10</v>
      </c>
      <c r="B23" s="2" t="s">
        <v>29</v>
      </c>
      <c r="E23" s="11">
        <f>E58</f>
        <v>19714.6</v>
      </c>
      <c r="F23" s="11"/>
      <c r="G23" s="11"/>
      <c r="H23" s="11"/>
      <c r="J23" s="1">
        <f>+J21+1</f>
        <v>10</v>
      </c>
      <c r="K23" s="2" t="s">
        <v>29</v>
      </c>
      <c r="N23" s="11">
        <f>N58</f>
        <v>18971.6</v>
      </c>
      <c r="O23" s="11"/>
      <c r="P23" s="11"/>
      <c r="Q23" s="11"/>
      <c r="S23" s="1">
        <f>+S21+1</f>
        <v>10</v>
      </c>
      <c r="T23" s="2" t="s">
        <v>29</v>
      </c>
      <c r="W23" s="11">
        <f>W59</f>
        <v>23289.3</v>
      </c>
      <c r="X23" s="11"/>
      <c r="Y23" s="11"/>
      <c r="Z23" s="11"/>
    </row>
    <row r="24" spans="1:26" ht="12.75">
      <c r="A24" s="1">
        <f>+A23+1</f>
        <v>11</v>
      </c>
      <c r="B24" s="2" t="s">
        <v>30</v>
      </c>
      <c r="E24" s="12">
        <v>1022</v>
      </c>
      <c r="F24" s="11"/>
      <c r="G24" s="11"/>
      <c r="H24" s="11"/>
      <c r="J24" s="1">
        <f>+J23+1</f>
        <v>11</v>
      </c>
      <c r="K24" s="2" t="s">
        <v>30</v>
      </c>
      <c r="N24" s="12">
        <v>1022</v>
      </c>
      <c r="O24" s="11"/>
      <c r="P24" s="11"/>
      <c r="Q24" s="11"/>
      <c r="S24" s="1">
        <f>+S23+1</f>
        <v>11</v>
      </c>
      <c r="T24" s="2" t="s">
        <v>30</v>
      </c>
      <c r="W24" s="12">
        <f>Z72+Z74</f>
        <v>866.9666666666667</v>
      </c>
      <c r="X24" s="11"/>
      <c r="Y24" s="11"/>
      <c r="Z24" s="11"/>
    </row>
    <row r="25" spans="1:26" ht="12.75">
      <c r="A25" s="1">
        <f>+A24+1</f>
        <v>12</v>
      </c>
      <c r="E25" s="11">
        <f>SUM(E23:E24)</f>
        <v>20736.6</v>
      </c>
      <c r="F25" s="11"/>
      <c r="G25" s="11"/>
      <c r="H25" s="11"/>
      <c r="J25" s="1">
        <f>+J24+1</f>
        <v>12</v>
      </c>
      <c r="N25" s="11">
        <f>SUM(N23:N24)</f>
        <v>19993.6</v>
      </c>
      <c r="O25" s="11"/>
      <c r="P25" s="11"/>
      <c r="Q25" s="11"/>
      <c r="S25" s="1">
        <f>+S24+1</f>
        <v>12</v>
      </c>
      <c r="W25" s="11">
        <f>SUM(W23:W24)</f>
        <v>24156.266666666666</v>
      </c>
      <c r="X25" s="11"/>
      <c r="Y25" s="11"/>
      <c r="Z25" s="11"/>
    </row>
    <row r="26" spans="1:26" ht="12.75">
      <c r="A26" s="1">
        <f>+A25+1</f>
        <v>13</v>
      </c>
      <c r="B26" s="2" t="s">
        <v>21</v>
      </c>
      <c r="E26" s="11">
        <f>E15</f>
        <v>312057</v>
      </c>
      <c r="F26" s="11"/>
      <c r="G26" s="11"/>
      <c r="H26" s="11"/>
      <c r="J26" s="1">
        <f>+J25+1</f>
        <v>13</v>
      </c>
      <c r="K26" s="2" t="s">
        <v>21</v>
      </c>
      <c r="N26" s="11">
        <f>N15</f>
        <v>303070</v>
      </c>
      <c r="O26" s="11"/>
      <c r="P26" s="11"/>
      <c r="Q26" s="11"/>
      <c r="S26" s="1">
        <f>+S25+1</f>
        <v>13</v>
      </c>
      <c r="T26" s="2" t="s">
        <v>21</v>
      </c>
      <c r="W26" s="11">
        <f>W15</f>
        <v>359249</v>
      </c>
      <c r="X26" s="11"/>
      <c r="Y26" s="11"/>
      <c r="Z26" s="11"/>
    </row>
    <row r="27" spans="1:26" ht="12.75">
      <c r="A27" s="1">
        <f>+A26+1</f>
        <v>14</v>
      </c>
      <c r="B27" s="2" t="s">
        <v>31</v>
      </c>
      <c r="E27" s="13">
        <f>E25/E26</f>
        <v>0.066451321393207</v>
      </c>
      <c r="F27" s="11"/>
      <c r="G27" s="11"/>
      <c r="H27" s="11"/>
      <c r="J27" s="1">
        <f>+J26+1</f>
        <v>14</v>
      </c>
      <c r="K27" s="2" t="s">
        <v>31</v>
      </c>
      <c r="N27" s="13">
        <f>N25/N26</f>
        <v>0.06597023789883524</v>
      </c>
      <c r="O27" s="11"/>
      <c r="P27" s="11"/>
      <c r="Q27" s="11"/>
      <c r="S27" s="1">
        <f>+S26+1</f>
        <v>14</v>
      </c>
      <c r="T27" s="2" t="s">
        <v>31</v>
      </c>
      <c r="W27" s="13">
        <f>W25/W26</f>
        <v>0.06724101296500941</v>
      </c>
      <c r="X27" s="11"/>
      <c r="Y27" s="11"/>
      <c r="Z27" s="11"/>
    </row>
    <row r="28" spans="5:26" ht="12.75">
      <c r="E28" s="11"/>
      <c r="F28" s="11"/>
      <c r="G28" s="11"/>
      <c r="H28" s="11"/>
      <c r="N28" s="11"/>
      <c r="O28" s="11"/>
      <c r="P28" s="11"/>
      <c r="Q28" s="11"/>
      <c r="W28" s="11"/>
      <c r="X28" s="11"/>
      <c r="Y28" s="11"/>
      <c r="Z28" s="11"/>
    </row>
    <row r="29" spans="5:26" ht="12.75">
      <c r="E29" s="19" t="s">
        <v>32</v>
      </c>
      <c r="F29" s="19" t="s">
        <v>33</v>
      </c>
      <c r="G29" s="19" t="s">
        <v>34</v>
      </c>
      <c r="H29" s="11"/>
      <c r="N29" s="19" t="s">
        <v>32</v>
      </c>
      <c r="O29" s="19" t="s">
        <v>33</v>
      </c>
      <c r="P29" s="19" t="s">
        <v>34</v>
      </c>
      <c r="Q29" s="11"/>
      <c r="W29" s="19" t="s">
        <v>32</v>
      </c>
      <c r="X29" s="19" t="s">
        <v>33</v>
      </c>
      <c r="Y29" s="19" t="s">
        <v>34</v>
      </c>
      <c r="Z29" s="11"/>
    </row>
    <row r="30" spans="2:26" ht="12.75">
      <c r="B30" s="10" t="s">
        <v>17</v>
      </c>
      <c r="E30" s="11"/>
      <c r="F30" s="11"/>
      <c r="G30" s="11"/>
      <c r="H30" s="11"/>
      <c r="K30" s="10" t="s">
        <v>17</v>
      </c>
      <c r="N30" s="11"/>
      <c r="O30" s="11"/>
      <c r="P30" s="11"/>
      <c r="Q30" s="11"/>
      <c r="T30" s="10" t="s">
        <v>17</v>
      </c>
      <c r="W30" s="11"/>
      <c r="X30" s="11"/>
      <c r="Y30" s="11"/>
      <c r="Z30" s="11"/>
    </row>
    <row r="31" spans="1:26" ht="12.75">
      <c r="A31" s="1">
        <f>+A27+1</f>
        <v>15</v>
      </c>
      <c r="B31" s="2" t="s">
        <v>35</v>
      </c>
      <c r="E31" s="11">
        <v>5000</v>
      </c>
      <c r="F31" s="20">
        <v>39356</v>
      </c>
      <c r="G31" s="13">
        <v>0.0758</v>
      </c>
      <c r="H31" s="11"/>
      <c r="J31" s="1">
        <f>+J27+1</f>
        <v>15</v>
      </c>
      <c r="K31" s="2" t="s">
        <v>35</v>
      </c>
      <c r="N31" s="11">
        <v>0</v>
      </c>
      <c r="O31" s="20">
        <v>39356</v>
      </c>
      <c r="P31" s="13">
        <v>0.0758</v>
      </c>
      <c r="Q31" s="11"/>
      <c r="S31" s="1">
        <f>+S27+1</f>
        <v>15</v>
      </c>
      <c r="T31" s="2" t="s">
        <v>35</v>
      </c>
      <c r="W31" s="11">
        <v>0</v>
      </c>
      <c r="X31" s="20">
        <v>39356</v>
      </c>
      <c r="Y31" s="13">
        <v>0.0758</v>
      </c>
      <c r="Z31" s="11"/>
    </row>
    <row r="32" spans="1:26" ht="12.75">
      <c r="A32" s="1">
        <f aca="true" t="shared" si="0" ref="A32:A58">+A31+1</f>
        <v>16</v>
      </c>
      <c r="E32" s="11">
        <v>5000</v>
      </c>
      <c r="F32" s="20">
        <v>39356</v>
      </c>
      <c r="G32" s="13">
        <v>0.0758</v>
      </c>
      <c r="H32" s="11"/>
      <c r="J32" s="1">
        <f aca="true" t="shared" si="1" ref="J32:J58">+J31+1</f>
        <v>16</v>
      </c>
      <c r="N32" s="11">
        <v>0</v>
      </c>
      <c r="O32" s="20">
        <v>39356</v>
      </c>
      <c r="P32" s="13">
        <v>0.0758</v>
      </c>
      <c r="Q32" s="11"/>
      <c r="S32" s="1">
        <f aca="true" t="shared" si="2" ref="S32:S56">+S31+1</f>
        <v>16</v>
      </c>
      <c r="W32" s="11">
        <v>0</v>
      </c>
      <c r="X32" s="20">
        <v>39356</v>
      </c>
      <c r="Y32" s="13">
        <v>0.0758</v>
      </c>
      <c r="Z32" s="11"/>
    </row>
    <row r="33" spans="1:26" ht="12.75">
      <c r="A33" s="1">
        <f t="shared" si="0"/>
        <v>17</v>
      </c>
      <c r="E33" s="11">
        <v>15000</v>
      </c>
      <c r="F33" s="20">
        <v>39469</v>
      </c>
      <c r="G33" s="13">
        <v>0.0758</v>
      </c>
      <c r="H33" s="11"/>
      <c r="J33" s="1">
        <f t="shared" si="1"/>
        <v>17</v>
      </c>
      <c r="N33" s="11">
        <v>15000</v>
      </c>
      <c r="O33" s="20">
        <v>39469</v>
      </c>
      <c r="P33" s="13">
        <v>0.0758</v>
      </c>
      <c r="Q33" s="11"/>
      <c r="S33" s="1">
        <f t="shared" si="2"/>
        <v>17</v>
      </c>
      <c r="W33" s="11">
        <v>0</v>
      </c>
      <c r="X33" s="20">
        <v>39469</v>
      </c>
      <c r="Y33" s="13">
        <v>0.0758</v>
      </c>
      <c r="Z33" s="11"/>
    </row>
    <row r="34" spans="1:26" ht="12.75">
      <c r="A34" s="1">
        <f t="shared" si="0"/>
        <v>18</v>
      </c>
      <c r="E34" s="11">
        <v>10000</v>
      </c>
      <c r="F34" s="20">
        <v>39469</v>
      </c>
      <c r="G34" s="13">
        <v>0.0758</v>
      </c>
      <c r="H34" s="11"/>
      <c r="J34" s="1">
        <f t="shared" si="1"/>
        <v>18</v>
      </c>
      <c r="N34" s="11">
        <v>10000</v>
      </c>
      <c r="O34" s="20">
        <v>39469</v>
      </c>
      <c r="P34" s="13">
        <v>0.0758</v>
      </c>
      <c r="Q34" s="11"/>
      <c r="S34" s="1">
        <f t="shared" si="2"/>
        <v>18</v>
      </c>
      <c r="W34" s="11">
        <v>0</v>
      </c>
      <c r="X34" s="20">
        <v>39469</v>
      </c>
      <c r="Y34" s="13">
        <v>0.0758</v>
      </c>
      <c r="Z34" s="11"/>
    </row>
    <row r="35" spans="1:26" ht="12.75">
      <c r="A35" s="1">
        <f t="shared" si="0"/>
        <v>19</v>
      </c>
      <c r="E35" s="11">
        <v>2000</v>
      </c>
      <c r="F35" s="20">
        <v>39475</v>
      </c>
      <c r="G35" s="13">
        <v>0.0738</v>
      </c>
      <c r="H35" s="11"/>
      <c r="J35" s="1">
        <f t="shared" si="1"/>
        <v>19</v>
      </c>
      <c r="N35" s="11">
        <v>2000</v>
      </c>
      <c r="O35" s="20">
        <v>39475</v>
      </c>
      <c r="P35" s="13">
        <v>0.0738</v>
      </c>
      <c r="Q35" s="11"/>
      <c r="S35" s="1">
        <f t="shared" si="2"/>
        <v>19</v>
      </c>
      <c r="W35" s="11">
        <v>0</v>
      </c>
      <c r="X35" s="20">
        <v>39475</v>
      </c>
      <c r="Y35" s="13">
        <v>0.0738</v>
      </c>
      <c r="Z35" s="11"/>
    </row>
    <row r="36" spans="1:26" ht="12.75">
      <c r="A36" s="1">
        <f t="shared" si="0"/>
        <v>20</v>
      </c>
      <c r="E36" s="11">
        <v>1000</v>
      </c>
      <c r="F36" s="20">
        <v>39475</v>
      </c>
      <c r="G36" s="13">
        <v>0.0737</v>
      </c>
      <c r="H36" s="11"/>
      <c r="J36" s="1">
        <f t="shared" si="1"/>
        <v>20</v>
      </c>
      <c r="N36" s="11">
        <v>1000</v>
      </c>
      <c r="O36" s="20">
        <v>39475</v>
      </c>
      <c r="P36" s="13">
        <v>0.0737</v>
      </c>
      <c r="Q36" s="11"/>
      <c r="S36" s="1">
        <f t="shared" si="2"/>
        <v>20</v>
      </c>
      <c r="W36" s="11">
        <v>0</v>
      </c>
      <c r="X36" s="20">
        <v>39475</v>
      </c>
      <c r="Y36" s="13">
        <v>0.0737</v>
      </c>
      <c r="Z36" s="11"/>
    </row>
    <row r="37" spans="1:26" ht="12.75">
      <c r="A37" s="1">
        <f t="shared" si="0"/>
        <v>21</v>
      </c>
      <c r="E37" s="11">
        <v>2000</v>
      </c>
      <c r="F37" s="20">
        <v>39475</v>
      </c>
      <c r="G37" s="13">
        <v>0.0742</v>
      </c>
      <c r="H37" s="11"/>
      <c r="J37" s="1">
        <f t="shared" si="1"/>
        <v>21</v>
      </c>
      <c r="N37" s="11">
        <v>2000</v>
      </c>
      <c r="O37" s="20">
        <v>39475</v>
      </c>
      <c r="P37" s="13">
        <v>0.0742</v>
      </c>
      <c r="Q37" s="11"/>
      <c r="S37" s="1">
        <f t="shared" si="2"/>
        <v>21</v>
      </c>
      <c r="W37" s="11">
        <v>0</v>
      </c>
      <c r="X37" s="20">
        <v>39475</v>
      </c>
      <c r="Y37" s="13">
        <v>0.0742</v>
      </c>
      <c r="Z37" s="11"/>
    </row>
    <row r="38" spans="1:26" ht="12.75">
      <c r="A38" s="1">
        <f t="shared" si="0"/>
        <v>22</v>
      </c>
      <c r="E38" s="11">
        <v>3000</v>
      </c>
      <c r="F38" s="20">
        <v>39475</v>
      </c>
      <c r="G38" s="13">
        <v>0.0741</v>
      </c>
      <c r="H38" s="11"/>
      <c r="J38" s="1">
        <f t="shared" si="1"/>
        <v>22</v>
      </c>
      <c r="N38" s="11">
        <v>3000</v>
      </c>
      <c r="O38" s="20">
        <v>39475</v>
      </c>
      <c r="P38" s="13">
        <v>0.0741</v>
      </c>
      <c r="Q38" s="11"/>
      <c r="S38" s="1">
        <f t="shared" si="2"/>
        <v>22</v>
      </c>
      <c r="W38" s="11">
        <v>0</v>
      </c>
      <c r="X38" s="20">
        <v>39475</v>
      </c>
      <c r="Y38" s="13">
        <v>0.0741</v>
      </c>
      <c r="Z38" s="11"/>
    </row>
    <row r="39" spans="1:26" ht="12.75">
      <c r="A39" s="1">
        <f t="shared" si="0"/>
        <v>23</v>
      </c>
      <c r="E39" s="11">
        <v>1000</v>
      </c>
      <c r="F39" s="20">
        <v>39479</v>
      </c>
      <c r="G39" s="13">
        <v>0.0728</v>
      </c>
      <c r="H39" s="11"/>
      <c r="J39" s="1">
        <f t="shared" si="1"/>
        <v>23</v>
      </c>
      <c r="N39" s="11">
        <v>1000</v>
      </c>
      <c r="O39" s="20">
        <v>39479</v>
      </c>
      <c r="P39" s="13">
        <v>0.0728</v>
      </c>
      <c r="Q39" s="11"/>
      <c r="S39" s="1">
        <f t="shared" si="2"/>
        <v>23</v>
      </c>
      <c r="W39" s="11">
        <v>0</v>
      </c>
      <c r="X39" s="20">
        <v>39479</v>
      </c>
      <c r="Y39" s="13">
        <v>0.0728</v>
      </c>
      <c r="Z39" s="11"/>
    </row>
    <row r="40" spans="1:26" ht="12.75">
      <c r="A40" s="1">
        <f t="shared" si="0"/>
        <v>24</v>
      </c>
      <c r="E40" s="11">
        <v>4000</v>
      </c>
      <c r="F40" s="20">
        <v>39500</v>
      </c>
      <c r="G40" s="13">
        <v>0.072</v>
      </c>
      <c r="H40" s="11"/>
      <c r="J40" s="1">
        <f t="shared" si="1"/>
        <v>24</v>
      </c>
      <c r="N40" s="11">
        <v>4000</v>
      </c>
      <c r="O40" s="20">
        <v>39500</v>
      </c>
      <c r="P40" s="13">
        <v>0.072</v>
      </c>
      <c r="Q40" s="11"/>
      <c r="S40" s="1">
        <f t="shared" si="2"/>
        <v>24</v>
      </c>
      <c r="W40" s="11">
        <v>0</v>
      </c>
      <c r="X40" s="20">
        <v>39500</v>
      </c>
      <c r="Y40" s="13">
        <v>0.072</v>
      </c>
      <c r="Z40" s="11"/>
    </row>
    <row r="41" spans="1:26" ht="12.75">
      <c r="A41" s="1">
        <f t="shared" si="0"/>
        <v>25</v>
      </c>
      <c r="E41" s="11">
        <v>5000</v>
      </c>
      <c r="F41" s="20">
        <v>39500</v>
      </c>
      <c r="G41" s="13">
        <v>0.0719</v>
      </c>
      <c r="H41" s="11"/>
      <c r="J41" s="1">
        <f t="shared" si="1"/>
        <v>25</v>
      </c>
      <c r="N41" s="11">
        <v>5000</v>
      </c>
      <c r="O41" s="20">
        <v>39500</v>
      </c>
      <c r="P41" s="13">
        <v>0.0719</v>
      </c>
      <c r="Q41" s="11"/>
      <c r="S41" s="1">
        <f t="shared" si="2"/>
        <v>25</v>
      </c>
      <c r="W41" s="11">
        <v>0</v>
      </c>
      <c r="X41" s="20">
        <v>39500</v>
      </c>
      <c r="Y41" s="13">
        <v>0.0719</v>
      </c>
      <c r="Z41" s="11"/>
    </row>
    <row r="42" spans="1:26" ht="12.75">
      <c r="A42" s="1">
        <f t="shared" si="0"/>
        <v>26</v>
      </c>
      <c r="E42" s="11">
        <v>5000</v>
      </c>
      <c r="F42" s="20">
        <v>41127</v>
      </c>
      <c r="G42" s="13">
        <v>0.069</v>
      </c>
      <c r="H42" s="11"/>
      <c r="J42" s="1">
        <f t="shared" si="1"/>
        <v>26</v>
      </c>
      <c r="N42" s="11">
        <v>5000</v>
      </c>
      <c r="O42" s="20">
        <v>41127</v>
      </c>
      <c r="P42" s="13">
        <v>0.069</v>
      </c>
      <c r="Q42" s="11"/>
      <c r="S42" s="1">
        <f t="shared" si="2"/>
        <v>26</v>
      </c>
      <c r="W42" s="11">
        <v>5000</v>
      </c>
      <c r="X42" s="20">
        <v>41127</v>
      </c>
      <c r="Y42" s="13">
        <v>0.069</v>
      </c>
      <c r="Z42" s="11"/>
    </row>
    <row r="43" spans="1:26" ht="12.75">
      <c r="A43" s="1">
        <f t="shared" si="0"/>
        <v>27</v>
      </c>
      <c r="E43" s="11">
        <v>8000</v>
      </c>
      <c r="F43" s="20">
        <v>41127</v>
      </c>
      <c r="G43" s="13">
        <v>0.0691</v>
      </c>
      <c r="H43" s="11"/>
      <c r="J43" s="1">
        <f t="shared" si="1"/>
        <v>27</v>
      </c>
      <c r="N43" s="11">
        <v>8000</v>
      </c>
      <c r="O43" s="20">
        <v>41127</v>
      </c>
      <c r="P43" s="13">
        <v>0.0691</v>
      </c>
      <c r="Q43" s="11"/>
      <c r="S43" s="1">
        <f t="shared" si="2"/>
        <v>27</v>
      </c>
      <c r="W43" s="11">
        <v>8000</v>
      </c>
      <c r="X43" s="20">
        <v>41127</v>
      </c>
      <c r="Y43" s="13">
        <v>0.0691</v>
      </c>
      <c r="Z43" s="11"/>
    </row>
    <row r="44" spans="1:26" ht="12.75">
      <c r="A44" s="1">
        <f t="shared" si="0"/>
        <v>28</v>
      </c>
      <c r="E44" s="11">
        <v>12000</v>
      </c>
      <c r="F44" s="20">
        <v>41127</v>
      </c>
      <c r="G44" s="13">
        <v>0.0691</v>
      </c>
      <c r="H44" s="11"/>
      <c r="J44" s="1">
        <f t="shared" si="1"/>
        <v>28</v>
      </c>
      <c r="N44" s="11">
        <v>12000</v>
      </c>
      <c r="O44" s="20">
        <v>41127</v>
      </c>
      <c r="P44" s="13">
        <v>0.0691</v>
      </c>
      <c r="Q44" s="11"/>
      <c r="S44" s="1">
        <f t="shared" si="2"/>
        <v>28</v>
      </c>
      <c r="W44" s="11">
        <v>12000</v>
      </c>
      <c r="X44" s="20">
        <v>41127</v>
      </c>
      <c r="Y44" s="13">
        <v>0.0691</v>
      </c>
      <c r="Z44" s="11"/>
    </row>
    <row r="45" spans="1:26" ht="12.75">
      <c r="A45" s="1">
        <f t="shared" si="0"/>
        <v>29</v>
      </c>
      <c r="E45" s="11">
        <v>2000</v>
      </c>
      <c r="F45" s="20">
        <v>40815</v>
      </c>
      <c r="G45" s="13">
        <v>0.0689</v>
      </c>
      <c r="H45" s="11"/>
      <c r="J45" s="1">
        <f t="shared" si="1"/>
        <v>29</v>
      </c>
      <c r="N45" s="11">
        <v>2000</v>
      </c>
      <c r="O45" s="20">
        <v>40815</v>
      </c>
      <c r="P45" s="13">
        <v>0.0689</v>
      </c>
      <c r="Q45" s="11"/>
      <c r="S45" s="1">
        <f t="shared" si="2"/>
        <v>29</v>
      </c>
      <c r="W45" s="11">
        <v>2000</v>
      </c>
      <c r="X45" s="20">
        <v>40815</v>
      </c>
      <c r="Y45" s="13">
        <v>0.0689</v>
      </c>
      <c r="Z45" s="11"/>
    </row>
    <row r="46" spans="1:26" ht="12.75">
      <c r="A46" s="1">
        <f t="shared" si="0"/>
        <v>30</v>
      </c>
      <c r="E46" s="11">
        <v>2000</v>
      </c>
      <c r="F46" s="20">
        <v>41183</v>
      </c>
      <c r="G46" s="13">
        <v>0.0689</v>
      </c>
      <c r="H46" s="11"/>
      <c r="J46" s="1">
        <f t="shared" si="1"/>
        <v>30</v>
      </c>
      <c r="N46" s="11">
        <v>2000</v>
      </c>
      <c r="O46" s="20">
        <v>41183</v>
      </c>
      <c r="P46" s="13">
        <v>0.0689</v>
      </c>
      <c r="Q46" s="11"/>
      <c r="S46" s="1">
        <f t="shared" si="2"/>
        <v>30</v>
      </c>
      <c r="W46" s="11">
        <v>2000</v>
      </c>
      <c r="X46" s="20">
        <v>41183</v>
      </c>
      <c r="Y46" s="13">
        <v>0.0689</v>
      </c>
      <c r="Z46" s="11"/>
    </row>
    <row r="47" spans="1:26" ht="12.75">
      <c r="A47" s="1">
        <f t="shared" si="0"/>
        <v>31</v>
      </c>
      <c r="E47" s="11">
        <v>1000</v>
      </c>
      <c r="F47" s="20">
        <v>41183</v>
      </c>
      <c r="G47" s="13">
        <v>0.0689</v>
      </c>
      <c r="H47" s="11"/>
      <c r="J47" s="1">
        <f t="shared" si="1"/>
        <v>31</v>
      </c>
      <c r="N47" s="11">
        <v>1000</v>
      </c>
      <c r="O47" s="20">
        <v>41183</v>
      </c>
      <c r="P47" s="13">
        <v>0.0689</v>
      </c>
      <c r="Q47" s="11"/>
      <c r="S47" s="1">
        <f t="shared" si="2"/>
        <v>31</v>
      </c>
      <c r="W47" s="11">
        <v>1000</v>
      </c>
      <c r="X47" s="20">
        <v>41183</v>
      </c>
      <c r="Y47" s="13">
        <v>0.0689</v>
      </c>
      <c r="Z47" s="11"/>
    </row>
    <row r="48" spans="1:26" ht="12.75">
      <c r="A48" s="1">
        <f t="shared" si="0"/>
        <v>32</v>
      </c>
      <c r="E48" s="11">
        <v>2000</v>
      </c>
      <c r="F48" s="20">
        <v>41547</v>
      </c>
      <c r="G48" s="13">
        <v>0.0689</v>
      </c>
      <c r="H48" s="11"/>
      <c r="J48" s="1">
        <f t="shared" si="1"/>
        <v>32</v>
      </c>
      <c r="N48" s="11">
        <v>2000</v>
      </c>
      <c r="O48" s="20">
        <v>41547</v>
      </c>
      <c r="P48" s="13">
        <v>0.0689</v>
      </c>
      <c r="Q48" s="11"/>
      <c r="S48" s="1">
        <f t="shared" si="2"/>
        <v>32</v>
      </c>
      <c r="W48" s="11">
        <v>2000</v>
      </c>
      <c r="X48" s="20">
        <v>41547</v>
      </c>
      <c r="Y48" s="13">
        <v>0.0689</v>
      </c>
      <c r="Z48" s="11"/>
    </row>
    <row r="49" spans="1:26" ht="12.75">
      <c r="A49" s="1">
        <f t="shared" si="0"/>
        <v>33</v>
      </c>
      <c r="E49" s="11">
        <v>3500</v>
      </c>
      <c r="F49" s="20">
        <v>41183</v>
      </c>
      <c r="G49" s="13">
        <v>0.0685</v>
      </c>
      <c r="H49" s="11"/>
      <c r="J49" s="1">
        <f t="shared" si="1"/>
        <v>33</v>
      </c>
      <c r="N49" s="11">
        <v>3500</v>
      </c>
      <c r="O49" s="20">
        <v>41183</v>
      </c>
      <c r="P49" s="13">
        <v>0.0685</v>
      </c>
      <c r="Q49" s="11"/>
      <c r="S49" s="1">
        <f t="shared" si="2"/>
        <v>33</v>
      </c>
      <c r="W49" s="11">
        <v>3500</v>
      </c>
      <c r="X49" s="20">
        <v>41183</v>
      </c>
      <c r="Y49" s="13">
        <v>0.0685</v>
      </c>
      <c r="Z49" s="11"/>
    </row>
    <row r="50" spans="1:26" ht="12.75">
      <c r="A50" s="1">
        <f t="shared" si="0"/>
        <v>34</v>
      </c>
      <c r="E50" s="11">
        <v>14500</v>
      </c>
      <c r="F50" s="20">
        <v>43018</v>
      </c>
      <c r="G50" s="13">
        <v>0.0685</v>
      </c>
      <c r="H50" s="11"/>
      <c r="J50" s="1">
        <f t="shared" si="1"/>
        <v>34</v>
      </c>
      <c r="N50" s="11">
        <v>14500</v>
      </c>
      <c r="O50" s="20">
        <v>43018</v>
      </c>
      <c r="P50" s="13">
        <v>0.0685</v>
      </c>
      <c r="Q50" s="11"/>
      <c r="S50" s="1">
        <f t="shared" si="2"/>
        <v>34</v>
      </c>
      <c r="W50" s="11">
        <v>14500</v>
      </c>
      <c r="X50" s="20">
        <v>43018</v>
      </c>
      <c r="Y50" s="13">
        <v>0.0685</v>
      </c>
      <c r="Z50" s="11"/>
    </row>
    <row r="51" spans="1:26" ht="12.75">
      <c r="A51" s="1">
        <f t="shared" si="0"/>
        <v>35</v>
      </c>
      <c r="E51" s="11">
        <v>60000</v>
      </c>
      <c r="F51" s="20">
        <v>41183</v>
      </c>
      <c r="G51" s="13">
        <v>0.063</v>
      </c>
      <c r="H51" s="11"/>
      <c r="J51" s="1">
        <f t="shared" si="1"/>
        <v>35</v>
      </c>
      <c r="N51" s="11">
        <v>60000</v>
      </c>
      <c r="O51" s="20">
        <v>41183</v>
      </c>
      <c r="P51" s="13">
        <v>0.063</v>
      </c>
      <c r="Q51" s="11"/>
      <c r="S51" s="1">
        <f t="shared" si="2"/>
        <v>35</v>
      </c>
      <c r="W51" s="11">
        <v>60000</v>
      </c>
      <c r="X51" s="20">
        <v>41183</v>
      </c>
      <c r="Y51" s="13">
        <v>0.063</v>
      </c>
      <c r="Z51" s="11"/>
    </row>
    <row r="52" spans="1:26" ht="12.75">
      <c r="A52" s="1">
        <f t="shared" si="0"/>
        <v>36</v>
      </c>
      <c r="E52" s="11">
        <v>40000</v>
      </c>
      <c r="F52" s="20">
        <v>41298</v>
      </c>
      <c r="G52" s="13">
        <v>0.05</v>
      </c>
      <c r="H52" s="11"/>
      <c r="J52" s="1">
        <f t="shared" si="1"/>
        <v>36</v>
      </c>
      <c r="N52" s="11">
        <v>40000</v>
      </c>
      <c r="O52" s="20">
        <v>41298</v>
      </c>
      <c r="P52" s="13">
        <v>0.05</v>
      </c>
      <c r="Q52" s="11"/>
      <c r="S52" s="1">
        <f t="shared" si="2"/>
        <v>36</v>
      </c>
      <c r="W52" s="11">
        <v>40000</v>
      </c>
      <c r="X52" s="20">
        <v>41298</v>
      </c>
      <c r="Y52" s="13">
        <v>0.05</v>
      </c>
      <c r="Z52" s="11"/>
    </row>
    <row r="53" spans="1:26" ht="12.75">
      <c r="A53" s="1">
        <f t="shared" si="0"/>
        <v>37</v>
      </c>
      <c r="E53" s="12">
        <v>70000</v>
      </c>
      <c r="F53" s="20">
        <v>43174</v>
      </c>
      <c r="G53" s="13">
        <v>0.0531</v>
      </c>
      <c r="H53" s="11"/>
      <c r="J53" s="1">
        <f t="shared" si="1"/>
        <v>37</v>
      </c>
      <c r="N53" s="12">
        <v>70000</v>
      </c>
      <c r="O53" s="20">
        <v>43174</v>
      </c>
      <c r="P53" s="13">
        <v>0.0531</v>
      </c>
      <c r="Q53" s="11"/>
      <c r="S53" s="1">
        <f t="shared" si="2"/>
        <v>37</v>
      </c>
      <c r="W53" s="12">
        <v>70000</v>
      </c>
      <c r="X53" s="20">
        <v>43174</v>
      </c>
      <c r="Y53" s="13">
        <v>0.0531</v>
      </c>
      <c r="Z53" s="11"/>
    </row>
    <row r="54" spans="1:26" ht="12.75">
      <c r="A54" s="1">
        <f t="shared" si="0"/>
        <v>38</v>
      </c>
      <c r="E54" s="11">
        <f>SUM(E31:E53)</f>
        <v>273000</v>
      </c>
      <c r="F54" s="20"/>
      <c r="G54" s="13">
        <f>SUMPRODUCT(E31:E53,G31:G53)/E54</f>
        <v>0.061921611721611716</v>
      </c>
      <c r="H54" s="11"/>
      <c r="J54" s="1">
        <f t="shared" si="1"/>
        <v>38</v>
      </c>
      <c r="N54" s="11">
        <f>SUM(N31:N53)</f>
        <v>263000</v>
      </c>
      <c r="O54" s="20"/>
      <c r="P54" s="13">
        <f>SUMPRODUCT(N31:N53,P31:P53)/N54</f>
        <v>0.06139391634980989</v>
      </c>
      <c r="Q54" s="11"/>
      <c r="S54" s="1">
        <f t="shared" si="2"/>
        <v>38</v>
      </c>
      <c r="W54" s="11">
        <f>SUM(W31:W53)</f>
        <v>220000</v>
      </c>
      <c r="X54" s="20"/>
      <c r="Y54" s="13">
        <f>SUMPRODUCT(W31:W53,Y31:Y53)/W54</f>
        <v>0.058815</v>
      </c>
      <c r="Z54" s="11"/>
    </row>
    <row r="55" spans="1:26" ht="12.75">
      <c r="A55" s="1">
        <f t="shared" si="0"/>
        <v>39</v>
      </c>
      <c r="B55" s="2" t="s">
        <v>36</v>
      </c>
      <c r="E55" s="21">
        <v>50000</v>
      </c>
      <c r="F55" s="20">
        <v>40527</v>
      </c>
      <c r="G55" s="13">
        <v>0.0562</v>
      </c>
      <c r="H55" s="11"/>
      <c r="J55" s="1">
        <f t="shared" si="1"/>
        <v>39</v>
      </c>
      <c r="K55" s="2" t="s">
        <v>36</v>
      </c>
      <c r="N55" s="21">
        <v>50000</v>
      </c>
      <c r="O55" s="20">
        <v>40527</v>
      </c>
      <c r="P55" s="13">
        <v>0.0565</v>
      </c>
      <c r="Q55" s="11"/>
      <c r="S55" s="1">
        <f t="shared" si="2"/>
        <v>39</v>
      </c>
      <c r="T55" s="2" t="s">
        <v>36</v>
      </c>
      <c r="W55" s="21">
        <v>0</v>
      </c>
      <c r="X55" s="20">
        <v>40527</v>
      </c>
      <c r="Y55" s="13">
        <v>0.0565</v>
      </c>
      <c r="Z55" s="11"/>
    </row>
    <row r="56" spans="1:26" ht="12.75">
      <c r="A56" s="1">
        <f t="shared" si="0"/>
        <v>40</v>
      </c>
      <c r="B56" s="2" t="s">
        <v>37</v>
      </c>
      <c r="E56" s="21"/>
      <c r="F56" s="11"/>
      <c r="G56" s="13"/>
      <c r="H56" s="11"/>
      <c r="J56" s="1">
        <f t="shared" si="1"/>
        <v>40</v>
      </c>
      <c r="K56" s="2" t="s">
        <v>37</v>
      </c>
      <c r="N56" s="21"/>
      <c r="O56" s="11"/>
      <c r="P56" s="13"/>
      <c r="Q56" s="11"/>
      <c r="S56" s="1">
        <f t="shared" si="2"/>
        <v>40</v>
      </c>
      <c r="T56" s="26" t="s">
        <v>37</v>
      </c>
      <c r="W56" s="21">
        <v>100000</v>
      </c>
      <c r="X56" s="20">
        <v>50496</v>
      </c>
      <c r="Y56" s="13">
        <v>0.072</v>
      </c>
      <c r="Z56" s="11"/>
    </row>
    <row r="57" spans="1:26" ht="13.5" thickBot="1">
      <c r="A57" s="1">
        <f t="shared" si="0"/>
        <v>41</v>
      </c>
      <c r="E57" s="22">
        <f>E54+E55+E56</f>
        <v>323000</v>
      </c>
      <c r="F57" s="11"/>
      <c r="G57" s="13">
        <f>SUMPRODUCT(E54:E55,G54:G55)/E57</f>
        <v>0.06103591331269349</v>
      </c>
      <c r="H57" s="11"/>
      <c r="J57" s="1">
        <f t="shared" si="1"/>
        <v>41</v>
      </c>
      <c r="N57" s="22">
        <f>N54+N55+N56</f>
        <v>313000</v>
      </c>
      <c r="O57" s="11"/>
      <c r="P57" s="13">
        <f>SUMPRODUCT(N54:N56,P54:P56)/N57</f>
        <v>0.06061214057507987</v>
      </c>
      <c r="Q57" s="11"/>
      <c r="S57" s="1">
        <f>+S56+1</f>
        <v>41</v>
      </c>
      <c r="T57" s="26" t="s">
        <v>37</v>
      </c>
      <c r="W57" s="27">
        <v>50000</v>
      </c>
      <c r="X57" s="28">
        <v>43191</v>
      </c>
      <c r="Y57" s="25">
        <v>0.063</v>
      </c>
      <c r="Z57" s="11"/>
    </row>
    <row r="58" spans="1:26" ht="14.25" thickBot="1" thickTop="1">
      <c r="A58" s="1">
        <f t="shared" si="0"/>
        <v>42</v>
      </c>
      <c r="B58" s="2" t="s">
        <v>29</v>
      </c>
      <c r="E58" s="23">
        <f>E57*G57</f>
        <v>19714.6</v>
      </c>
      <c r="F58" s="11"/>
      <c r="G58" s="11"/>
      <c r="H58" s="11"/>
      <c r="J58" s="1">
        <f t="shared" si="1"/>
        <v>42</v>
      </c>
      <c r="K58" s="2" t="s">
        <v>29</v>
      </c>
      <c r="N58" s="23">
        <f>N57*P57</f>
        <v>18971.6</v>
      </c>
      <c r="O58" s="11"/>
      <c r="P58" s="11"/>
      <c r="Q58" s="11"/>
      <c r="S58" s="1">
        <f>+S57+1</f>
        <v>42</v>
      </c>
      <c r="W58" s="22">
        <f>W54+W55+W56+W57</f>
        <v>370000</v>
      </c>
      <c r="X58" s="11"/>
      <c r="Y58" s="13">
        <f>SUMPRODUCT(W54:W57,Y54:Y57)/W58</f>
        <v>0.06294405405405405</v>
      </c>
      <c r="Z58" s="11"/>
    </row>
    <row r="59" spans="5:26" ht="13.5" thickTop="1">
      <c r="E59" s="11"/>
      <c r="F59" s="11"/>
      <c r="G59" s="11"/>
      <c r="H59" s="11"/>
      <c r="N59" s="11"/>
      <c r="O59" s="11"/>
      <c r="P59" s="11"/>
      <c r="Q59" s="11"/>
      <c r="S59" s="1">
        <f>+S58+1</f>
        <v>43</v>
      </c>
      <c r="T59" s="2" t="s">
        <v>29</v>
      </c>
      <c r="W59" s="29">
        <f>W58*Y58</f>
        <v>23289.3</v>
      </c>
      <c r="X59" s="11"/>
      <c r="Y59" s="11"/>
      <c r="Z59" s="11"/>
    </row>
    <row r="60" spans="1:26" ht="12.75">
      <c r="A60" s="1">
        <f>+A58+1</f>
        <v>43</v>
      </c>
      <c r="B60" s="2" t="s">
        <v>38</v>
      </c>
      <c r="E60" s="11">
        <v>13200</v>
      </c>
      <c r="F60" s="11"/>
      <c r="G60" s="11"/>
      <c r="H60" s="11"/>
      <c r="J60" s="1">
        <f>+J58+1</f>
        <v>43</v>
      </c>
      <c r="K60" s="2" t="s">
        <v>38</v>
      </c>
      <c r="N60" s="11">
        <v>72900</v>
      </c>
      <c r="O60" s="11"/>
      <c r="P60" s="11"/>
      <c r="Q60" s="11"/>
      <c r="W60" s="11"/>
      <c r="X60" s="11"/>
      <c r="Y60" s="11"/>
      <c r="Z60" s="11"/>
    </row>
    <row r="61" spans="19:25" ht="12.75">
      <c r="S61" s="1">
        <v>44</v>
      </c>
      <c r="T61" s="2" t="s">
        <v>38</v>
      </c>
      <c r="W61" s="11">
        <v>77000</v>
      </c>
      <c r="X61" s="11"/>
      <c r="Y61" s="11"/>
    </row>
    <row r="63" spans="2:11" ht="12.75">
      <c r="B63" s="2" t="s">
        <v>39</v>
      </c>
      <c r="K63" s="2" t="s">
        <v>39</v>
      </c>
    </row>
    <row r="64" spans="2:12" ht="12.75">
      <c r="B64" s="24">
        <v>30000</v>
      </c>
      <c r="C64" s="2" t="s">
        <v>40</v>
      </c>
      <c r="K64" s="24">
        <v>30000</v>
      </c>
      <c r="L64" s="2" t="s">
        <v>40</v>
      </c>
    </row>
    <row r="65" spans="20:21" ht="12.75">
      <c r="T65" s="24">
        <v>30000</v>
      </c>
      <c r="U65" s="2" t="s">
        <v>40</v>
      </c>
    </row>
    <row r="67" spans="20:24" ht="12.75">
      <c r="T67" s="26" t="s">
        <v>44</v>
      </c>
      <c r="X67" s="26" t="s">
        <v>48</v>
      </c>
    </row>
    <row r="68" spans="20:26" ht="12.75">
      <c r="T68" s="10" t="s">
        <v>41</v>
      </c>
      <c r="Y68" s="31" t="s">
        <v>49</v>
      </c>
      <c r="Z68" s="31" t="s">
        <v>50</v>
      </c>
    </row>
    <row r="69" spans="20:26" ht="12.75">
      <c r="T69" s="26" t="s">
        <v>42</v>
      </c>
      <c r="U69" s="27">
        <v>875</v>
      </c>
      <c r="X69" s="26" t="s">
        <v>41</v>
      </c>
      <c r="Y69" s="27">
        <v>1175</v>
      </c>
      <c r="Z69" s="27">
        <f>V72</f>
        <v>40.166666666666664</v>
      </c>
    </row>
    <row r="70" spans="20:26" ht="12.75">
      <c r="T70" s="26" t="s">
        <v>43</v>
      </c>
      <c r="U70" s="27">
        <v>63</v>
      </c>
      <c r="X70" s="26" t="s">
        <v>45</v>
      </c>
      <c r="Y70" s="27">
        <v>444</v>
      </c>
      <c r="Z70" s="27">
        <f>V77</f>
        <v>48.8</v>
      </c>
    </row>
    <row r="71" spans="20:26" ht="12.75">
      <c r="T71" s="26" t="s">
        <v>47</v>
      </c>
      <c r="U71" s="30">
        <v>267</v>
      </c>
      <c r="X71" s="26" t="s">
        <v>51</v>
      </c>
      <c r="Y71" s="30">
        <v>1672</v>
      </c>
      <c r="Z71" s="30">
        <v>247</v>
      </c>
    </row>
    <row r="72" spans="21:26" ht="12.75">
      <c r="U72" s="27">
        <f>SUM(U69:U71)</f>
        <v>1205</v>
      </c>
      <c r="V72" s="27">
        <f>U72/30</f>
        <v>40.166666666666664</v>
      </c>
      <c r="W72" s="26" t="s">
        <v>46</v>
      </c>
      <c r="Y72" s="27">
        <f>SUM(Y69:Y71)</f>
        <v>3291</v>
      </c>
      <c r="Z72" s="27">
        <f>SUM(Z69:Z71)</f>
        <v>335.9666666666667</v>
      </c>
    </row>
    <row r="73" spans="20:26" ht="12.75">
      <c r="T73" s="10" t="s">
        <v>45</v>
      </c>
      <c r="U73" s="27"/>
      <c r="V73" s="27"/>
      <c r="X73" s="26" t="s">
        <v>52</v>
      </c>
      <c r="Y73" s="27"/>
      <c r="Z73" s="27"/>
    </row>
    <row r="74" spans="20:26" ht="12.75">
      <c r="T74" s="26" t="s">
        <v>42</v>
      </c>
      <c r="U74" s="27">
        <v>325</v>
      </c>
      <c r="V74" s="27"/>
      <c r="X74" s="26" t="s">
        <v>51</v>
      </c>
      <c r="Y74" s="27">
        <v>7460</v>
      </c>
      <c r="Z74" s="27">
        <v>531</v>
      </c>
    </row>
    <row r="75" spans="20:26" ht="12.75">
      <c r="T75" s="26" t="s">
        <v>43</v>
      </c>
      <c r="U75" s="27">
        <v>30</v>
      </c>
      <c r="V75" s="27"/>
      <c r="Y75" s="27"/>
      <c r="Z75" s="27"/>
    </row>
    <row r="76" spans="20:26" ht="12.75">
      <c r="T76" s="26" t="s">
        <v>47</v>
      </c>
      <c r="U76" s="30">
        <v>133</v>
      </c>
      <c r="V76" s="27"/>
      <c r="Y76" s="27"/>
      <c r="Z76" s="27"/>
    </row>
    <row r="77" spans="21:26" ht="12.75">
      <c r="U77" s="27">
        <f>SUM(U74:U76)</f>
        <v>488</v>
      </c>
      <c r="V77" s="27">
        <f>U77/10</f>
        <v>48.8</v>
      </c>
      <c r="W77" s="26" t="s">
        <v>46</v>
      </c>
      <c r="Y77" s="27"/>
      <c r="Z77" s="27"/>
    </row>
    <row r="78" spans="21:26" ht="12.75">
      <c r="U78" s="27"/>
      <c r="Y78" s="27"/>
      <c r="Z78" s="27"/>
    </row>
  </sheetData>
  <mergeCells count="9">
    <mergeCell ref="E7:H7"/>
    <mergeCell ref="N7:Q7"/>
    <mergeCell ref="W7:Z7"/>
    <mergeCell ref="T5:Z5"/>
    <mergeCell ref="T6:Z6"/>
    <mergeCell ref="B5:H5"/>
    <mergeCell ref="B6:H6"/>
    <mergeCell ref="K5:Q5"/>
    <mergeCell ref="K6:Q6"/>
  </mergeCells>
  <printOptions horizontalCentered="1"/>
  <pageMargins left="0.8" right="0.5" top="0.73" bottom="0.53" header="0.18" footer="0.16"/>
  <pageSetup fitToWidth="4" horizontalDpi="1200" verticalDpi="1200" orientation="portrait" scale="63" r:id="rId1"/>
  <colBreaks count="2" manualBreakCount="2">
    <brk id="9" max="69" man="1"/>
    <brk id="18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01955</dc:creator>
  <cp:keywords/>
  <dc:description/>
  <cp:lastModifiedBy>sbintz</cp:lastModifiedBy>
  <cp:lastPrinted>2008-03-25T22:11:06Z</cp:lastPrinted>
  <dcterms:created xsi:type="dcterms:W3CDTF">2008-03-25T20:42:12Z</dcterms:created>
  <dcterms:modified xsi:type="dcterms:W3CDTF">2008-04-30T16:12:04Z</dcterms:modified>
  <cp:category>::ODMA\GRPWISE\ASPOSUPT.PUPSC.PUPSCDocs:57239.1</cp:category>
  <cp:version/>
  <cp:contentType/>
  <cp:contentStatus/>
</cp:coreProperties>
</file>