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8010" activeTab="0"/>
  </bookViews>
  <sheets>
    <sheet name="UAE Exhibit COS 1.1" sheetId="1" r:id="rId1"/>
    <sheet name="UAE Exhibit COS 1.2, p. 1" sheetId="2" r:id="rId2"/>
    <sheet name="UAE Exhibit COS 1.2, p. 2" sheetId="3" r:id="rId3"/>
    <sheet name="UAE Exhibit COS 1.3" sheetId="4" r:id="rId4"/>
    <sheet name="UAE Exhibit COS 1.4" sheetId="5" r:id="rId5"/>
  </sheets>
  <definedNames>
    <definedName name="_xlnm.Print_Area" localSheetId="3">'UAE Exhibit COS 1.3'!$A$1:$H$72</definedName>
    <definedName name="_xlnm.Print_Area" localSheetId="4">'UAE Exhibit COS 1.4'!$B$3:$O$51</definedName>
  </definedNames>
  <calcPr calcMode="autoNoTable" fullCalcOnLoad="1"/>
</workbook>
</file>

<file path=xl/sharedStrings.xml><?xml version="1.0" encoding="utf-8"?>
<sst xmlns="http://schemas.openxmlformats.org/spreadsheetml/2006/main" count="344" uniqueCount="138">
  <si>
    <t>GSR</t>
  </si>
  <si>
    <t>GSC</t>
  </si>
  <si>
    <t>FS</t>
  </si>
  <si>
    <t>IS</t>
  </si>
  <si>
    <t>Total</t>
  </si>
  <si>
    <t>Average Daily Commodity Throughput (Dth/Day)</t>
  </si>
  <si>
    <t>Load Factor</t>
  </si>
  <si>
    <t>Note 1:  TS class load factor calculated using data for firm transportation customers only.</t>
  </si>
  <si>
    <t>Derivation of QGC's Utah System Load Factor</t>
  </si>
  <si>
    <r>
      <t>TS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</si>
  <si>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Data Sources:  </t>
  </si>
  <si>
    <r>
      <t>Annual Commodity Throughput (Dth/Yr)</t>
    </r>
    <r>
      <rPr>
        <b/>
        <vertAlign val="superscript"/>
        <sz val="10"/>
        <color indexed="8"/>
        <rFont val="Times New Roman"/>
        <family val="1"/>
      </rPr>
      <t>3</t>
    </r>
  </si>
  <si>
    <r>
      <t>Peak-Day Responsibility (Dth)</t>
    </r>
    <r>
      <rPr>
        <b/>
        <vertAlign val="superscript"/>
        <sz val="10"/>
        <color indexed="8"/>
        <rFont val="Times New Roman"/>
        <family val="1"/>
      </rPr>
      <t>2</t>
    </r>
  </si>
  <si>
    <t>Note 2:  QGC Exhibit 8.4U, p. 1 of 3.</t>
  </si>
  <si>
    <t>Note 3:  QGC Exhibit 8.4U, p. 1 of 3 (GSR, GSC, and FS); QGC Updated Model "Revised Ordered % Inc_06_27_08.xls"and
               QGC Response to CCS 8.08 (TS).</t>
  </si>
  <si>
    <t>(A)</t>
  </si>
  <si>
    <t>(B)</t>
  </si>
  <si>
    <t>(C)</t>
  </si>
  <si>
    <t>(D)</t>
  </si>
  <si>
    <t>(E)</t>
  </si>
  <si>
    <t>(F)</t>
  </si>
  <si>
    <t>(G)</t>
  </si>
  <si>
    <t>Allocations to Rate Classes</t>
  </si>
  <si>
    <t>Description</t>
  </si>
  <si>
    <t>NET INCOME SUMMARY</t>
  </si>
  <si>
    <t>Utility Operating Revenue</t>
  </si>
  <si>
    <t>System Distribution Non-Gas Revenue</t>
  </si>
  <si>
    <t>System Supplier Non-Gas Revenue</t>
  </si>
  <si>
    <t>System Commodity Revenue</t>
  </si>
  <si>
    <t>Pass-Through Related Other Revenue</t>
  </si>
  <si>
    <t>General Related Other Revenue</t>
  </si>
  <si>
    <t>Total Utility Operating Revenue</t>
  </si>
  <si>
    <t>Utility Operating Expenses</t>
  </si>
  <si>
    <t>Gas Purchase Expenses</t>
  </si>
  <si>
    <t>Utah</t>
  </si>
  <si>
    <t>Value of Peaking Supply</t>
  </si>
  <si>
    <t>Total Gas Purchase Expenses</t>
  </si>
  <si>
    <t>O&amp;M Expenses</t>
  </si>
  <si>
    <t>Production</t>
  </si>
  <si>
    <t>Distribution</t>
  </si>
  <si>
    <t>Customer Accounts</t>
  </si>
  <si>
    <t>Customer Service &amp; Information</t>
  </si>
  <si>
    <t>Administrative &amp; General</t>
  </si>
  <si>
    <t>Total O&amp;M Expense</t>
  </si>
  <si>
    <t>Other Operating Expenses</t>
  </si>
  <si>
    <t>Depreciation, Depletion, Amortization</t>
  </si>
  <si>
    <t>Taxes Other Than Income Taxes</t>
  </si>
  <si>
    <t>Income Taxes</t>
  </si>
  <si>
    <t>Total Other Operating Expenses</t>
  </si>
  <si>
    <t>Total Utility Operating Expenses</t>
  </si>
  <si>
    <t>NET OPERATING INCOME</t>
  </si>
  <si>
    <t>RATE BASE SUMMARY</t>
  </si>
  <si>
    <t>Net Utility Plant</t>
  </si>
  <si>
    <t>Gas Plant In Service</t>
  </si>
  <si>
    <t>Gas Plant Held For Future Use</t>
  </si>
  <si>
    <t>Completed Construction Not Classified</t>
  </si>
  <si>
    <t>Accumulated Depreciation</t>
  </si>
  <si>
    <t>Accumulated Amort &amp; Depletion</t>
  </si>
  <si>
    <t>Total Net Utility Plant</t>
  </si>
  <si>
    <t>Other Rate Base Accounts</t>
  </si>
  <si>
    <t>Materials &amp; Supplies</t>
  </si>
  <si>
    <t>164-1</t>
  </si>
  <si>
    <t>Gas Stored Underground</t>
  </si>
  <si>
    <t>Prepayments</t>
  </si>
  <si>
    <t>190008</t>
  </si>
  <si>
    <t>Accum Deferred Income Tax Federal</t>
  </si>
  <si>
    <t>Accum Deferred Income Tax State</t>
  </si>
  <si>
    <t>235-1</t>
  </si>
  <si>
    <t>Customer Deposits</t>
  </si>
  <si>
    <t>Misc Customer Credits</t>
  </si>
  <si>
    <t>253-1</t>
  </si>
  <si>
    <t>Unclaimed Customer Deposits</t>
  </si>
  <si>
    <t>Deferred Investment Tax Credits</t>
  </si>
  <si>
    <t>Accum Deferred Income Taxes</t>
  </si>
  <si>
    <t>Working Capital - Cash</t>
  </si>
  <si>
    <t>Total Other Rate Base Accounts</t>
  </si>
  <si>
    <t>TOTAL RATE BASE</t>
  </si>
  <si>
    <t>Return On Rate Base- Actual</t>
  </si>
  <si>
    <t>Return On Equity - Actual</t>
  </si>
  <si>
    <t>Cost of Service (Line 32 + Line 33)</t>
  </si>
  <si>
    <t>Deficiency (((Line 52 * Line 58) - Line 33) * Tax Factor)</t>
  </si>
  <si>
    <t>Gradualism Adjustment</t>
  </si>
  <si>
    <t>Total Cost Of Service incl./Deficiency</t>
  </si>
  <si>
    <t>Return On Rate Base - Allowed</t>
  </si>
  <si>
    <t>Return On Equity - Allowed</t>
  </si>
  <si>
    <t>Jurisdiction</t>
  </si>
  <si>
    <t>DNG Related</t>
  </si>
  <si>
    <t xml:space="preserve"> F-3 </t>
  </si>
  <si>
    <t xml:space="preserve"> F-4</t>
  </si>
  <si>
    <t xml:space="preserve"> FT-1</t>
  </si>
  <si>
    <t xml:space="preserve"> FT-2 </t>
  </si>
  <si>
    <t>TS</t>
  </si>
  <si>
    <t xml:space="preserve"> </t>
  </si>
  <si>
    <t>UAE COST OF SERVICE SUMMARY WITH PEAK AND AVERAGE ALLOCATION FACTOR ADJUSTED TO 75%/25%
AND FT-1 ALLOCATED USING THE PEAK AND AVERAGE ALLOCATION FACTOR</t>
  </si>
  <si>
    <t>QGC COST OF SERVICE SUMMARY AND ALLOCATIONS TO RATE CLASSES</t>
  </si>
  <si>
    <t>Comparison of QGC's and UAE Proposed Revenue Increase by Rate Class</t>
  </si>
  <si>
    <t>at Utah PSC Ordered $11.97 Million Revenue Increase</t>
  </si>
  <si>
    <t>QGC</t>
  </si>
  <si>
    <t>Proposed</t>
  </si>
  <si>
    <t>Revenue</t>
  </si>
  <si>
    <t>Spread</t>
  </si>
  <si>
    <t>Current</t>
  </si>
  <si>
    <t>DNG</t>
  </si>
  <si>
    <t>Percent</t>
  </si>
  <si>
    <t>Class</t>
  </si>
  <si>
    <t>Revenues</t>
  </si>
  <si>
    <t>Increase</t>
  </si>
  <si>
    <t>FT-1</t>
  </si>
  <si>
    <t>FT-1L</t>
  </si>
  <si>
    <t>FT-2C</t>
  </si>
  <si>
    <t>MT</t>
  </si>
  <si>
    <t>NGV</t>
  </si>
  <si>
    <t>Check</t>
  </si>
  <si>
    <t>QGC Revenue Credits by Rate Class</t>
  </si>
  <si>
    <t>UAE</t>
  </si>
  <si>
    <t>FS, IS &amp; TS Gradualism Impact</t>
  </si>
  <si>
    <t>UAE GSC Impact @ 0.0%  Increase Impact</t>
  </si>
  <si>
    <t>Questar, Rocky Mountains</t>
  </si>
  <si>
    <t>Questar, Rocky Mountains vs. SoCal Gas</t>
  </si>
  <si>
    <t>Month</t>
  </si>
  <si>
    <t>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</si>
  <si>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</si>
  <si>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</si>
  <si>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</si>
  <si>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</si>
  <si>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</si>
  <si>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</si>
  <si>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</si>
  <si>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</si>
  <si>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</si>
  <si>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/>
  </si>
  <si>
    <t>Oct</t>
  </si>
  <si>
    <t>Nov</t>
  </si>
  <si>
    <t>Dec</t>
  </si>
  <si>
    <t>Northwest, Wyo. Pool</t>
  </si>
  <si>
    <t>SoCal Gas</t>
  </si>
  <si>
    <t>Northwest, Wyo. Pool vs. SoCal Gas</t>
  </si>
  <si>
    <t>Source:  Platts Inside FERC's Gas Market Report Monthly Indexes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</si>
</sst>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mm\ d\,\ yyyy\ \ \ h:mm\ AM/PM"/>
    <numFmt numFmtId="167" formatCode="0_);\(0\)"/>
    <numFmt numFmtId="168" formatCode="_(&quot;$&quot;* #,##0_);_(&quot;$&quot;* \(#,##0\);_(&quot;$&quot;* &quot;-&quot;??_);_(@_)"/>
    <numFmt numFmtId="169" formatCode="&quot;$&quot;#,##0.000_);[Red]\(&quot;$&quot;#,##0.000\)"/>
    <numFmt numFmtId="170" formatCode="&quot;$&quot;#,##0.000_);\(&quot;$&quot;#,##0.000\)"/>
  </numFmts>
  <fonts count="27">
    <font>
      <sz val="10"/>
      <color indexed="8"/>
      <name val="Times New Roman"/>
      <family val="2"/>
    </font>
    <font>
      <b/>
      <vertAlign val="superscript"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b/>
      <u val="single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24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4" fontId="21" fillId="0" borderId="0" xfId="42" applyNumberFormat="1" applyFont="1" applyAlignment="1">
      <alignment/>
    </xf>
    <xf numFmtId="9" fontId="21" fillId="0" borderId="0" xfId="59" applyNumberFormat="1" applyFont="1" applyAlignment="1">
      <alignment/>
    </xf>
    <xf numFmtId="164" fontId="2" fillId="0" borderId="0" xfId="44" applyNumberFormat="1" applyFont="1" applyFill="1" applyAlignment="1">
      <alignment horizontal="left"/>
    </xf>
    <xf numFmtId="0" fontId="3" fillId="0" borderId="0" xfId="56" applyFill="1">
      <alignment/>
      <protection/>
    </xf>
    <xf numFmtId="37" fontId="2" fillId="0" borderId="0" xfId="44" applyNumberFormat="1" applyFont="1" applyFill="1" applyAlignment="1">
      <alignment horizontal="center"/>
    </xf>
    <xf numFmtId="0" fontId="3" fillId="0" borderId="0" xfId="56">
      <alignment/>
      <protection/>
    </xf>
    <xf numFmtId="37" fontId="2" fillId="0" borderId="0" xfId="44" applyNumberFormat="1" applyFont="1" applyFill="1">
      <alignment/>
    </xf>
    <xf numFmtId="37" fontId="3" fillId="0" borderId="0" xfId="44" applyNumberFormat="1" applyFill="1" applyAlignment="1">
      <alignment horizontal="left"/>
    </xf>
    <xf numFmtId="37" fontId="3" fillId="0" borderId="0" xfId="44" applyNumberFormat="1" applyFont="1" applyFill="1">
      <alignment/>
    </xf>
    <xf numFmtId="37" fontId="3" fillId="0" borderId="0" xfId="44" applyNumberFormat="1" applyFill="1">
      <alignment/>
    </xf>
    <xf numFmtId="166" fontId="2" fillId="0" borderId="0" xfId="56" applyNumberFormat="1" applyFont="1" applyAlignment="1">
      <alignment horizontal="left"/>
      <protection/>
    </xf>
    <xf numFmtId="37" fontId="2" fillId="0" borderId="0" xfId="44" applyNumberFormat="1" applyFont="1" applyFill="1" applyBorder="1" applyAlignment="1">
      <alignment horizontal="center"/>
    </xf>
    <xf numFmtId="37" fontId="2" fillId="0" borderId="0" xfId="44" applyNumberFormat="1" applyFont="1" applyFill="1" applyAlignment="1" quotePrefix="1">
      <alignment horizontal="center"/>
    </xf>
    <xf numFmtId="37" fontId="2" fillId="0" borderId="11" xfId="44" applyNumberFormat="1" applyFont="1" applyFill="1" applyBorder="1" applyAlignment="1" quotePrefix="1">
      <alignment horizontal="center"/>
    </xf>
    <xf numFmtId="167" fontId="3" fillId="0" borderId="0" xfId="44" applyNumberFormat="1" applyFill="1" applyAlignment="1">
      <alignment horizontal="center"/>
    </xf>
    <xf numFmtId="37" fontId="2" fillId="0" borderId="0" xfId="44" applyNumberFormat="1" applyFont="1" applyFill="1" applyAlignment="1">
      <alignment/>
    </xf>
    <xf numFmtId="37" fontId="2" fillId="0" borderId="11" xfId="44" applyNumberFormat="1" applyFont="1" applyFill="1" applyBorder="1" applyAlignment="1">
      <alignment horizontal="center"/>
    </xf>
    <xf numFmtId="0" fontId="3" fillId="0" borderId="0" xfId="56" applyFill="1" applyBorder="1">
      <alignment/>
      <protection/>
    </xf>
    <xf numFmtId="0" fontId="3" fillId="0" borderId="12" xfId="56" applyFill="1" applyBorder="1">
      <alignment/>
      <protection/>
    </xf>
    <xf numFmtId="37" fontId="2" fillId="0" borderId="12" xfId="44" applyNumberFormat="1" applyFont="1" applyFill="1" applyBorder="1" applyAlignment="1">
      <alignment horizontal="center"/>
    </xf>
    <xf numFmtId="37" fontId="2" fillId="0" borderId="9" xfId="44" applyNumberFormat="1" applyFont="1" applyFill="1" applyBorder="1" applyAlignment="1">
      <alignment horizontal="center"/>
    </xf>
    <xf numFmtId="37" fontId="2" fillId="0" borderId="13" xfId="44" applyNumberFormat="1" applyFont="1" applyFill="1" applyBorder="1" applyAlignment="1">
      <alignment horizontal="center"/>
    </xf>
    <xf numFmtId="37" fontId="2" fillId="0" borderId="14" xfId="44" applyNumberFormat="1" applyFont="1" applyFill="1" applyBorder="1" applyAlignment="1">
      <alignment horizontal="center"/>
    </xf>
    <xf numFmtId="0" fontId="3" fillId="0" borderId="0" xfId="44" applyNumberFormat="1" applyFill="1" applyAlignment="1">
      <alignment horizontal="center"/>
    </xf>
    <xf numFmtId="37" fontId="3" fillId="0" borderId="11" xfId="44" applyNumberFormat="1" applyFill="1" applyBorder="1">
      <alignment/>
    </xf>
    <xf numFmtId="37" fontId="3" fillId="0" borderId="0" xfId="44" applyNumberFormat="1" applyFill="1" applyBorder="1">
      <alignment/>
    </xf>
    <xf numFmtId="37" fontId="3" fillId="0" borderId="12" xfId="44" applyNumberFormat="1" applyFill="1" applyBorder="1">
      <alignment/>
    </xf>
    <xf numFmtId="37" fontId="3" fillId="0" borderId="0" xfId="44" applyNumberFormat="1" applyFont="1" applyFill="1" applyBorder="1">
      <alignment/>
    </xf>
    <xf numFmtId="37" fontId="3" fillId="0" borderId="11" xfId="44" applyNumberFormat="1" applyFill="1" applyBorder="1" applyAlignment="1">
      <alignment horizontal="right"/>
    </xf>
    <xf numFmtId="37" fontId="3" fillId="0" borderId="15" xfId="44" applyNumberFormat="1" applyFill="1" applyBorder="1">
      <alignment/>
    </xf>
    <xf numFmtId="37" fontId="3" fillId="0" borderId="16" xfId="44" applyNumberFormat="1" applyFill="1" applyBorder="1">
      <alignment/>
    </xf>
    <xf numFmtId="37" fontId="3" fillId="0" borderId="17" xfId="44" applyNumberFormat="1" applyFill="1" applyBorder="1">
      <alignment/>
    </xf>
    <xf numFmtId="10" fontId="3" fillId="0" borderId="0" xfId="60" applyNumberFormat="1" applyFill="1" applyBorder="1" applyAlignment="1">
      <alignment/>
    </xf>
    <xf numFmtId="37" fontId="3" fillId="0" borderId="18" xfId="44" applyNumberFormat="1" applyFill="1" applyBorder="1">
      <alignment/>
    </xf>
    <xf numFmtId="37" fontId="3" fillId="0" borderId="19" xfId="44" applyNumberFormat="1" applyFill="1" applyBorder="1">
      <alignment/>
    </xf>
    <xf numFmtId="37" fontId="3" fillId="0" borderId="20" xfId="44" applyNumberFormat="1" applyFill="1" applyBorder="1">
      <alignment/>
    </xf>
    <xf numFmtId="37" fontId="3" fillId="0" borderId="9" xfId="44" applyNumberFormat="1" applyFill="1" applyBorder="1">
      <alignment/>
    </xf>
    <xf numFmtId="37" fontId="3" fillId="0" borderId="13" xfId="44" applyNumberFormat="1" applyFill="1" applyBorder="1">
      <alignment/>
    </xf>
    <xf numFmtId="37" fontId="3" fillId="0" borderId="14" xfId="44" applyNumberFormat="1" applyFill="1" applyBorder="1">
      <alignment/>
    </xf>
    <xf numFmtId="37" fontId="2" fillId="0" borderId="0" xfId="44" applyNumberFormat="1" applyFont="1" applyFill="1" applyAlignment="1" quotePrefix="1">
      <alignment horizontal="left"/>
    </xf>
    <xf numFmtId="37" fontId="3" fillId="0" borderId="0" xfId="44" applyNumberFormat="1" applyFont="1" applyFill="1" applyAlignment="1">
      <alignment horizontal="left"/>
    </xf>
    <xf numFmtId="49" fontId="0" fillId="0" borderId="0" xfId="44" applyNumberFormat="1" applyFont="1" applyFill="1" applyAlignment="1" quotePrefix="1">
      <alignment horizontal="left"/>
    </xf>
    <xf numFmtId="164" fontId="0" fillId="0" borderId="0" xfId="44" applyNumberFormat="1" applyFont="1" applyFill="1" applyAlignment="1" quotePrefix="1">
      <alignment horizontal="left"/>
    </xf>
    <xf numFmtId="0" fontId="3" fillId="0" borderId="0" xfId="56" applyNumberFormat="1" applyFill="1" applyAlignment="1">
      <alignment horizontal="center"/>
      <protection/>
    </xf>
    <xf numFmtId="0" fontId="2" fillId="0" borderId="0" xfId="56" applyFont="1" applyFill="1">
      <alignment/>
      <protection/>
    </xf>
    <xf numFmtId="37" fontId="3" fillId="0" borderId="11" xfId="56" applyNumberFormat="1" applyFill="1" applyBorder="1">
      <alignment/>
      <protection/>
    </xf>
    <xf numFmtId="37" fontId="3" fillId="0" borderId="0" xfId="56" applyNumberFormat="1" applyFill="1" applyBorder="1">
      <alignment/>
      <protection/>
    </xf>
    <xf numFmtId="37" fontId="3" fillId="0" borderId="12" xfId="56" applyNumberFormat="1" applyFill="1" applyBorder="1">
      <alignment/>
      <protection/>
    </xf>
    <xf numFmtId="37" fontId="3" fillId="0" borderId="0" xfId="44" applyNumberFormat="1" applyFont="1" applyFill="1" applyAlignment="1" quotePrefix="1">
      <alignment horizontal="left"/>
    </xf>
    <xf numFmtId="10" fontId="3" fillId="0" borderId="11" xfId="44" applyNumberFormat="1" applyFill="1" applyBorder="1" applyAlignment="1">
      <alignment horizontal="right"/>
    </xf>
    <xf numFmtId="10" fontId="3" fillId="0" borderId="0" xfId="56" applyNumberFormat="1" applyFill="1" applyBorder="1">
      <alignment/>
      <protection/>
    </xf>
    <xf numFmtId="10" fontId="3" fillId="0" borderId="12" xfId="56" applyNumberFormat="1" applyFill="1" applyBorder="1">
      <alignment/>
      <protection/>
    </xf>
    <xf numFmtId="37" fontId="3" fillId="0" borderId="9" xfId="56" applyNumberFormat="1" applyFill="1" applyBorder="1">
      <alignment/>
      <protection/>
    </xf>
    <xf numFmtId="37" fontId="3" fillId="0" borderId="13" xfId="56" applyNumberFormat="1" applyFill="1" applyBorder="1">
      <alignment/>
      <protection/>
    </xf>
    <xf numFmtId="37" fontId="3" fillId="0" borderId="14" xfId="56" applyNumberFormat="1" applyFill="1" applyBorder="1">
      <alignment/>
      <protection/>
    </xf>
    <xf numFmtId="0" fontId="3" fillId="0" borderId="11" xfId="56" applyFill="1" applyBorder="1">
      <alignment/>
      <protection/>
    </xf>
    <xf numFmtId="37" fontId="3" fillId="0" borderId="21" xfId="44" applyNumberFormat="1" applyFill="1" applyBorder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 quotePrefix="1">
      <alignment horizontal="left"/>
      <protection/>
    </xf>
    <xf numFmtId="37" fontId="3" fillId="0" borderId="11" xfId="56" applyNumberFormat="1" applyFont="1" applyFill="1" applyBorder="1">
      <alignment/>
      <protection/>
    </xf>
    <xf numFmtId="37" fontId="3" fillId="0" borderId="21" xfId="56" applyNumberFormat="1" applyFont="1" applyFill="1" applyBorder="1">
      <alignment/>
      <protection/>
    </xf>
    <xf numFmtId="37" fontId="3" fillId="0" borderId="0" xfId="56" applyNumberFormat="1" applyFont="1" applyFill="1" applyBorder="1">
      <alignment/>
      <protection/>
    </xf>
    <xf numFmtId="37" fontId="3" fillId="0" borderId="12" xfId="56" applyNumberFormat="1" applyFont="1" applyFill="1" applyBorder="1">
      <alignment/>
      <protection/>
    </xf>
    <xf numFmtId="0" fontId="3" fillId="0" borderId="18" xfId="56" applyFill="1" applyBorder="1">
      <alignment/>
      <protection/>
    </xf>
    <xf numFmtId="0" fontId="3" fillId="0" borderId="19" xfId="56" applyFill="1" applyBorder="1">
      <alignment/>
      <protection/>
    </xf>
    <xf numFmtId="0" fontId="3" fillId="0" borderId="20" xfId="56" applyFill="1" applyBorder="1">
      <alignment/>
      <protection/>
    </xf>
    <xf numFmtId="37" fontId="2" fillId="0" borderId="21" xfId="44" applyNumberFormat="1" applyFont="1" applyFill="1" applyBorder="1" applyAlignment="1" quotePrefix="1">
      <alignment horizontal="center"/>
    </xf>
    <xf numFmtId="42" fontId="6" fillId="25" borderId="0" xfId="45" applyNumberFormat="1" applyFont="1" applyFill="1" applyBorder="1" applyAlignment="1">
      <alignment/>
    </xf>
    <xf numFmtId="10" fontId="6" fillId="25" borderId="22" xfId="59" applyNumberFormat="1" applyFont="1" applyFill="1" applyBorder="1" applyAlignment="1">
      <alignment horizontal="center"/>
    </xf>
    <xf numFmtId="37" fontId="6" fillId="25" borderId="0" xfId="45" applyNumberFormat="1" applyFont="1" applyFill="1" applyBorder="1" applyAlignment="1">
      <alignment/>
    </xf>
    <xf numFmtId="10" fontId="6" fillId="25" borderId="22" xfId="45" applyNumberFormat="1" applyFont="1" applyFill="1" applyBorder="1" applyAlignment="1">
      <alignment horizontal="center"/>
    </xf>
    <xf numFmtId="37" fontId="6" fillId="25" borderId="23" xfId="45" applyNumberFormat="1" applyFont="1" applyFill="1" applyBorder="1" applyAlignment="1">
      <alignment/>
    </xf>
    <xf numFmtId="10" fontId="6" fillId="25" borderId="24" xfId="45" applyNumberFormat="1" applyFont="1" applyFill="1" applyBorder="1" applyAlignment="1">
      <alignment horizontal="center"/>
    </xf>
    <xf numFmtId="10" fontId="3" fillId="0" borderId="0" xfId="59" applyNumberFormat="1" applyFont="1" applyFill="1" applyAlignment="1">
      <alignment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9" fontId="24" fillId="0" borderId="27" xfId="0" applyNumberFormat="1" applyFont="1" applyBorder="1" applyAlignment="1">
      <alignment horizontal="center" vertical="center"/>
    </xf>
    <xf numFmtId="169" fontId="24" fillId="0" borderId="26" xfId="0" applyNumberFormat="1" applyFont="1" applyBorder="1" applyAlignment="1">
      <alignment horizontal="center" vertical="center"/>
    </xf>
    <xf numFmtId="169" fontId="24" fillId="0" borderId="2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169" fontId="24" fillId="0" borderId="28" xfId="0" applyNumberFormat="1" applyFont="1" applyBorder="1" applyAlignment="1">
      <alignment horizontal="center" vertical="center"/>
    </xf>
    <xf numFmtId="169" fontId="24" fillId="0" borderId="0" xfId="0" applyNumberFormat="1" applyFont="1" applyBorder="1" applyAlignment="1">
      <alignment horizontal="center" vertical="center"/>
    </xf>
    <xf numFmtId="170" fontId="24" fillId="0" borderId="29" xfId="0" applyNumberFormat="1" applyFont="1" applyBorder="1" applyAlignment="1">
      <alignment horizontal="center" vertical="center"/>
    </xf>
    <xf numFmtId="170" fontId="24" fillId="0" borderId="27" xfId="0" applyNumberFormat="1" applyFont="1" applyBorder="1" applyAlignment="1">
      <alignment horizontal="center" vertical="center"/>
    </xf>
    <xf numFmtId="170" fontId="24" fillId="0" borderId="26" xfId="0" applyNumberFormat="1" applyFont="1" applyBorder="1" applyAlignment="1">
      <alignment horizontal="center" vertical="center"/>
    </xf>
    <xf numFmtId="170" fontId="24" fillId="0" borderId="25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64" fontId="7" fillId="25" borderId="0" xfId="42" applyNumberFormat="1" applyFont="1" applyFill="1" applyAlignment="1">
      <alignment horizontal="right"/>
    </xf>
    <xf numFmtId="42" fontId="7" fillId="25" borderId="0" xfId="42" applyNumberFormat="1" applyFont="1" applyFill="1" applyAlignment="1">
      <alignment/>
    </xf>
    <xf numFmtId="10" fontId="7" fillId="25" borderId="0" xfId="59" applyNumberFormat="1" applyFont="1" applyFill="1" applyAlignment="1">
      <alignment/>
    </xf>
    <xf numFmtId="0" fontId="25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6" fillId="25" borderId="30" xfId="0" applyFont="1" applyFill="1" applyBorder="1" applyAlignment="1">
      <alignment/>
    </xf>
    <xf numFmtId="0" fontId="6" fillId="25" borderId="16" xfId="0" applyFont="1" applyFill="1" applyBorder="1" applyAlignment="1">
      <alignment/>
    </xf>
    <xf numFmtId="0" fontId="6" fillId="25" borderId="31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28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/>
    </xf>
    <xf numFmtId="0" fontId="6" fillId="25" borderId="32" xfId="0" applyFont="1" applyFill="1" applyBorder="1" applyAlignment="1">
      <alignment/>
    </xf>
    <xf numFmtId="0" fontId="6" fillId="25" borderId="9" xfId="0" applyFont="1" applyFill="1" applyBorder="1" applyAlignment="1">
      <alignment/>
    </xf>
    <xf numFmtId="0" fontId="6" fillId="25" borderId="33" xfId="0" applyFont="1" applyFill="1" applyBorder="1" applyAlignment="1">
      <alignment/>
    </xf>
    <xf numFmtId="0" fontId="6" fillId="25" borderId="30" xfId="0" applyFont="1" applyFill="1" applyBorder="1" applyAlignment="1">
      <alignment/>
    </xf>
    <xf numFmtId="0" fontId="6" fillId="25" borderId="16" xfId="0" applyFont="1" applyFill="1" applyBorder="1" applyAlignment="1">
      <alignment/>
    </xf>
    <xf numFmtId="0" fontId="6" fillId="25" borderId="31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26" fillId="25" borderId="0" xfId="0" applyFont="1" applyFill="1" applyAlignment="1">
      <alignment/>
    </xf>
    <xf numFmtId="0" fontId="26" fillId="25" borderId="28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26" fillId="25" borderId="22" xfId="0" applyFont="1" applyFill="1" applyBorder="1" applyAlignment="1">
      <alignment horizontal="center"/>
    </xf>
    <xf numFmtId="0" fontId="26" fillId="25" borderId="0" xfId="0" applyFont="1" applyFill="1" applyBorder="1" applyAlignment="1">
      <alignment/>
    </xf>
    <xf numFmtId="42" fontId="6" fillId="25" borderId="28" xfId="45" applyNumberFormat="1" applyFont="1" applyFill="1" applyBorder="1" applyAlignment="1">
      <alignment/>
    </xf>
    <xf numFmtId="42" fontId="6" fillId="25" borderId="0" xfId="0" applyNumberFormat="1" applyFont="1" applyFill="1" applyBorder="1" applyAlignment="1">
      <alignment/>
    </xf>
    <xf numFmtId="37" fontId="6" fillId="25" borderId="28" xfId="45" applyNumberFormat="1" applyFont="1" applyFill="1" applyBorder="1" applyAlignment="1">
      <alignment/>
    </xf>
    <xf numFmtId="37" fontId="6" fillId="25" borderId="34" xfId="45" applyNumberFormat="1" applyFont="1" applyFill="1" applyBorder="1" applyAlignment="1">
      <alignment/>
    </xf>
    <xf numFmtId="42" fontId="6" fillId="25" borderId="32" xfId="0" applyNumberFormat="1" applyFont="1" applyFill="1" applyBorder="1" applyAlignment="1">
      <alignment/>
    </xf>
    <xf numFmtId="42" fontId="6" fillId="25" borderId="9" xfId="0" applyNumberFormat="1" applyFont="1" applyFill="1" applyBorder="1" applyAlignment="1">
      <alignment/>
    </xf>
    <xf numFmtId="10" fontId="6" fillId="25" borderId="33" xfId="59" applyNumberFormat="1" applyFont="1" applyFill="1" applyBorder="1" applyAlignment="1">
      <alignment horizontal="center"/>
    </xf>
    <xf numFmtId="164" fontId="6" fillId="25" borderId="0" xfId="42" applyNumberFormat="1" applyFont="1" applyFill="1" applyAlignment="1">
      <alignment/>
    </xf>
    <xf numFmtId="168" fontId="6" fillId="25" borderId="0" xfId="0" applyNumberFormat="1" applyFont="1" applyFill="1" applyAlignment="1">
      <alignment/>
    </xf>
    <xf numFmtId="42" fontId="6" fillId="25" borderId="0" xfId="0" applyNumberFormat="1" applyFont="1" applyFill="1" applyAlignment="1">
      <alignment/>
    </xf>
    <xf numFmtId="0" fontId="6" fillId="25" borderId="0" xfId="0" applyFont="1" applyFill="1" applyAlignment="1">
      <alignment horizontal="center"/>
    </xf>
    <xf numFmtId="37" fontId="6" fillId="25" borderId="0" xfId="0" applyNumberFormat="1" applyFont="1" applyFill="1" applyAlignment="1">
      <alignment/>
    </xf>
    <xf numFmtId="37" fontId="6" fillId="25" borderId="23" xfId="0" applyNumberFormat="1" applyFont="1" applyFill="1" applyBorder="1" applyAlignment="1">
      <alignment/>
    </xf>
    <xf numFmtId="10" fontId="6" fillId="25" borderId="0" xfId="59" applyNumberFormat="1" applyFont="1" applyFill="1" applyBorder="1" applyAlignment="1">
      <alignment/>
    </xf>
    <xf numFmtId="0" fontId="6" fillId="25" borderId="0" xfId="0" applyFont="1" applyFill="1" applyAlignment="1">
      <alignment horizontal="right"/>
    </xf>
    <xf numFmtId="10" fontId="6" fillId="25" borderId="0" xfId="0" applyNumberFormat="1" applyFont="1" applyFill="1" applyAlignment="1">
      <alignment/>
    </xf>
    <xf numFmtId="9" fontId="21" fillId="0" borderId="25" xfId="59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wrapText="1"/>
    </xf>
    <xf numFmtId="37" fontId="2" fillId="0" borderId="0" xfId="44" applyNumberFormat="1" applyFont="1" applyFill="1" applyAlignment="1" quotePrefix="1">
      <alignment horizontal="left"/>
    </xf>
    <xf numFmtId="37" fontId="2" fillId="0" borderId="0" xfId="44" applyNumberFormat="1" applyFont="1" applyFill="1" applyAlignment="1" quotePrefix="1">
      <alignment horizontal="center" wrapText="1"/>
    </xf>
    <xf numFmtId="37" fontId="2" fillId="0" borderId="0" xfId="44" applyNumberFormat="1" applyFont="1" applyFill="1" applyBorder="1" applyAlignment="1">
      <alignment horizontal="center"/>
    </xf>
    <xf numFmtId="37" fontId="2" fillId="0" borderId="12" xfId="44" applyNumberFormat="1" applyFont="1" applyFill="1" applyBorder="1" applyAlignment="1">
      <alignment horizontal="center"/>
    </xf>
    <xf numFmtId="37" fontId="2" fillId="0" borderId="9" xfId="44" applyNumberFormat="1" applyFont="1" applyFill="1" applyBorder="1" applyAlignment="1">
      <alignment horizontal="center"/>
    </xf>
    <xf numFmtId="37" fontId="2" fillId="0" borderId="0" xfId="44" applyNumberFormat="1" applyFont="1" applyFill="1" applyAlignment="1">
      <alignment horizontal="left"/>
    </xf>
    <xf numFmtId="37" fontId="2" fillId="0" borderId="0" xfId="44" applyNumberFormat="1" applyFont="1" applyFill="1" applyAlignment="1" quotePrefix="1">
      <alignment horizontal="center" vertical="top" wrapText="1"/>
    </xf>
    <xf numFmtId="0" fontId="6" fillId="25" borderId="28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/>
    </xf>
    <xf numFmtId="0" fontId="25" fillId="25" borderId="0" xfId="0" applyFont="1" applyFill="1" applyAlignment="1">
      <alignment horizont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H15" sqref="H14:H15"/>
    </sheetView>
  </sheetViews>
  <sheetFormatPr defaultColWidth="9.33203125" defaultRowHeight="12.75"/>
  <cols>
    <col min="1" max="1" width="46.66015625" style="1" customWidth="1"/>
    <col min="2" max="7" width="14.33203125" style="1" customWidth="1"/>
    <col min="8" max="16384" width="9.33203125" style="1" customWidth="1"/>
  </cols>
  <sheetData>
    <row r="1" spans="1:7" ht="18.75">
      <c r="A1" s="134" t="s">
        <v>8</v>
      </c>
      <c r="B1" s="134"/>
      <c r="C1" s="134"/>
      <c r="D1" s="134"/>
      <c r="E1" s="134"/>
      <c r="F1" s="134"/>
      <c r="G1" s="134"/>
    </row>
    <row r="4" spans="2:7" ht="15.75">
      <c r="B4" s="2" t="s">
        <v>0</v>
      </c>
      <c r="C4" s="2" t="s">
        <v>1</v>
      </c>
      <c r="D4" s="2" t="s">
        <v>2</v>
      </c>
      <c r="E4" s="2" t="s">
        <v>3</v>
      </c>
      <c r="F4" s="2" t="s">
        <v>9</v>
      </c>
      <c r="G4" s="2" t="s">
        <v>4</v>
      </c>
    </row>
    <row r="5" spans="1:7" ht="15.75">
      <c r="A5" s="1" t="s">
        <v>12</v>
      </c>
      <c r="B5" s="3">
        <v>767590</v>
      </c>
      <c r="C5" s="3">
        <v>335340</v>
      </c>
      <c r="D5" s="3">
        <v>43553</v>
      </c>
      <c r="E5" s="3"/>
      <c r="F5" s="3">
        <v>42127</v>
      </c>
      <c r="G5" s="3">
        <f>SUM(B5:F5)</f>
        <v>1188610</v>
      </c>
    </row>
    <row r="6" spans="1:7" ht="15.75">
      <c r="A6" s="1" t="s">
        <v>11</v>
      </c>
      <c r="B6" s="3">
        <v>63609777</v>
      </c>
      <c r="C6" s="3">
        <v>26036232</v>
      </c>
      <c r="D6" s="3">
        <v>7158193</v>
      </c>
      <c r="E6" s="3"/>
      <c r="F6" s="3">
        <v>10095681.355704376</v>
      </c>
      <c r="G6" s="3">
        <f>SUM(B6:F6)</f>
        <v>106899883.35570438</v>
      </c>
    </row>
    <row r="7" spans="1:7" ht="13.5" thickBot="1">
      <c r="A7" s="1" t="s">
        <v>5</v>
      </c>
      <c r="B7" s="3">
        <f>+B6/365</f>
        <v>174273.3616438356</v>
      </c>
      <c r="C7" s="3">
        <f>+C6/365</f>
        <v>71332.14246575342</v>
      </c>
      <c r="D7" s="3">
        <f>+D6/365</f>
        <v>19611.487671232877</v>
      </c>
      <c r="E7" s="3"/>
      <c r="F7" s="3">
        <f>+F6/365</f>
        <v>27659.40097453254</v>
      </c>
      <c r="G7" s="3">
        <f>+G6/365</f>
        <v>292876.39275535446</v>
      </c>
    </row>
    <row r="8" spans="1:7" ht="13.5" thickBot="1">
      <c r="A8" s="1" t="s">
        <v>6</v>
      </c>
      <c r="B8" s="4">
        <f>+B7/B5</f>
        <v>0.22703964570126708</v>
      </c>
      <c r="C8" s="4">
        <f>+C7/C5</f>
        <v>0.21271587781282705</v>
      </c>
      <c r="D8" s="4">
        <f>+D7/D5</f>
        <v>0.4502901676401827</v>
      </c>
      <c r="E8" s="4">
        <v>0</v>
      </c>
      <c r="F8" s="4">
        <f>+F7/F5</f>
        <v>0.6565718179441341</v>
      </c>
      <c r="G8" s="133">
        <f>+G7/G5</f>
        <v>0.24640243036433687</v>
      </c>
    </row>
    <row r="10" ht="12.75">
      <c r="A10" s="1" t="s">
        <v>7</v>
      </c>
    </row>
    <row r="12" ht="12.75">
      <c r="A12" s="1" t="s">
        <v>10</v>
      </c>
    </row>
    <row r="13" ht="12.75">
      <c r="A13" s="1" t="s">
        <v>13</v>
      </c>
    </row>
    <row r="14" spans="1:7" ht="26.25" customHeight="1">
      <c r="A14" s="135" t="s">
        <v>14</v>
      </c>
      <c r="B14" s="135"/>
      <c r="C14" s="135"/>
      <c r="D14" s="135"/>
      <c r="E14" s="135"/>
      <c r="F14" s="135"/>
      <c r="G14" s="135"/>
    </row>
  </sheetData>
  <sheetProtection/>
  <mergeCells count="2">
    <mergeCell ref="A1:G1"/>
    <mergeCell ref="A14:G14"/>
  </mergeCells>
  <printOptions horizontalCentered="1"/>
  <pageMargins left="0.7" right="0.7" top="1.25" bottom="0.75" header="0.5" footer="0.3"/>
  <pageSetup fitToHeight="1" fitToWidth="1" horizontalDpi="600" verticalDpi="600" orientation="landscape" r:id="rId1"/>
  <headerFooter alignWithMargins="0">
    <oddHeader>&amp;R&amp;"Times New Roman,Bold"Utah Association of Energy Users
Utah PSC Docket No.  07-057-13
UAE Exhibit COS 1.1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PageLayoutView="0" workbookViewId="0" topLeftCell="D67">
      <selection activeCell="D90" sqref="D90"/>
    </sheetView>
  </sheetViews>
  <sheetFormatPr defaultColWidth="9.33203125" defaultRowHeight="12.75"/>
  <cols>
    <col min="1" max="1" width="4.83203125" style="6" customWidth="1"/>
    <col min="2" max="2" width="3.16015625" style="6" customWidth="1"/>
    <col min="3" max="3" width="7.83203125" style="6" customWidth="1"/>
    <col min="4" max="4" width="6.66015625" style="6" customWidth="1"/>
    <col min="5" max="5" width="35.83203125" style="6" customWidth="1"/>
    <col min="6" max="6" width="16" style="6" bestFit="1" customWidth="1"/>
    <col min="7" max="7" width="15.83203125" style="6" bestFit="1" customWidth="1"/>
    <col min="8" max="8" width="15.66015625" style="6" bestFit="1" customWidth="1"/>
    <col min="9" max="9" width="14" style="6" bestFit="1" customWidth="1"/>
    <col min="10" max="13" width="8.83203125" style="6" bestFit="1" customWidth="1"/>
    <col min="14" max="14" width="12.33203125" style="6" bestFit="1" customWidth="1"/>
    <col min="15" max="15" width="14" style="6" bestFit="1" customWidth="1"/>
    <col min="16" max="16" width="4" style="6" customWidth="1"/>
    <col min="17" max="16384" width="9.33203125" style="8" customWidth="1"/>
  </cols>
  <sheetData>
    <row r="1" spans="1:16" ht="27.75" customHeight="1">
      <c r="A1" s="137" t="s">
        <v>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7"/>
    </row>
    <row r="2" spans="1:16" ht="12.75">
      <c r="A2" s="5"/>
      <c r="B2" s="13"/>
      <c r="C2" s="13"/>
      <c r="D2" s="13"/>
      <c r="E2" s="13"/>
      <c r="F2" s="14"/>
      <c r="G2" s="14"/>
      <c r="H2" s="7"/>
      <c r="I2" s="15"/>
      <c r="J2" s="10"/>
      <c r="K2" s="10"/>
      <c r="L2" s="7"/>
      <c r="M2" s="7"/>
      <c r="N2" s="7"/>
      <c r="O2" s="7"/>
      <c r="P2" s="7"/>
    </row>
    <row r="3" spans="5:16" ht="12.75">
      <c r="E3" s="7" t="s">
        <v>15</v>
      </c>
      <c r="F3" s="16" t="s">
        <v>16</v>
      </c>
      <c r="G3" s="15" t="s">
        <v>17</v>
      </c>
      <c r="H3" s="15" t="s">
        <v>18</v>
      </c>
      <c r="I3" s="15" t="s">
        <v>19</v>
      </c>
      <c r="M3" s="15"/>
      <c r="N3" s="15" t="s">
        <v>20</v>
      </c>
      <c r="O3" s="7" t="s">
        <v>21</v>
      </c>
      <c r="P3" s="69"/>
    </row>
    <row r="4" spans="1:16" ht="12.75">
      <c r="A4" s="17"/>
      <c r="B4" s="18"/>
      <c r="C4" s="18"/>
      <c r="D4" s="18"/>
      <c r="E4" s="18"/>
      <c r="F4" s="19" t="s">
        <v>34</v>
      </c>
      <c r="G4" s="20"/>
      <c r="H4" s="20"/>
      <c r="I4" s="20"/>
      <c r="J4" s="20"/>
      <c r="K4" s="20"/>
      <c r="L4" s="20"/>
      <c r="M4" s="20"/>
      <c r="N4" s="20"/>
      <c r="O4" s="21"/>
      <c r="P4" s="20"/>
    </row>
    <row r="5" spans="1:16" ht="12.75">
      <c r="A5" s="17"/>
      <c r="B5" s="9"/>
      <c r="C5" s="9"/>
      <c r="D5" s="9"/>
      <c r="E5" s="9"/>
      <c r="F5" s="19" t="s">
        <v>85</v>
      </c>
      <c r="G5" s="138" t="s">
        <v>22</v>
      </c>
      <c r="H5" s="138"/>
      <c r="I5" s="138"/>
      <c r="J5" s="138"/>
      <c r="K5" s="138"/>
      <c r="L5" s="138"/>
      <c r="M5" s="138"/>
      <c r="N5" s="138"/>
      <c r="O5" s="139"/>
      <c r="P5" s="14"/>
    </row>
    <row r="6" spans="1:16" ht="13.5" thickBot="1">
      <c r="A6" s="17"/>
      <c r="B6" s="140" t="s">
        <v>23</v>
      </c>
      <c r="C6" s="140"/>
      <c r="D6" s="140"/>
      <c r="E6" s="140"/>
      <c r="F6" s="24" t="s">
        <v>86</v>
      </c>
      <c r="G6" s="23" t="s">
        <v>0</v>
      </c>
      <c r="H6" s="23" t="s">
        <v>1</v>
      </c>
      <c r="I6" s="23" t="s">
        <v>2</v>
      </c>
      <c r="J6" s="23" t="s">
        <v>87</v>
      </c>
      <c r="K6" s="23" t="s">
        <v>88</v>
      </c>
      <c r="L6" s="23" t="s">
        <v>89</v>
      </c>
      <c r="M6" s="23" t="s">
        <v>90</v>
      </c>
      <c r="N6" s="23" t="s">
        <v>3</v>
      </c>
      <c r="O6" s="25" t="s">
        <v>91</v>
      </c>
      <c r="P6" s="14"/>
    </row>
    <row r="7" spans="1:16" ht="6.75" customHeight="1">
      <c r="A7" s="17"/>
      <c r="B7" s="14"/>
      <c r="C7" s="14"/>
      <c r="D7" s="14"/>
      <c r="E7" s="14"/>
      <c r="F7" s="19"/>
      <c r="G7" s="14"/>
      <c r="H7" s="14"/>
      <c r="I7" s="14"/>
      <c r="J7" s="14"/>
      <c r="K7" s="14"/>
      <c r="L7" s="14"/>
      <c r="M7" s="14"/>
      <c r="N7" s="14"/>
      <c r="O7" s="22"/>
      <c r="P7" s="14"/>
    </row>
    <row r="8" spans="1:16" ht="12.75">
      <c r="A8" s="26">
        <v>1</v>
      </c>
      <c r="B8" s="141" t="s">
        <v>24</v>
      </c>
      <c r="C8" s="141"/>
      <c r="D8" s="141"/>
      <c r="E8" s="141"/>
      <c r="F8" s="27"/>
      <c r="G8" s="28"/>
      <c r="H8" s="28"/>
      <c r="I8" s="28"/>
      <c r="J8" s="28"/>
      <c r="K8" s="28"/>
      <c r="L8" s="28"/>
      <c r="M8" s="28"/>
      <c r="N8" s="28"/>
      <c r="O8" s="29"/>
      <c r="P8" s="28"/>
    </row>
    <row r="9" spans="1:16" ht="6.75" customHeight="1">
      <c r="A9" s="26"/>
      <c r="B9" s="7"/>
      <c r="C9" s="7"/>
      <c r="D9" s="7"/>
      <c r="E9" s="7"/>
      <c r="F9" s="27"/>
      <c r="G9" s="28"/>
      <c r="H9" s="28"/>
      <c r="I9" s="28"/>
      <c r="J9" s="28"/>
      <c r="K9" s="28"/>
      <c r="L9" s="28"/>
      <c r="M9" s="28"/>
      <c r="N9" s="28"/>
      <c r="O9" s="29"/>
      <c r="P9" s="28"/>
    </row>
    <row r="10" spans="1:16" ht="12.75">
      <c r="A10" s="26">
        <f>+A8+1</f>
        <v>2</v>
      </c>
      <c r="B10" s="9" t="s">
        <v>25</v>
      </c>
      <c r="C10" s="12"/>
      <c r="D10" s="12"/>
      <c r="E10" s="12"/>
      <c r="F10" s="27"/>
      <c r="G10" s="28"/>
      <c r="H10" s="28"/>
      <c r="I10" s="28"/>
      <c r="J10" s="30"/>
      <c r="K10" s="30"/>
      <c r="L10" s="28"/>
      <c r="M10" s="28"/>
      <c r="N10" s="28"/>
      <c r="O10" s="29"/>
      <c r="P10" s="28"/>
    </row>
    <row r="11" spans="1:16" ht="12" customHeight="1">
      <c r="A11" s="26">
        <f aca="true" t="shared" si="0" ref="A11:A16">+A10+1</f>
        <v>3</v>
      </c>
      <c r="B11" s="9"/>
      <c r="C11" s="12"/>
      <c r="D11" s="11" t="s">
        <v>26</v>
      </c>
      <c r="E11" s="12"/>
      <c r="F11" s="31">
        <f>SUM(G11:O11)</f>
        <v>233163939.75000003</v>
      </c>
      <c r="G11" s="28">
        <v>181325115.6051692</v>
      </c>
      <c r="H11" s="28">
        <v>42089161.078986675</v>
      </c>
      <c r="I11" s="28">
        <v>4058320.7240885193</v>
      </c>
      <c r="J11" s="28">
        <v>0</v>
      </c>
      <c r="K11" s="28">
        <v>0</v>
      </c>
      <c r="L11" s="28">
        <v>0</v>
      </c>
      <c r="M11" s="28">
        <v>0</v>
      </c>
      <c r="N11" s="28">
        <v>526307.0269519744</v>
      </c>
      <c r="O11" s="29">
        <v>5165035.314803655</v>
      </c>
      <c r="P11" s="28"/>
    </row>
    <row r="12" spans="1:16" ht="12" customHeight="1">
      <c r="A12" s="26">
        <f t="shared" si="0"/>
        <v>4</v>
      </c>
      <c r="B12" s="9"/>
      <c r="C12" s="12"/>
      <c r="D12" s="11" t="s">
        <v>27</v>
      </c>
      <c r="E12" s="12"/>
      <c r="F12" s="31">
        <f>SUM(G12:O12)</f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v>0</v>
      </c>
      <c r="P12" s="28"/>
    </row>
    <row r="13" spans="1:16" ht="12" customHeight="1">
      <c r="A13" s="26">
        <f t="shared" si="0"/>
        <v>5</v>
      </c>
      <c r="B13" s="9"/>
      <c r="C13" s="12"/>
      <c r="D13" s="11" t="s">
        <v>28</v>
      </c>
      <c r="E13" s="12"/>
      <c r="F13" s="31">
        <f>SUM(G13:O13)</f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v>0</v>
      </c>
      <c r="P13" s="28"/>
    </row>
    <row r="14" spans="1:16" ht="12" customHeight="1">
      <c r="A14" s="26">
        <f t="shared" si="0"/>
        <v>6</v>
      </c>
      <c r="B14" s="9"/>
      <c r="C14" s="12"/>
      <c r="D14" s="11" t="s">
        <v>29</v>
      </c>
      <c r="E14" s="12"/>
      <c r="F14" s="31">
        <f>SUM(G14:O14)</f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v>0</v>
      </c>
      <c r="P14" s="28"/>
    </row>
    <row r="15" spans="1:16" ht="12" customHeight="1" thickBot="1">
      <c r="A15" s="26">
        <f t="shared" si="0"/>
        <v>7</v>
      </c>
      <c r="B15" s="9"/>
      <c r="C15" s="12"/>
      <c r="D15" s="11" t="s">
        <v>30</v>
      </c>
      <c r="E15" s="12"/>
      <c r="F15" s="31">
        <f>SUM(G15:O15)</f>
        <v>5974098.95366651</v>
      </c>
      <c r="G15" s="28">
        <v>4976475.740562218</v>
      </c>
      <c r="H15" s="28">
        <v>834020.4171623114</v>
      </c>
      <c r="I15" s="28">
        <v>71426.74395989634</v>
      </c>
      <c r="J15" s="28">
        <v>0</v>
      </c>
      <c r="K15" s="28">
        <v>0</v>
      </c>
      <c r="L15" s="28">
        <v>0</v>
      </c>
      <c r="M15" s="28">
        <v>0</v>
      </c>
      <c r="N15" s="28">
        <v>6537.318960929272</v>
      </c>
      <c r="O15" s="29">
        <v>85638.73302115467</v>
      </c>
      <c r="P15" s="28"/>
    </row>
    <row r="16" spans="1:16" ht="12.75">
      <c r="A16" s="26">
        <f t="shared" si="0"/>
        <v>8</v>
      </c>
      <c r="B16" s="9"/>
      <c r="C16" s="12" t="s">
        <v>31</v>
      </c>
      <c r="D16" s="12"/>
      <c r="E16" s="12"/>
      <c r="F16" s="32">
        <f>SUM(F11:F15)</f>
        <v>239138038.70366654</v>
      </c>
      <c r="G16" s="33">
        <f aca="true" t="shared" si="1" ref="G16:O16">SUM(G11:G15)</f>
        <v>186301591.34573144</v>
      </c>
      <c r="H16" s="33">
        <f t="shared" si="1"/>
        <v>42923181.49614899</v>
      </c>
      <c r="I16" s="33">
        <f t="shared" si="1"/>
        <v>4129747.4680484156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3">
        <f t="shared" si="1"/>
        <v>532844.3459129037</v>
      </c>
      <c r="O16" s="34">
        <f t="shared" si="1"/>
        <v>5250674.04782481</v>
      </c>
      <c r="P16" s="28"/>
    </row>
    <row r="17" spans="1:16" ht="12.75">
      <c r="A17" s="26"/>
      <c r="B17" s="9"/>
      <c r="C17" s="12"/>
      <c r="D17" s="12"/>
      <c r="E17" s="12"/>
      <c r="F17" s="27"/>
      <c r="G17" s="35"/>
      <c r="H17" s="28"/>
      <c r="I17" s="28"/>
      <c r="J17" s="28"/>
      <c r="K17" s="28"/>
      <c r="L17" s="28"/>
      <c r="M17" s="28"/>
      <c r="N17" s="28"/>
      <c r="O17" s="29"/>
      <c r="P17" s="28"/>
    </row>
    <row r="18" spans="1:16" ht="12.75">
      <c r="A18" s="26">
        <f>+A16+1</f>
        <v>9</v>
      </c>
      <c r="B18" s="9" t="s">
        <v>32</v>
      </c>
      <c r="C18" s="12"/>
      <c r="D18" s="12"/>
      <c r="E18" s="12"/>
      <c r="F18" s="27"/>
      <c r="G18" s="28"/>
      <c r="H18" s="28"/>
      <c r="I18" s="28"/>
      <c r="J18" s="28"/>
      <c r="K18" s="28"/>
      <c r="L18" s="28"/>
      <c r="M18" s="28"/>
      <c r="N18" s="28"/>
      <c r="O18" s="29"/>
      <c r="P18" s="28"/>
    </row>
    <row r="19" spans="1:16" ht="12.75">
      <c r="A19" s="26">
        <f>+A18+1</f>
        <v>10</v>
      </c>
      <c r="B19" s="9"/>
      <c r="C19" s="12" t="s">
        <v>33</v>
      </c>
      <c r="D19" s="12"/>
      <c r="E19" s="12"/>
      <c r="F19" s="31"/>
      <c r="G19" s="28"/>
      <c r="H19" s="28"/>
      <c r="I19" s="28"/>
      <c r="J19" s="28"/>
      <c r="K19" s="28"/>
      <c r="L19" s="28"/>
      <c r="M19" s="28"/>
      <c r="N19" s="28"/>
      <c r="O19" s="29"/>
      <c r="P19" s="28"/>
    </row>
    <row r="20" spans="1:16" ht="13.5" thickBot="1">
      <c r="A20" s="26">
        <f>+A19+1</f>
        <v>11</v>
      </c>
      <c r="B20" s="9"/>
      <c r="C20" s="12"/>
      <c r="D20" s="12" t="s">
        <v>34</v>
      </c>
      <c r="E20" s="12" t="s">
        <v>35</v>
      </c>
      <c r="F20" s="31">
        <v>0</v>
      </c>
      <c r="G20" s="28">
        <v>191566.85431150353</v>
      </c>
      <c r="H20" s="28">
        <v>78410.57119131711</v>
      </c>
      <c r="I20" s="28">
        <v>21557.57449717937</v>
      </c>
      <c r="J20" s="28">
        <v>0</v>
      </c>
      <c r="K20" s="28">
        <v>0</v>
      </c>
      <c r="L20" s="28">
        <v>0</v>
      </c>
      <c r="M20" s="28">
        <v>0</v>
      </c>
      <c r="N20" s="28">
        <v>-41535</v>
      </c>
      <c r="O20" s="29">
        <v>-250000</v>
      </c>
      <c r="P20" s="28"/>
    </row>
    <row r="21" spans="1:16" ht="12.75">
      <c r="A21" s="26">
        <f>+A20+1</f>
        <v>12</v>
      </c>
      <c r="B21" s="9"/>
      <c r="C21" s="12"/>
      <c r="D21" s="12" t="s">
        <v>36</v>
      </c>
      <c r="E21" s="12"/>
      <c r="F21" s="32">
        <f>SUM(F19:F20)</f>
        <v>0</v>
      </c>
      <c r="G21" s="33">
        <f>SUM(G19:G20)</f>
        <v>191566.85431150353</v>
      </c>
      <c r="H21" s="33">
        <f aca="true" t="shared" si="2" ref="H21:O21">SUM(H19:H20)</f>
        <v>78410.57119131711</v>
      </c>
      <c r="I21" s="33">
        <f t="shared" si="2"/>
        <v>21557.57449717937</v>
      </c>
      <c r="J21" s="33">
        <f t="shared" si="2"/>
        <v>0</v>
      </c>
      <c r="K21" s="33">
        <f t="shared" si="2"/>
        <v>0</v>
      </c>
      <c r="L21" s="33">
        <f t="shared" si="2"/>
        <v>0</v>
      </c>
      <c r="M21" s="33">
        <f t="shared" si="2"/>
        <v>0</v>
      </c>
      <c r="N21" s="33">
        <f t="shared" si="2"/>
        <v>-41535</v>
      </c>
      <c r="O21" s="34">
        <f t="shared" si="2"/>
        <v>-250000</v>
      </c>
      <c r="P21" s="28"/>
    </row>
    <row r="22" spans="1:16" ht="12.75">
      <c r="A22" s="26"/>
      <c r="B22" s="9"/>
      <c r="C22" s="12"/>
      <c r="D22" s="12"/>
      <c r="E22" s="12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8"/>
    </row>
    <row r="23" spans="1:16" ht="12.75">
      <c r="A23" s="26">
        <f>+A21+1</f>
        <v>13</v>
      </c>
      <c r="B23" s="9"/>
      <c r="C23" s="12" t="s">
        <v>37</v>
      </c>
      <c r="D23" s="12"/>
      <c r="E23" s="12"/>
      <c r="F23" s="27"/>
      <c r="G23" s="28"/>
      <c r="H23" s="28"/>
      <c r="I23" s="28"/>
      <c r="J23" s="28"/>
      <c r="K23" s="28"/>
      <c r="L23" s="28"/>
      <c r="M23" s="28"/>
      <c r="N23" s="28"/>
      <c r="O23" s="29"/>
      <c r="P23" s="28"/>
    </row>
    <row r="24" spans="1:16" ht="12" customHeight="1">
      <c r="A24" s="26">
        <f aca="true" t="shared" si="3" ref="A24:A29">+A23+1</f>
        <v>14</v>
      </c>
      <c r="B24" s="9"/>
      <c r="C24" s="12"/>
      <c r="D24" s="11" t="s">
        <v>38</v>
      </c>
      <c r="E24" s="12"/>
      <c r="F24" s="31">
        <f>SUM(G24:O24)</f>
        <v>-1669458.2883368786</v>
      </c>
      <c r="G24" s="28">
        <v>-1301517.664189692</v>
      </c>
      <c r="H24" s="28">
        <v>-273493.33003592974</v>
      </c>
      <c r="I24" s="28">
        <v>-30867.52459688286</v>
      </c>
      <c r="J24" s="28">
        <v>0</v>
      </c>
      <c r="K24" s="28">
        <v>0</v>
      </c>
      <c r="L24" s="28">
        <v>0</v>
      </c>
      <c r="M24" s="28">
        <v>0</v>
      </c>
      <c r="N24" s="28">
        <v>-4324.95154504403</v>
      </c>
      <c r="O24" s="29">
        <v>-59254.81796933008</v>
      </c>
      <c r="P24" s="28"/>
    </row>
    <row r="25" spans="1:16" ht="12" customHeight="1">
      <c r="A25" s="26">
        <f t="shared" si="3"/>
        <v>15</v>
      </c>
      <c r="B25" s="9"/>
      <c r="C25" s="12"/>
      <c r="D25" s="11" t="s">
        <v>39</v>
      </c>
      <c r="E25" s="12"/>
      <c r="F25" s="31">
        <f>SUM(G25:O25)</f>
        <v>50001785.27825154</v>
      </c>
      <c r="G25" s="28">
        <v>38981630.889080584</v>
      </c>
      <c r="H25" s="28">
        <v>8191372.53025578</v>
      </c>
      <c r="I25" s="28">
        <v>924510.2724321777</v>
      </c>
      <c r="J25" s="28">
        <v>0</v>
      </c>
      <c r="K25" s="28">
        <v>0</v>
      </c>
      <c r="L25" s="28">
        <v>0</v>
      </c>
      <c r="M25" s="28">
        <v>0</v>
      </c>
      <c r="N25" s="28">
        <v>129536.20944286561</v>
      </c>
      <c r="O25" s="29">
        <v>1774735.3770401317</v>
      </c>
      <c r="P25" s="28"/>
    </row>
    <row r="26" spans="1:16" ht="12" customHeight="1">
      <c r="A26" s="26">
        <f t="shared" si="3"/>
        <v>16</v>
      </c>
      <c r="B26" s="9"/>
      <c r="C26" s="12"/>
      <c r="D26" s="11" t="s">
        <v>40</v>
      </c>
      <c r="E26" s="12"/>
      <c r="F26" s="31">
        <f>SUM(G26:O26)</f>
        <v>22434568.376534507</v>
      </c>
      <c r="G26" s="28">
        <v>19905594.41943043</v>
      </c>
      <c r="H26" s="28">
        <v>2238478.9814309413</v>
      </c>
      <c r="I26" s="28">
        <v>117691.11299760044</v>
      </c>
      <c r="J26" s="28">
        <v>0</v>
      </c>
      <c r="K26" s="28">
        <v>0</v>
      </c>
      <c r="L26" s="28">
        <v>0</v>
      </c>
      <c r="M26" s="28">
        <v>0</v>
      </c>
      <c r="N26" s="28">
        <v>15182.188698567</v>
      </c>
      <c r="O26" s="29">
        <v>157621.67397696924</v>
      </c>
      <c r="P26" s="28"/>
    </row>
    <row r="27" spans="1:16" ht="12" customHeight="1">
      <c r="A27" s="26">
        <f t="shared" si="3"/>
        <v>17</v>
      </c>
      <c r="B27" s="9"/>
      <c r="C27" s="12"/>
      <c r="D27" s="11" t="s">
        <v>41</v>
      </c>
      <c r="E27" s="12"/>
      <c r="F27" s="31">
        <f>SUM(G27:O27)</f>
        <v>3689804.213315294</v>
      </c>
      <c r="G27" s="28">
        <v>1902451.703412485</v>
      </c>
      <c r="H27" s="28">
        <v>488656.3783315971</v>
      </c>
      <c r="I27" s="28">
        <v>343796.44757048436</v>
      </c>
      <c r="J27" s="28">
        <v>0</v>
      </c>
      <c r="K27" s="28">
        <v>0</v>
      </c>
      <c r="L27" s="28">
        <v>0</v>
      </c>
      <c r="M27" s="28">
        <v>0</v>
      </c>
      <c r="N27" s="28">
        <v>214727.7003899768</v>
      </c>
      <c r="O27" s="29">
        <v>740171.983610751</v>
      </c>
      <c r="P27" s="28"/>
    </row>
    <row r="28" spans="1:16" ht="12" customHeight="1" thickBot="1">
      <c r="A28" s="26">
        <f t="shared" si="3"/>
        <v>18</v>
      </c>
      <c r="B28" s="9"/>
      <c r="C28" s="12"/>
      <c r="D28" s="11" t="s">
        <v>42</v>
      </c>
      <c r="E28" s="12"/>
      <c r="F28" s="31">
        <f>SUM(G28:O28)</f>
        <v>39542406.09550222</v>
      </c>
      <c r="G28" s="28">
        <v>31282699.25759288</v>
      </c>
      <c r="H28" s="28">
        <v>6575793.76200814</v>
      </c>
      <c r="I28" s="28">
        <v>738965.9308611831</v>
      </c>
      <c r="J28" s="28">
        <v>0</v>
      </c>
      <c r="K28" s="28">
        <v>0</v>
      </c>
      <c r="L28" s="28">
        <v>0</v>
      </c>
      <c r="M28" s="28">
        <v>0</v>
      </c>
      <c r="N28" s="28">
        <v>82638.00225751969</v>
      </c>
      <c r="O28" s="29">
        <v>862309.1427825042</v>
      </c>
      <c r="P28" s="28"/>
    </row>
    <row r="29" spans="1:16" ht="12.75">
      <c r="A29" s="26">
        <f t="shared" si="3"/>
        <v>19</v>
      </c>
      <c r="B29" s="9"/>
      <c r="C29" s="12"/>
      <c r="D29" s="12" t="s">
        <v>43</v>
      </c>
      <c r="E29" s="12"/>
      <c r="F29" s="32">
        <f>SUM(F24:F28)</f>
        <v>113999105.67526668</v>
      </c>
      <c r="G29" s="33">
        <f aca="true" t="shared" si="4" ref="G29:O29">SUM(G24:G28)</f>
        <v>90770858.60532668</v>
      </c>
      <c r="H29" s="33">
        <f t="shared" si="4"/>
        <v>17220808.321990527</v>
      </c>
      <c r="I29" s="33">
        <f t="shared" si="4"/>
        <v>2094096.2392645627</v>
      </c>
      <c r="J29" s="33">
        <f t="shared" si="4"/>
        <v>0</v>
      </c>
      <c r="K29" s="33">
        <f t="shared" si="4"/>
        <v>0</v>
      </c>
      <c r="L29" s="33">
        <f t="shared" si="4"/>
        <v>0</v>
      </c>
      <c r="M29" s="33">
        <f t="shared" si="4"/>
        <v>0</v>
      </c>
      <c r="N29" s="33">
        <f t="shared" si="4"/>
        <v>437759.14924388507</v>
      </c>
      <c r="O29" s="34">
        <f t="shared" si="4"/>
        <v>3475583.359441026</v>
      </c>
      <c r="P29" s="28"/>
    </row>
    <row r="30" spans="1:16" ht="12.75">
      <c r="A30" s="26"/>
      <c r="B30" s="9"/>
      <c r="C30" s="12"/>
      <c r="D30" s="12"/>
      <c r="E30" s="12"/>
      <c r="F30" s="27"/>
      <c r="G30" s="35"/>
      <c r="H30" s="28"/>
      <c r="I30" s="28"/>
      <c r="J30" s="28"/>
      <c r="K30" s="28"/>
      <c r="L30" s="28"/>
      <c r="M30" s="28"/>
      <c r="N30" s="28"/>
      <c r="O30" s="29"/>
      <c r="P30" s="28"/>
    </row>
    <row r="31" spans="1:16" ht="12.75">
      <c r="A31" s="26">
        <f>+A29+1</f>
        <v>20</v>
      </c>
      <c r="B31" s="9"/>
      <c r="C31" s="12" t="s">
        <v>44</v>
      </c>
      <c r="D31" s="12"/>
      <c r="E31" s="12"/>
      <c r="F31" s="27"/>
      <c r="G31" s="28"/>
      <c r="H31" s="28"/>
      <c r="I31" s="28"/>
      <c r="J31" s="28"/>
      <c r="K31" s="28"/>
      <c r="L31" s="28"/>
      <c r="M31" s="28"/>
      <c r="N31" s="28"/>
      <c r="O31" s="29"/>
      <c r="P31" s="28"/>
    </row>
    <row r="32" spans="1:16" ht="12" customHeight="1">
      <c r="A32" s="26">
        <f>+A31+1</f>
        <v>21</v>
      </c>
      <c r="B32" s="9"/>
      <c r="C32" s="12"/>
      <c r="D32" s="11" t="s">
        <v>45</v>
      </c>
      <c r="E32" s="12"/>
      <c r="F32" s="31">
        <f>SUM(G32:O32)</f>
        <v>40629319.72489858</v>
      </c>
      <c r="G32" s="28">
        <v>32294893.187549297</v>
      </c>
      <c r="H32" s="28">
        <v>6639868.676643673</v>
      </c>
      <c r="I32" s="28">
        <v>696477.1376541156</v>
      </c>
      <c r="J32" s="28">
        <v>0</v>
      </c>
      <c r="K32" s="28">
        <v>0</v>
      </c>
      <c r="L32" s="28">
        <v>0</v>
      </c>
      <c r="M32" s="28">
        <v>0</v>
      </c>
      <c r="N32" s="28">
        <v>87284.66716646074</v>
      </c>
      <c r="O32" s="29">
        <v>910796.0558850275</v>
      </c>
      <c r="P32" s="28"/>
    </row>
    <row r="33" spans="1:16" ht="12.75">
      <c r="A33" s="26">
        <f>+A32+1</f>
        <v>22</v>
      </c>
      <c r="B33" s="9"/>
      <c r="C33" s="12"/>
      <c r="D33" s="12" t="s">
        <v>46</v>
      </c>
      <c r="E33" s="12"/>
      <c r="F33" s="31">
        <f>SUM(G33:O33)</f>
        <v>12007774.023929494</v>
      </c>
      <c r="G33" s="28">
        <v>9564377.189979818</v>
      </c>
      <c r="H33" s="28">
        <v>1947212.0040401695</v>
      </c>
      <c r="I33" s="28">
        <v>197677.437463685</v>
      </c>
      <c r="J33" s="28">
        <v>0</v>
      </c>
      <c r="K33" s="28">
        <v>0</v>
      </c>
      <c r="L33" s="28">
        <v>0</v>
      </c>
      <c r="M33" s="28">
        <v>0</v>
      </c>
      <c r="N33" s="28">
        <v>26105.221546310982</v>
      </c>
      <c r="O33" s="29">
        <v>272402.1708995077</v>
      </c>
      <c r="P33" s="28"/>
    </row>
    <row r="34" spans="1:16" ht="13.5" thickBot="1">
      <c r="A34" s="26">
        <f>+A33+1</f>
        <v>23</v>
      </c>
      <c r="B34" s="9"/>
      <c r="C34" s="12"/>
      <c r="D34" s="12" t="s">
        <v>47</v>
      </c>
      <c r="E34" s="12"/>
      <c r="F34" s="31">
        <f>SUM(G34:O34)</f>
        <v>18503186.05001067</v>
      </c>
      <c r="G34" s="28">
        <v>13092884.227213113</v>
      </c>
      <c r="H34" s="28">
        <v>5026234.8922008155</v>
      </c>
      <c r="I34" s="28">
        <v>280217.73852288676</v>
      </c>
      <c r="J34" s="28">
        <v>0</v>
      </c>
      <c r="K34" s="28">
        <v>0</v>
      </c>
      <c r="L34" s="28">
        <v>0</v>
      </c>
      <c r="M34" s="28">
        <v>0</v>
      </c>
      <c r="N34" s="28">
        <v>-11499.819439304234</v>
      </c>
      <c r="O34" s="29">
        <v>115349.01151315978</v>
      </c>
      <c r="P34" s="28"/>
    </row>
    <row r="35" spans="1:16" ht="12.75">
      <c r="A35" s="26">
        <f>+A34+1</f>
        <v>24</v>
      </c>
      <c r="B35" s="9"/>
      <c r="C35" s="12"/>
      <c r="D35" s="12" t="s">
        <v>48</v>
      </c>
      <c r="E35" s="12"/>
      <c r="F35" s="32">
        <f aca="true" t="shared" si="5" ref="F35:O35">SUM(F32:F34)</f>
        <v>71140279.79883873</v>
      </c>
      <c r="G35" s="33">
        <f t="shared" si="5"/>
        <v>54952154.60474223</v>
      </c>
      <c r="H35" s="33">
        <f t="shared" si="5"/>
        <v>13613315.57288466</v>
      </c>
      <c r="I35" s="33">
        <f t="shared" si="5"/>
        <v>1174372.3136406874</v>
      </c>
      <c r="J35" s="33">
        <f t="shared" si="5"/>
        <v>0</v>
      </c>
      <c r="K35" s="33">
        <f t="shared" si="5"/>
        <v>0</v>
      </c>
      <c r="L35" s="33">
        <f t="shared" si="5"/>
        <v>0</v>
      </c>
      <c r="M35" s="33">
        <f t="shared" si="5"/>
        <v>0</v>
      </c>
      <c r="N35" s="33">
        <f t="shared" si="5"/>
        <v>101890.0692734675</v>
      </c>
      <c r="O35" s="34">
        <f t="shared" si="5"/>
        <v>1298547.238297695</v>
      </c>
      <c r="P35" s="28"/>
    </row>
    <row r="36" spans="1:16" ht="6.75" customHeight="1" thickBot="1">
      <c r="A36" s="26"/>
      <c r="B36" s="9"/>
      <c r="C36" s="12"/>
      <c r="D36" s="12"/>
      <c r="E36" s="12"/>
      <c r="F36" s="36"/>
      <c r="G36" s="37"/>
      <c r="H36" s="37"/>
      <c r="I36" s="37"/>
      <c r="J36" s="37"/>
      <c r="K36" s="37"/>
      <c r="L36" s="37"/>
      <c r="M36" s="37"/>
      <c r="N36" s="37"/>
      <c r="O36" s="38"/>
      <c r="P36" s="28"/>
    </row>
    <row r="37" spans="1:16" ht="6.75" customHeight="1" thickTop="1">
      <c r="A37" s="26"/>
      <c r="B37" s="9"/>
      <c r="C37" s="12"/>
      <c r="D37" s="12"/>
      <c r="E37" s="12"/>
      <c r="F37" s="27"/>
      <c r="G37" s="28"/>
      <c r="H37" s="28"/>
      <c r="I37" s="28"/>
      <c r="J37" s="28"/>
      <c r="K37" s="28"/>
      <c r="L37" s="28"/>
      <c r="M37" s="28"/>
      <c r="N37" s="28"/>
      <c r="O37" s="29"/>
      <c r="P37" s="28"/>
    </row>
    <row r="38" spans="1:16" ht="12.75">
      <c r="A38" s="26">
        <f>+A35+1</f>
        <v>25</v>
      </c>
      <c r="B38" s="9"/>
      <c r="C38" s="12" t="s">
        <v>49</v>
      </c>
      <c r="D38" s="12"/>
      <c r="E38" s="12"/>
      <c r="F38" s="31">
        <f>SUM(G38:O38)</f>
        <v>185139385.47410542</v>
      </c>
      <c r="G38" s="28">
        <f>G21+G29+G35</f>
        <v>145914580.0643804</v>
      </c>
      <c r="H38" s="28">
        <f aca="true" t="shared" si="6" ref="H38:O38">H21+H29+H35</f>
        <v>30912534.466066506</v>
      </c>
      <c r="I38" s="28">
        <f t="shared" si="6"/>
        <v>3290026.1274024295</v>
      </c>
      <c r="J38" s="28">
        <f t="shared" si="6"/>
        <v>0</v>
      </c>
      <c r="K38" s="28">
        <f t="shared" si="6"/>
        <v>0</v>
      </c>
      <c r="L38" s="28">
        <f t="shared" si="6"/>
        <v>0</v>
      </c>
      <c r="M38" s="28">
        <f t="shared" si="6"/>
        <v>0</v>
      </c>
      <c r="N38" s="28">
        <f t="shared" si="6"/>
        <v>498114.2185173526</v>
      </c>
      <c r="O38" s="29">
        <f t="shared" si="6"/>
        <v>4524130.597738721</v>
      </c>
      <c r="P38" s="28"/>
    </row>
    <row r="39" spans="1:16" ht="6.75" customHeight="1" thickBot="1">
      <c r="A39" s="26"/>
      <c r="B39" s="9"/>
      <c r="C39" s="12"/>
      <c r="D39" s="12"/>
      <c r="E39" s="12"/>
      <c r="F39" s="36"/>
      <c r="G39" s="37"/>
      <c r="H39" s="37"/>
      <c r="I39" s="37"/>
      <c r="J39" s="37"/>
      <c r="K39" s="37"/>
      <c r="L39" s="37"/>
      <c r="M39" s="37"/>
      <c r="N39" s="37"/>
      <c r="O39" s="38"/>
      <c r="P39" s="28"/>
    </row>
    <row r="40" spans="1:16" ht="6.75" customHeight="1" thickTop="1">
      <c r="A40" s="26"/>
      <c r="B40" s="9"/>
      <c r="C40" s="12"/>
      <c r="D40" s="12"/>
      <c r="E40" s="12"/>
      <c r="F40" s="27"/>
      <c r="G40" s="28"/>
      <c r="H40" s="28"/>
      <c r="I40" s="28"/>
      <c r="J40" s="28"/>
      <c r="K40" s="28"/>
      <c r="L40" s="28"/>
      <c r="M40" s="28"/>
      <c r="N40" s="28"/>
      <c r="O40" s="29"/>
      <c r="P40" s="28"/>
    </row>
    <row r="41" spans="1:16" ht="12.75">
      <c r="A41" s="26">
        <f>+A38+1</f>
        <v>26</v>
      </c>
      <c r="B41" s="9" t="s">
        <v>50</v>
      </c>
      <c r="C41" s="12"/>
      <c r="D41" s="12"/>
      <c r="E41" s="12"/>
      <c r="F41" s="27">
        <f aca="true" t="shared" si="7" ref="F41:O41">+F16-F38</f>
        <v>53998653.22956112</v>
      </c>
      <c r="G41" s="28">
        <f t="shared" si="7"/>
        <v>40387011.28135103</v>
      </c>
      <c r="H41" s="28">
        <f t="shared" si="7"/>
        <v>12010647.030082483</v>
      </c>
      <c r="I41" s="28">
        <f t="shared" si="7"/>
        <v>839721.3406459861</v>
      </c>
      <c r="J41" s="28">
        <f t="shared" si="7"/>
        <v>0</v>
      </c>
      <c r="K41" s="28">
        <f t="shared" si="7"/>
        <v>0</v>
      </c>
      <c r="L41" s="28">
        <f t="shared" si="7"/>
        <v>0</v>
      </c>
      <c r="M41" s="28">
        <f t="shared" si="7"/>
        <v>0</v>
      </c>
      <c r="N41" s="28">
        <f t="shared" si="7"/>
        <v>34730.12739555107</v>
      </c>
      <c r="O41" s="29">
        <f t="shared" si="7"/>
        <v>726543.4500860889</v>
      </c>
      <c r="P41" s="28"/>
    </row>
    <row r="42" spans="1:16" ht="6.75" customHeight="1" thickBot="1">
      <c r="A42" s="26"/>
      <c r="B42" s="39"/>
      <c r="C42" s="39"/>
      <c r="D42" s="39"/>
      <c r="E42" s="39"/>
      <c r="F42" s="40"/>
      <c r="G42" s="39"/>
      <c r="H42" s="39"/>
      <c r="I42" s="39"/>
      <c r="J42" s="39"/>
      <c r="K42" s="39"/>
      <c r="L42" s="39"/>
      <c r="M42" s="39"/>
      <c r="N42" s="39"/>
      <c r="O42" s="41"/>
      <c r="P42" s="28"/>
    </row>
    <row r="43" spans="1:16" ht="6.75" customHeight="1">
      <c r="A43" s="26"/>
      <c r="F43" s="27"/>
      <c r="G43" s="28"/>
      <c r="H43" s="28"/>
      <c r="I43" s="28"/>
      <c r="J43" s="28"/>
      <c r="K43" s="28"/>
      <c r="L43" s="28"/>
      <c r="M43" s="28"/>
      <c r="N43" s="28"/>
      <c r="O43" s="29"/>
      <c r="P43" s="28"/>
    </row>
    <row r="44" spans="1:16" ht="12.75">
      <c r="A44" s="26">
        <f>+A41+1</f>
        <v>27</v>
      </c>
      <c r="B44" s="136" t="s">
        <v>51</v>
      </c>
      <c r="C44" s="136"/>
      <c r="D44" s="136"/>
      <c r="E44" s="136"/>
      <c r="F44" s="27"/>
      <c r="G44" s="28"/>
      <c r="H44" s="28"/>
      <c r="I44" s="28"/>
      <c r="J44" s="28"/>
      <c r="K44" s="28"/>
      <c r="L44" s="28"/>
      <c r="M44" s="28"/>
      <c r="N44" s="28"/>
      <c r="O44" s="29"/>
      <c r="P44" s="28"/>
    </row>
    <row r="45" spans="1:16" ht="6.75" customHeight="1">
      <c r="A45" s="26"/>
      <c r="B45" s="15"/>
      <c r="C45" s="15"/>
      <c r="D45" s="15"/>
      <c r="E45" s="15"/>
      <c r="F45" s="27"/>
      <c r="G45" s="28"/>
      <c r="H45" s="28"/>
      <c r="I45" s="28"/>
      <c r="J45" s="28"/>
      <c r="K45" s="28"/>
      <c r="L45" s="28"/>
      <c r="M45" s="28"/>
      <c r="N45" s="28"/>
      <c r="O45" s="29"/>
      <c r="P45" s="28"/>
    </row>
    <row r="46" spans="1:16" ht="12.75">
      <c r="A46" s="26">
        <f>+A44+1</f>
        <v>28</v>
      </c>
      <c r="B46" s="9" t="s">
        <v>52</v>
      </c>
      <c r="C46" s="12"/>
      <c r="D46" s="12"/>
      <c r="E46" s="12"/>
      <c r="F46" s="27"/>
      <c r="G46" s="28"/>
      <c r="H46" s="28"/>
      <c r="I46" s="28"/>
      <c r="J46" s="28"/>
      <c r="K46" s="28"/>
      <c r="L46" s="28"/>
      <c r="M46" s="28"/>
      <c r="N46" s="28"/>
      <c r="O46" s="29"/>
      <c r="P46" s="28"/>
    </row>
    <row r="47" spans="1:16" ht="12.75">
      <c r="A47" s="26">
        <f aca="true" t="shared" si="8" ref="A47:A52">+A46+1</f>
        <v>29</v>
      </c>
      <c r="C47" s="10">
        <v>101</v>
      </c>
      <c r="D47" s="12" t="s">
        <v>53</v>
      </c>
      <c r="E47" s="12"/>
      <c r="F47" s="31">
        <f>SUM(G47:O47)</f>
        <v>1506669307.6677485</v>
      </c>
      <c r="G47" s="28">
        <v>1191908709.5588663</v>
      </c>
      <c r="H47" s="28">
        <v>250588772.76356024</v>
      </c>
      <c r="I47" s="28">
        <v>28174729.52782114</v>
      </c>
      <c r="J47" s="28">
        <v>0</v>
      </c>
      <c r="K47" s="28">
        <v>0</v>
      </c>
      <c r="L47" s="28">
        <v>0</v>
      </c>
      <c r="M47" s="28">
        <v>0</v>
      </c>
      <c r="N47" s="28">
        <v>3148036.4812412877</v>
      </c>
      <c r="O47" s="29">
        <v>32849059.336259678</v>
      </c>
      <c r="P47" s="28"/>
    </row>
    <row r="48" spans="1:16" ht="12.75">
      <c r="A48" s="26">
        <f t="shared" si="8"/>
        <v>30</v>
      </c>
      <c r="C48" s="10">
        <v>105</v>
      </c>
      <c r="D48" s="12" t="s">
        <v>54</v>
      </c>
      <c r="E48" s="12"/>
      <c r="F48" s="31">
        <f>SUM(G48:O48)</f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9">
        <v>0</v>
      </c>
      <c r="P48" s="28"/>
    </row>
    <row r="49" spans="1:16" ht="12.75">
      <c r="A49" s="26">
        <f t="shared" si="8"/>
        <v>31</v>
      </c>
      <c r="C49" s="10">
        <v>106</v>
      </c>
      <c r="D49" s="12" t="s">
        <v>55</v>
      </c>
      <c r="E49" s="12"/>
      <c r="F49" s="31">
        <f>SUM(G49:O49)</f>
        <v>6268418.085517433</v>
      </c>
      <c r="G49" s="28">
        <v>5003176.781540088</v>
      </c>
      <c r="H49" s="28">
        <v>1008624.6049003327</v>
      </c>
      <c r="I49" s="28">
        <v>98952.96246698759</v>
      </c>
      <c r="J49" s="28">
        <v>0</v>
      </c>
      <c r="K49" s="28">
        <v>0</v>
      </c>
      <c r="L49" s="28">
        <v>0</v>
      </c>
      <c r="M49" s="28">
        <v>0</v>
      </c>
      <c r="N49" s="28">
        <v>13788.089937407241</v>
      </c>
      <c r="O49" s="29">
        <v>143875.64667261555</v>
      </c>
      <c r="P49" s="28"/>
    </row>
    <row r="50" spans="1:16" ht="12.75">
      <c r="A50" s="26">
        <f t="shared" si="8"/>
        <v>32</v>
      </c>
      <c r="C50" s="10">
        <v>108</v>
      </c>
      <c r="D50" s="12" t="s">
        <v>56</v>
      </c>
      <c r="E50" s="12"/>
      <c r="F50" s="31">
        <f>SUM(G50:O50)</f>
        <v>-605490742.6779412</v>
      </c>
      <c r="G50" s="28">
        <v>-474570272.79327524</v>
      </c>
      <c r="H50" s="28">
        <v>-104095732.04554984</v>
      </c>
      <c r="I50" s="28">
        <v>-13147731.733633785</v>
      </c>
      <c r="J50" s="28">
        <v>0</v>
      </c>
      <c r="K50" s="28">
        <v>0</v>
      </c>
      <c r="L50" s="28">
        <v>0</v>
      </c>
      <c r="M50" s="28">
        <v>0</v>
      </c>
      <c r="N50" s="28">
        <v>-1196088.5509348589</v>
      </c>
      <c r="O50" s="29">
        <v>-12480917.554547405</v>
      </c>
      <c r="P50" s="28"/>
    </row>
    <row r="51" spans="1:16" ht="13.5" thickBot="1">
      <c r="A51" s="26">
        <f t="shared" si="8"/>
        <v>33</v>
      </c>
      <c r="C51" s="10">
        <v>111</v>
      </c>
      <c r="D51" s="12" t="s">
        <v>57</v>
      </c>
      <c r="E51" s="12"/>
      <c r="F51" s="31">
        <f>SUM(G51:O51)</f>
        <v>-7855972.651091804</v>
      </c>
      <c r="G51" s="28">
        <v>-5506030.885458652</v>
      </c>
      <c r="H51" s="28">
        <v>-1849500.3967747777</v>
      </c>
      <c r="I51" s="28">
        <v>-439122.2105429649</v>
      </c>
      <c r="J51" s="28">
        <v>0</v>
      </c>
      <c r="K51" s="28">
        <v>0</v>
      </c>
      <c r="L51" s="28">
        <v>0</v>
      </c>
      <c r="M51" s="28">
        <v>0</v>
      </c>
      <c r="N51" s="28">
        <v>-5362.514474905736</v>
      </c>
      <c r="O51" s="29">
        <v>-55956.64384050329</v>
      </c>
      <c r="P51" s="28"/>
    </row>
    <row r="52" spans="1:16" ht="12.75">
      <c r="A52" s="26">
        <f t="shared" si="8"/>
        <v>34</v>
      </c>
      <c r="C52" s="42" t="s">
        <v>58</v>
      </c>
      <c r="D52" s="12"/>
      <c r="E52" s="12"/>
      <c r="F52" s="32">
        <f>SUM(F47:F51)</f>
        <v>899591010.4242328</v>
      </c>
      <c r="G52" s="33">
        <f aca="true" t="shared" si="9" ref="G52:O52">SUM(G47:G51)</f>
        <v>716835582.6616725</v>
      </c>
      <c r="H52" s="33">
        <f t="shared" si="9"/>
        <v>145652164.92613596</v>
      </c>
      <c r="I52" s="33">
        <f t="shared" si="9"/>
        <v>14686828.546111377</v>
      </c>
      <c r="J52" s="33">
        <f t="shared" si="9"/>
        <v>0</v>
      </c>
      <c r="K52" s="33">
        <f t="shared" si="9"/>
        <v>0</v>
      </c>
      <c r="L52" s="33">
        <f t="shared" si="9"/>
        <v>0</v>
      </c>
      <c r="M52" s="33">
        <f t="shared" si="9"/>
        <v>0</v>
      </c>
      <c r="N52" s="33">
        <f t="shared" si="9"/>
        <v>1960373.50576893</v>
      </c>
      <c r="O52" s="34">
        <f t="shared" si="9"/>
        <v>20456060.784544382</v>
      </c>
      <c r="P52" s="28"/>
    </row>
    <row r="53" spans="1:16" ht="12.75">
      <c r="A53" s="26"/>
      <c r="B53" s="11"/>
      <c r="C53" s="12"/>
      <c r="D53" s="12"/>
      <c r="E53" s="12"/>
      <c r="F53" s="27"/>
      <c r="G53" s="28"/>
      <c r="H53" s="28"/>
      <c r="I53" s="28"/>
      <c r="J53" s="28"/>
      <c r="K53" s="28"/>
      <c r="L53" s="28"/>
      <c r="M53" s="28"/>
      <c r="N53" s="28"/>
      <c r="O53" s="29"/>
      <c r="P53" s="28"/>
    </row>
    <row r="54" spans="1:16" ht="12.75">
      <c r="A54" s="26">
        <f>+A52+1</f>
        <v>35</v>
      </c>
      <c r="B54" s="9" t="s">
        <v>59</v>
      </c>
      <c r="C54" s="12"/>
      <c r="D54" s="12"/>
      <c r="E54" s="12"/>
      <c r="F54" s="27"/>
      <c r="G54" s="28"/>
      <c r="H54" s="28"/>
      <c r="I54" s="28"/>
      <c r="J54" s="28"/>
      <c r="K54" s="28"/>
      <c r="L54" s="28"/>
      <c r="M54" s="28"/>
      <c r="N54" s="28"/>
      <c r="O54" s="29"/>
      <c r="P54" s="28"/>
    </row>
    <row r="55" spans="1:16" ht="12.75">
      <c r="A55" s="26">
        <f aca="true" t="shared" si="10" ref="A55:A66">+A54+1</f>
        <v>36</v>
      </c>
      <c r="C55" s="10">
        <v>154</v>
      </c>
      <c r="D55" s="12" t="s">
        <v>60</v>
      </c>
      <c r="E55" s="12"/>
      <c r="F55" s="31">
        <f aca="true" t="shared" si="11" ref="F55:F65">SUM(G55:O55)</f>
        <v>8979357.190025216</v>
      </c>
      <c r="G55" s="28">
        <v>7103728.837937711</v>
      </c>
      <c r="H55" s="28">
        <v>1493242.4914761835</v>
      </c>
      <c r="I55" s="28">
        <v>167805.64714337888</v>
      </c>
      <c r="J55" s="28">
        <v>0</v>
      </c>
      <c r="K55" s="28">
        <v>0</v>
      </c>
      <c r="L55" s="28">
        <v>0</v>
      </c>
      <c r="M55" s="28">
        <v>0</v>
      </c>
      <c r="N55" s="28">
        <v>18765.57885598122</v>
      </c>
      <c r="O55" s="29">
        <v>195814.63461196132</v>
      </c>
      <c r="P55" s="28"/>
    </row>
    <row r="56" spans="1:16" ht="12.75">
      <c r="A56" s="26">
        <f t="shared" si="10"/>
        <v>37</v>
      </c>
      <c r="C56" s="43" t="s">
        <v>61</v>
      </c>
      <c r="D56" s="12" t="s">
        <v>62</v>
      </c>
      <c r="E56" s="12"/>
      <c r="F56" s="31">
        <f t="shared" si="11"/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9">
        <v>0</v>
      </c>
      <c r="P56" s="28"/>
    </row>
    <row r="57" spans="1:16" ht="12.75">
      <c r="A57" s="26">
        <f t="shared" si="10"/>
        <v>38</v>
      </c>
      <c r="C57" s="10">
        <v>165</v>
      </c>
      <c r="D57" s="12" t="s">
        <v>63</v>
      </c>
      <c r="E57" s="12"/>
      <c r="F57" s="31">
        <f t="shared" si="11"/>
        <v>-488098.3922254839</v>
      </c>
      <c r="G57" s="28">
        <v>-386143.30082056404</v>
      </c>
      <c r="H57" s="28">
        <v>-81169.42492297204</v>
      </c>
      <c r="I57" s="28">
        <v>-9121.551225072726</v>
      </c>
      <c r="J57" s="28">
        <v>0</v>
      </c>
      <c r="K57" s="28">
        <v>0</v>
      </c>
      <c r="L57" s="28">
        <v>0</v>
      </c>
      <c r="M57" s="28">
        <v>0</v>
      </c>
      <c r="N57" s="28">
        <v>-1020.0561883159977</v>
      </c>
      <c r="O57" s="29">
        <v>-10644.059068559061</v>
      </c>
      <c r="P57" s="28"/>
    </row>
    <row r="58" spans="1:16" ht="12.75">
      <c r="A58" s="26">
        <f t="shared" si="10"/>
        <v>39</v>
      </c>
      <c r="C58" s="44" t="s">
        <v>64</v>
      </c>
      <c r="D58" s="45" t="s">
        <v>65</v>
      </c>
      <c r="E58" s="12"/>
      <c r="F58" s="31">
        <f t="shared" si="11"/>
        <v>1808462.59358739</v>
      </c>
      <c r="G58" s="28">
        <v>1444463.564767986</v>
      </c>
      <c r="H58" s="28">
        <v>290204.65896337334</v>
      </c>
      <c r="I58" s="28">
        <v>28124.490198507083</v>
      </c>
      <c r="J58" s="28">
        <v>0</v>
      </c>
      <c r="K58" s="28">
        <v>0</v>
      </c>
      <c r="L58" s="28">
        <v>0</v>
      </c>
      <c r="M58" s="28">
        <v>0</v>
      </c>
      <c r="N58" s="28">
        <v>3993.9457334190165</v>
      </c>
      <c r="O58" s="29">
        <v>41675.93392410453</v>
      </c>
      <c r="P58" s="28"/>
    </row>
    <row r="59" spans="1:16" ht="12.75">
      <c r="A59" s="26">
        <f t="shared" si="10"/>
        <v>40</v>
      </c>
      <c r="C59" s="44" t="s">
        <v>64</v>
      </c>
      <c r="D59" s="45" t="s">
        <v>66</v>
      </c>
      <c r="E59" s="12"/>
      <c r="F59" s="31">
        <f t="shared" si="11"/>
        <v>160100.57778226564</v>
      </c>
      <c r="G59" s="28">
        <v>127876.27022245653</v>
      </c>
      <c r="H59" s="28">
        <v>25691.398727234035</v>
      </c>
      <c r="I59" s="28">
        <v>2489.8204400682093</v>
      </c>
      <c r="J59" s="28">
        <v>0</v>
      </c>
      <c r="K59" s="28">
        <v>0</v>
      </c>
      <c r="L59" s="28">
        <v>0</v>
      </c>
      <c r="M59" s="28">
        <v>0</v>
      </c>
      <c r="N59" s="28">
        <v>353.5782392285904</v>
      </c>
      <c r="O59" s="29">
        <v>3689.510153278288</v>
      </c>
      <c r="P59" s="28"/>
    </row>
    <row r="60" spans="1:16" ht="12.75">
      <c r="A60" s="26">
        <f t="shared" si="10"/>
        <v>41</v>
      </c>
      <c r="C60" s="43" t="s">
        <v>67</v>
      </c>
      <c r="D60" s="12" t="s">
        <v>68</v>
      </c>
      <c r="E60" s="12"/>
      <c r="F60" s="31">
        <f t="shared" si="11"/>
        <v>-5579617.752821608</v>
      </c>
      <c r="G60" s="28">
        <v>-3635146.460459821</v>
      </c>
      <c r="H60" s="28">
        <v>-1893064.4330353762</v>
      </c>
      <c r="I60" s="28">
        <v>-50736.41098559811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9">
        <v>-670.4483408131525</v>
      </c>
      <c r="P60" s="28"/>
    </row>
    <row r="61" spans="1:16" ht="12.75">
      <c r="A61" s="26">
        <f t="shared" si="10"/>
        <v>42</v>
      </c>
      <c r="C61" s="43">
        <v>252</v>
      </c>
      <c r="D61" s="12" t="s">
        <v>69</v>
      </c>
      <c r="E61" s="12"/>
      <c r="F61" s="31">
        <f t="shared" si="11"/>
        <v>-52007973.15703941</v>
      </c>
      <c r="G61" s="28">
        <v>-41169119.73070247</v>
      </c>
      <c r="H61" s="28">
        <v>-8341219.837046822</v>
      </c>
      <c r="I61" s="28">
        <v>-917661.4363064105</v>
      </c>
      <c r="J61" s="28">
        <v>0</v>
      </c>
      <c r="K61" s="28">
        <v>0</v>
      </c>
      <c r="L61" s="28">
        <v>0</v>
      </c>
      <c r="M61" s="28">
        <v>0</v>
      </c>
      <c r="N61" s="28">
        <v>-86801.20190039129</v>
      </c>
      <c r="O61" s="29">
        <v>-1493170.951083319</v>
      </c>
      <c r="P61" s="28"/>
    </row>
    <row r="62" spans="1:16" ht="12.75">
      <c r="A62" s="26">
        <f t="shared" si="10"/>
        <v>43</v>
      </c>
      <c r="C62" s="43" t="s">
        <v>70</v>
      </c>
      <c r="D62" s="12" t="s">
        <v>71</v>
      </c>
      <c r="E62" s="12"/>
      <c r="F62" s="31">
        <f t="shared" si="11"/>
        <v>-42523.126489771676</v>
      </c>
      <c r="G62" s="28">
        <v>-39564.81634162295</v>
      </c>
      <c r="H62" s="28">
        <v>-2914.4250480734313</v>
      </c>
      <c r="I62" s="28">
        <v>-33.92922522751068</v>
      </c>
      <c r="J62" s="28">
        <v>0</v>
      </c>
      <c r="K62" s="28">
        <v>0</v>
      </c>
      <c r="L62" s="28">
        <v>0</v>
      </c>
      <c r="M62" s="28">
        <v>0</v>
      </c>
      <c r="N62" s="28">
        <v>-3.6158152432237656</v>
      </c>
      <c r="O62" s="29">
        <v>-6.340059604556739</v>
      </c>
      <c r="P62" s="28"/>
    </row>
    <row r="63" spans="1:16" ht="12.75">
      <c r="A63" s="26">
        <f t="shared" si="10"/>
        <v>44</v>
      </c>
      <c r="C63" s="10">
        <v>255</v>
      </c>
      <c r="D63" s="12" t="s">
        <v>72</v>
      </c>
      <c r="E63" s="12"/>
      <c r="F63" s="31">
        <f t="shared" si="11"/>
        <v>-2293383.2866682773</v>
      </c>
      <c r="G63" s="28">
        <v>-1802188.1270492224</v>
      </c>
      <c r="H63" s="28">
        <v>-390688.86019602505</v>
      </c>
      <c r="I63" s="28">
        <v>-47867.3021121017</v>
      </c>
      <c r="J63" s="28">
        <v>0</v>
      </c>
      <c r="K63" s="28">
        <v>0</v>
      </c>
      <c r="L63" s="28">
        <v>0</v>
      </c>
      <c r="M63" s="28">
        <v>0</v>
      </c>
      <c r="N63" s="28">
        <v>-4603.412583917433</v>
      </c>
      <c r="O63" s="29">
        <v>-48035.58472701124</v>
      </c>
      <c r="P63" s="28"/>
    </row>
    <row r="64" spans="1:16" ht="12.75">
      <c r="A64" s="26">
        <f t="shared" si="10"/>
        <v>45</v>
      </c>
      <c r="C64" s="10">
        <v>282</v>
      </c>
      <c r="D64" s="12" t="s">
        <v>73</v>
      </c>
      <c r="E64" s="12"/>
      <c r="F64" s="31">
        <f t="shared" si="11"/>
        <v>-125895607.52072196</v>
      </c>
      <c r="G64" s="28">
        <v>-99868597.64815775</v>
      </c>
      <c r="H64" s="28">
        <v>-20729006.361157857</v>
      </c>
      <c r="I64" s="28">
        <v>-2241263.4513017014</v>
      </c>
      <c r="J64" s="28">
        <v>0</v>
      </c>
      <c r="K64" s="28">
        <v>0</v>
      </c>
      <c r="L64" s="28">
        <v>0</v>
      </c>
      <c r="M64" s="28">
        <v>0</v>
      </c>
      <c r="N64" s="28">
        <v>-267319.5991050689</v>
      </c>
      <c r="O64" s="29">
        <v>-2789420.460999576</v>
      </c>
      <c r="P64" s="28"/>
    </row>
    <row r="65" spans="1:16" ht="13.5" thickBot="1">
      <c r="A65" s="26">
        <f t="shared" si="10"/>
        <v>46</v>
      </c>
      <c r="C65" s="12"/>
      <c r="D65" s="12" t="s">
        <v>74</v>
      </c>
      <c r="E65" s="12"/>
      <c r="F65" s="31">
        <f t="shared" si="11"/>
        <v>5982519.059475084</v>
      </c>
      <c r="G65" s="28">
        <v>4732877.005217542</v>
      </c>
      <c r="H65" s="28">
        <v>994876.5236333406</v>
      </c>
      <c r="I65" s="28">
        <v>111800.92974116288</v>
      </c>
      <c r="J65" s="28">
        <v>0</v>
      </c>
      <c r="K65" s="28">
        <v>0</v>
      </c>
      <c r="L65" s="28">
        <v>0</v>
      </c>
      <c r="M65" s="28">
        <v>0</v>
      </c>
      <c r="N65" s="28">
        <v>12502.613582707365</v>
      </c>
      <c r="O65" s="29">
        <v>130461.98730033128</v>
      </c>
      <c r="P65" s="28"/>
    </row>
    <row r="66" spans="1:16" ht="12.75">
      <c r="A66" s="26">
        <f t="shared" si="10"/>
        <v>47</v>
      </c>
      <c r="C66" s="42" t="s">
        <v>75</v>
      </c>
      <c r="D66" s="12"/>
      <c r="E66" s="12"/>
      <c r="F66" s="32">
        <f>SUM(F55:F65)</f>
        <v>-169376763.81509656</v>
      </c>
      <c r="G66" s="33">
        <f aca="true" t="shared" si="12" ref="G66:O66">SUM(G55:G65)</f>
        <v>-133491814.40538575</v>
      </c>
      <c r="H66" s="33">
        <f t="shared" si="12"/>
        <v>-28634048.268606994</v>
      </c>
      <c r="I66" s="33">
        <f t="shared" si="12"/>
        <v>-2956463.193632995</v>
      </c>
      <c r="J66" s="33">
        <f t="shared" si="12"/>
        <v>0</v>
      </c>
      <c r="K66" s="33">
        <f t="shared" si="12"/>
        <v>0</v>
      </c>
      <c r="L66" s="33">
        <f t="shared" si="12"/>
        <v>0</v>
      </c>
      <c r="M66" s="33">
        <f t="shared" si="12"/>
        <v>0</v>
      </c>
      <c r="N66" s="33">
        <f t="shared" si="12"/>
        <v>-324132.1691816007</v>
      </c>
      <c r="O66" s="34">
        <f t="shared" si="12"/>
        <v>-3970305.7782892077</v>
      </c>
      <c r="P66" s="28"/>
    </row>
    <row r="67" spans="1:16" ht="6.75" customHeight="1" thickBot="1">
      <c r="A67" s="26"/>
      <c r="B67" s="9"/>
      <c r="C67" s="12"/>
      <c r="D67" s="12"/>
      <c r="E67" s="12"/>
      <c r="F67" s="36"/>
      <c r="G67" s="37"/>
      <c r="H67" s="37"/>
      <c r="I67" s="37"/>
      <c r="J67" s="37"/>
      <c r="K67" s="37"/>
      <c r="L67" s="37"/>
      <c r="M67" s="37"/>
      <c r="N67" s="37"/>
      <c r="O67" s="38"/>
      <c r="P67" s="28"/>
    </row>
    <row r="68" spans="1:16" ht="6.75" customHeight="1" thickTop="1">
      <c r="A68" s="26"/>
      <c r="B68" s="9"/>
      <c r="C68" s="12"/>
      <c r="D68" s="12"/>
      <c r="E68" s="12"/>
      <c r="F68" s="27"/>
      <c r="G68" s="28"/>
      <c r="H68" s="28"/>
      <c r="I68" s="28"/>
      <c r="J68" s="28"/>
      <c r="K68" s="28"/>
      <c r="L68" s="28"/>
      <c r="M68" s="28"/>
      <c r="N68" s="28"/>
      <c r="O68" s="29"/>
      <c r="P68" s="28"/>
    </row>
    <row r="69" spans="1:16" ht="12.75">
      <c r="A69" s="26">
        <f>+A66+1</f>
        <v>48</v>
      </c>
      <c r="B69" s="42" t="s">
        <v>76</v>
      </c>
      <c r="C69" s="12"/>
      <c r="D69" s="12"/>
      <c r="E69" s="12"/>
      <c r="F69" s="31">
        <f>F52+F66</f>
        <v>730214246.6091363</v>
      </c>
      <c r="G69" s="28">
        <f aca="true" t="shared" si="13" ref="G69:O69">G52+G66</f>
        <v>583343768.2562867</v>
      </c>
      <c r="H69" s="28">
        <f t="shared" si="13"/>
        <v>117018116.65752897</v>
      </c>
      <c r="I69" s="28">
        <f t="shared" si="13"/>
        <v>11730365.352478381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1636241.3365873294</v>
      </c>
      <c r="O69" s="29">
        <f t="shared" si="13"/>
        <v>16485755.006255174</v>
      </c>
      <c r="P69" s="28"/>
    </row>
    <row r="70" spans="1:16" ht="6.75" customHeight="1">
      <c r="A70" s="26"/>
      <c r="B70" s="42"/>
      <c r="C70" s="12"/>
      <c r="D70" s="12"/>
      <c r="E70" s="12"/>
      <c r="F70" s="31"/>
      <c r="G70" s="28"/>
      <c r="H70" s="28"/>
      <c r="I70" s="28"/>
      <c r="J70" s="28"/>
      <c r="K70" s="28"/>
      <c r="L70" s="28"/>
      <c r="M70" s="28"/>
      <c r="N70" s="28"/>
      <c r="O70" s="29"/>
      <c r="P70" s="28"/>
    </row>
    <row r="71" spans="1:16" ht="6.75" customHeight="1">
      <c r="A71" s="46"/>
      <c r="B71" s="47"/>
      <c r="F71" s="48"/>
      <c r="G71" s="49"/>
      <c r="H71" s="49"/>
      <c r="I71" s="49"/>
      <c r="J71" s="49"/>
      <c r="K71" s="49"/>
      <c r="L71" s="49"/>
      <c r="M71" s="49"/>
      <c r="N71" s="49"/>
      <c r="O71" s="50"/>
      <c r="P71" s="49"/>
    </row>
    <row r="72" spans="1:16" ht="12.75" customHeight="1">
      <c r="A72" s="26">
        <f>A69+1</f>
        <v>49</v>
      </c>
      <c r="B72" s="51" t="s">
        <v>77</v>
      </c>
      <c r="C72" s="12"/>
      <c r="D72" s="12"/>
      <c r="E72" s="12"/>
      <c r="F72" s="52">
        <v>0.07394905465116876</v>
      </c>
      <c r="G72" s="53">
        <f>IF(G69=0," ",G41/G69)</f>
        <v>0.06923363800058178</v>
      </c>
      <c r="H72" s="53">
        <f aca="true" t="shared" si="14" ref="H72:O72">IF(H69=0," ",H41/H69)</f>
        <v>0.1026392098347766</v>
      </c>
      <c r="I72" s="53">
        <f t="shared" si="14"/>
        <v>0.07158526741612277</v>
      </c>
      <c r="J72" s="53" t="str">
        <f t="shared" si="14"/>
        <v> </v>
      </c>
      <c r="K72" s="53" t="str">
        <f t="shared" si="14"/>
        <v> </v>
      </c>
      <c r="L72" s="53" t="str">
        <f t="shared" si="14"/>
        <v> </v>
      </c>
      <c r="M72" s="53" t="str">
        <f t="shared" si="14"/>
        <v> </v>
      </c>
      <c r="N72" s="53">
        <f t="shared" si="14"/>
        <v>0.021225553113079818</v>
      </c>
      <c r="O72" s="54">
        <f t="shared" si="14"/>
        <v>0.04407098430192716</v>
      </c>
      <c r="P72" s="53"/>
    </row>
    <row r="73" spans="1:16" ht="0.75" customHeight="1">
      <c r="A73" s="26"/>
      <c r="B73" s="51"/>
      <c r="C73" s="12"/>
      <c r="D73" s="12"/>
      <c r="E73" s="12"/>
      <c r="F73" s="52"/>
      <c r="G73" s="53"/>
      <c r="H73" s="53"/>
      <c r="I73" s="53"/>
      <c r="J73" s="53"/>
      <c r="K73" s="53"/>
      <c r="L73" s="53"/>
      <c r="M73" s="53"/>
      <c r="N73" s="53"/>
      <c r="O73" s="54"/>
      <c r="P73" s="53"/>
    </row>
    <row r="74" spans="1:16" ht="12.75" customHeight="1">
      <c r="A74" s="26">
        <f>+A72+1</f>
        <v>50</v>
      </c>
      <c r="B74" s="51" t="s">
        <v>78</v>
      </c>
      <c r="C74" s="12"/>
      <c r="D74" s="12"/>
      <c r="E74" s="12"/>
      <c r="F74" s="52">
        <v>0.08033599500226839</v>
      </c>
      <c r="G74" s="53">
        <v>0.07115816303064595</v>
      </c>
      <c r="H74" s="53">
        <v>0.13617696156503176</v>
      </c>
      <c r="I74" s="53">
        <v>0.07573524735524603</v>
      </c>
      <c r="J74" s="53" t="s">
        <v>92</v>
      </c>
      <c r="K74" s="53" t="s">
        <v>92</v>
      </c>
      <c r="L74" s="53" t="s">
        <v>92</v>
      </c>
      <c r="M74" s="53" t="s">
        <v>92</v>
      </c>
      <c r="N74" s="53">
        <v>-0.02228217724597241</v>
      </c>
      <c r="O74" s="54">
        <v>0.022182934600380205</v>
      </c>
      <c r="P74" s="53"/>
    </row>
    <row r="75" spans="1:16" ht="6.75" customHeight="1" thickBot="1">
      <c r="A75" s="49"/>
      <c r="B75" s="55"/>
      <c r="C75" s="55"/>
      <c r="D75" s="55"/>
      <c r="E75" s="55"/>
      <c r="F75" s="56"/>
      <c r="G75" s="55"/>
      <c r="H75" s="55"/>
      <c r="I75" s="55"/>
      <c r="J75" s="55"/>
      <c r="K75" s="55"/>
      <c r="L75" s="55"/>
      <c r="M75" s="55"/>
      <c r="N75" s="55"/>
      <c r="O75" s="57"/>
      <c r="P75" s="49"/>
    </row>
    <row r="76" spans="1:16" ht="6.75" customHeight="1">
      <c r="A76" s="20"/>
      <c r="B76" s="20"/>
      <c r="C76" s="20"/>
      <c r="D76" s="20"/>
      <c r="E76" s="20"/>
      <c r="F76" s="58"/>
      <c r="G76" s="20"/>
      <c r="H76" s="20"/>
      <c r="I76" s="20"/>
      <c r="J76" s="20"/>
      <c r="K76" s="20"/>
      <c r="L76" s="20"/>
      <c r="M76" s="20"/>
      <c r="N76" s="20"/>
      <c r="O76" s="21"/>
      <c r="P76" s="20"/>
    </row>
    <row r="77" spans="1:16" ht="12.75">
      <c r="A77" s="26">
        <f>A74+1</f>
        <v>51</v>
      </c>
      <c r="B77" s="51" t="s">
        <v>79</v>
      </c>
      <c r="D77" s="12"/>
      <c r="E77" s="12"/>
      <c r="F77" s="27">
        <f>F38+F41</f>
        <v>239138038.70366654</v>
      </c>
      <c r="G77" s="59">
        <f aca="true" t="shared" si="15" ref="G77:O77">G38+G41</f>
        <v>186301591.34573144</v>
      </c>
      <c r="H77" s="28">
        <f t="shared" si="15"/>
        <v>42923181.49614899</v>
      </c>
      <c r="I77" s="28">
        <f t="shared" si="15"/>
        <v>4129747.4680484156</v>
      </c>
      <c r="J77" s="28">
        <f t="shared" si="15"/>
        <v>0</v>
      </c>
      <c r="K77" s="28">
        <f t="shared" si="15"/>
        <v>0</v>
      </c>
      <c r="L77" s="28">
        <f t="shared" si="15"/>
        <v>0</v>
      </c>
      <c r="M77" s="28">
        <f t="shared" si="15"/>
        <v>0</v>
      </c>
      <c r="N77" s="28">
        <f t="shared" si="15"/>
        <v>532844.3459129037</v>
      </c>
      <c r="O77" s="29">
        <f t="shared" si="15"/>
        <v>5250674.04782481</v>
      </c>
      <c r="P77" s="28"/>
    </row>
    <row r="78" spans="1:16" ht="12.75" customHeight="1">
      <c r="A78" s="46"/>
      <c r="B78" s="60"/>
      <c r="F78" s="48"/>
      <c r="G78" s="49"/>
      <c r="H78" s="49"/>
      <c r="I78" s="49"/>
      <c r="J78" s="49"/>
      <c r="K78" s="49"/>
      <c r="L78" s="49"/>
      <c r="M78" s="49"/>
      <c r="N78" s="49"/>
      <c r="O78" s="50"/>
      <c r="P78" s="49"/>
    </row>
    <row r="79" spans="1:16" ht="12.75">
      <c r="A79" s="46">
        <f>A77+1</f>
        <v>52</v>
      </c>
      <c r="B79" s="61" t="s">
        <v>80</v>
      </c>
      <c r="F79" s="62">
        <v>11966498.309372839</v>
      </c>
      <c r="G79" s="63">
        <v>14021429.296984524</v>
      </c>
      <c r="H79" s="64">
        <v>-3528011.5527061443</v>
      </c>
      <c r="I79" s="64">
        <v>237209.57384158147</v>
      </c>
      <c r="J79" s="64">
        <v>0</v>
      </c>
      <c r="K79" s="64">
        <v>0</v>
      </c>
      <c r="L79" s="64">
        <v>0</v>
      </c>
      <c r="M79" s="64">
        <v>0</v>
      </c>
      <c r="N79" s="64">
        <v>166745.9632515269</v>
      </c>
      <c r="O79" s="65">
        <v>1069125.0280013592</v>
      </c>
      <c r="P79" s="49"/>
    </row>
    <row r="80" spans="1:16" ht="12.75">
      <c r="A80" s="46"/>
      <c r="B80" s="61"/>
      <c r="F80" s="62"/>
      <c r="G80" s="64"/>
      <c r="H80" s="64"/>
      <c r="I80" s="64"/>
      <c r="J80" s="64"/>
      <c r="K80" s="64"/>
      <c r="L80" s="64"/>
      <c r="M80" s="64"/>
      <c r="N80" s="64"/>
      <c r="O80" s="65"/>
      <c r="P80" s="49"/>
    </row>
    <row r="81" spans="1:16" ht="12.75">
      <c r="A81" s="46">
        <f>A79+1</f>
        <v>53</v>
      </c>
      <c r="B81" s="61" t="s">
        <v>81</v>
      </c>
      <c r="F81" s="62">
        <f>SUM(G81:O81)</f>
        <v>0</v>
      </c>
      <c r="G81" s="63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5">
        <v>0</v>
      </c>
      <c r="P81" s="49"/>
    </row>
    <row r="82" spans="1:16" ht="6.75" customHeight="1" thickBot="1">
      <c r="A82" s="46"/>
      <c r="F82" s="66"/>
      <c r="G82" s="67"/>
      <c r="H82" s="67"/>
      <c r="I82" s="67"/>
      <c r="J82" s="67"/>
      <c r="K82" s="67"/>
      <c r="L82" s="67"/>
      <c r="M82" s="67"/>
      <c r="N82" s="67"/>
      <c r="O82" s="68"/>
      <c r="P82" s="20"/>
    </row>
    <row r="83" spans="1:16" ht="6.75" customHeight="1" thickTop="1">
      <c r="A83" s="46"/>
      <c r="F83" s="58"/>
      <c r="G83" s="20"/>
      <c r="H83" s="20"/>
      <c r="I83" s="20"/>
      <c r="J83" s="20"/>
      <c r="K83" s="20"/>
      <c r="L83" s="20"/>
      <c r="M83" s="20"/>
      <c r="N83" s="20"/>
      <c r="O83" s="21"/>
      <c r="P83" s="20"/>
    </row>
    <row r="84" spans="1:16" ht="12.75">
      <c r="A84" s="46">
        <f>A81+1</f>
        <v>54</v>
      </c>
      <c r="B84" s="47" t="s">
        <v>82</v>
      </c>
      <c r="F84" s="62">
        <f>F79+F41+F38+F81</f>
        <v>251104537.01303938</v>
      </c>
      <c r="G84" s="64">
        <f>G79+G41+G38+G81</f>
        <v>200323020.64271596</v>
      </c>
      <c r="H84" s="64">
        <f aca="true" t="shared" si="16" ref="H84:O84">H79+H41+H38+H81</f>
        <v>39395169.943442844</v>
      </c>
      <c r="I84" s="64">
        <f t="shared" si="16"/>
        <v>4366957.041889997</v>
      </c>
      <c r="J84" s="64">
        <f t="shared" si="16"/>
        <v>0</v>
      </c>
      <c r="K84" s="64">
        <f t="shared" si="16"/>
        <v>0</v>
      </c>
      <c r="L84" s="64">
        <f t="shared" si="16"/>
        <v>0</v>
      </c>
      <c r="M84" s="64">
        <f t="shared" si="16"/>
        <v>0</v>
      </c>
      <c r="N84" s="64">
        <f t="shared" si="16"/>
        <v>699590.3091644306</v>
      </c>
      <c r="O84" s="65">
        <f t="shared" si="16"/>
        <v>6319799.07582617</v>
      </c>
      <c r="P84" s="49"/>
    </row>
    <row r="85" spans="1:16" ht="12.75">
      <c r="A85" s="46"/>
      <c r="B85" s="47"/>
      <c r="F85" s="48"/>
      <c r="G85" s="49"/>
      <c r="H85" s="49"/>
      <c r="I85" s="49"/>
      <c r="J85" s="49"/>
      <c r="K85" s="49"/>
      <c r="L85" s="49"/>
      <c r="M85" s="49"/>
      <c r="N85" s="49"/>
      <c r="O85" s="50"/>
      <c r="P85" s="49"/>
    </row>
    <row r="86" spans="1:16" ht="12.75">
      <c r="A86" s="46">
        <f>A84+1</f>
        <v>55</v>
      </c>
      <c r="B86" s="51" t="s">
        <v>83</v>
      </c>
      <c r="F86" s="52">
        <v>0.08405209171593839</v>
      </c>
      <c r="G86" s="53">
        <f aca="true" t="shared" si="17" ref="G86:O86">$F$86</f>
        <v>0.08405209171593839</v>
      </c>
      <c r="H86" s="53">
        <f t="shared" si="17"/>
        <v>0.08405209171593839</v>
      </c>
      <c r="I86" s="53">
        <f t="shared" si="17"/>
        <v>0.08405209171593839</v>
      </c>
      <c r="J86" s="53">
        <f t="shared" si="17"/>
        <v>0.08405209171593839</v>
      </c>
      <c r="K86" s="53">
        <f t="shared" si="17"/>
        <v>0.08405209171593839</v>
      </c>
      <c r="L86" s="53">
        <f t="shared" si="17"/>
        <v>0.08405209171593839</v>
      </c>
      <c r="M86" s="53">
        <f t="shared" si="17"/>
        <v>0.08405209171593839</v>
      </c>
      <c r="N86" s="53">
        <f t="shared" si="17"/>
        <v>0.08405209171593839</v>
      </c>
      <c r="O86" s="54">
        <f t="shared" si="17"/>
        <v>0.08405209171593839</v>
      </c>
      <c r="P86" s="53"/>
    </row>
    <row r="87" spans="1:16" ht="12.75" customHeight="1">
      <c r="A87" s="46">
        <f>A86+1</f>
        <v>56</v>
      </c>
      <c r="B87" s="51" t="s">
        <v>84</v>
      </c>
      <c r="F87" s="52">
        <v>0.1</v>
      </c>
      <c r="G87" s="53">
        <f aca="true" t="shared" si="18" ref="G87:O87">$F$87</f>
        <v>0.1</v>
      </c>
      <c r="H87" s="53">
        <f t="shared" si="18"/>
        <v>0.1</v>
      </c>
      <c r="I87" s="53">
        <f t="shared" si="18"/>
        <v>0.1</v>
      </c>
      <c r="J87" s="53">
        <f t="shared" si="18"/>
        <v>0.1</v>
      </c>
      <c r="K87" s="53">
        <f t="shared" si="18"/>
        <v>0.1</v>
      </c>
      <c r="L87" s="53">
        <f t="shared" si="18"/>
        <v>0.1</v>
      </c>
      <c r="M87" s="53">
        <f t="shared" si="18"/>
        <v>0.1</v>
      </c>
      <c r="N87" s="53">
        <f t="shared" si="18"/>
        <v>0.1</v>
      </c>
      <c r="O87" s="54">
        <f t="shared" si="18"/>
        <v>0.1</v>
      </c>
      <c r="P87" s="53"/>
    </row>
    <row r="88" spans="1:16" ht="6.75" customHeight="1" thickBot="1">
      <c r="A88" s="49"/>
      <c r="B88" s="49"/>
      <c r="C88" s="49"/>
      <c r="D88" s="49"/>
      <c r="E88" s="49"/>
      <c r="F88" s="56"/>
      <c r="G88" s="55"/>
      <c r="H88" s="55"/>
      <c r="I88" s="55"/>
      <c r="J88" s="55"/>
      <c r="K88" s="55"/>
      <c r="L88" s="55"/>
      <c r="M88" s="55"/>
      <c r="N88" s="55"/>
      <c r="O88" s="57"/>
      <c r="P88" s="49"/>
    </row>
    <row r="89" spans="1:16" ht="6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5:16" ht="12.75">
      <c r="E90" s="20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20"/>
    </row>
    <row r="91" spans="6:16" ht="12.75"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20"/>
    </row>
    <row r="92" ht="12.75">
      <c r="P92" s="20"/>
    </row>
    <row r="93" ht="12.75">
      <c r="P93" s="20"/>
    </row>
    <row r="94" ht="12.75">
      <c r="P94" s="20"/>
    </row>
    <row r="95" ht="12.75">
      <c r="P95" s="20"/>
    </row>
    <row r="96" ht="12.75">
      <c r="P96" s="20"/>
    </row>
    <row r="97" ht="12.75">
      <c r="P97" s="20"/>
    </row>
    <row r="98" ht="12.75">
      <c r="P98" s="20"/>
    </row>
    <row r="99" ht="12.75">
      <c r="P99" s="20"/>
    </row>
    <row r="100" ht="12.75">
      <c r="P100" s="20"/>
    </row>
    <row r="101" ht="12.75">
      <c r="P101" s="20"/>
    </row>
    <row r="102" ht="12.75">
      <c r="P102" s="20"/>
    </row>
    <row r="103" ht="12.75">
      <c r="P103" s="20"/>
    </row>
  </sheetData>
  <sheetProtection/>
  <mergeCells count="5">
    <mergeCell ref="B44:E44"/>
    <mergeCell ref="A1:O1"/>
    <mergeCell ref="G5:O5"/>
    <mergeCell ref="B6:E6"/>
    <mergeCell ref="B8:E8"/>
  </mergeCells>
  <printOptions horizontalCentered="1"/>
  <pageMargins left="0.5" right="0.5" top="1.25" bottom="0.5" header="0.5" footer="0.5"/>
  <pageSetup fitToHeight="1" fitToWidth="1" horizontalDpi="600" verticalDpi="600" orientation="portrait" scale="57" r:id="rId2"/>
  <headerFooter alignWithMargins="0">
    <oddHeader>&amp;R&amp;"Times New Roman,Bold"Utah Association of Energy Users
Utah PSC Docket No.  07-057-13
UAE Exhibit COS 1.2
Page 1 of 2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PageLayoutView="0" workbookViewId="0" topLeftCell="A64">
      <selection activeCell="A2" sqref="A2"/>
    </sheetView>
  </sheetViews>
  <sheetFormatPr defaultColWidth="9.33203125" defaultRowHeight="12.75"/>
  <cols>
    <col min="1" max="1" width="4.83203125" style="6" customWidth="1"/>
    <col min="2" max="2" width="3.16015625" style="6" customWidth="1"/>
    <col min="3" max="3" width="7.83203125" style="6" customWidth="1"/>
    <col min="4" max="4" width="6.66015625" style="6" customWidth="1"/>
    <col min="5" max="5" width="35.83203125" style="6" customWidth="1"/>
    <col min="6" max="7" width="15.83203125" style="6" bestFit="1" customWidth="1"/>
    <col min="8" max="8" width="14.5" style="6" bestFit="1" customWidth="1"/>
    <col min="9" max="9" width="13.5" style="6" bestFit="1" customWidth="1"/>
    <col min="10" max="13" width="8.66015625" style="6" bestFit="1" customWidth="1"/>
    <col min="14" max="14" width="12.16015625" style="6" bestFit="1" customWidth="1"/>
    <col min="15" max="15" width="13.5" style="6" bestFit="1" customWidth="1"/>
    <col min="16" max="16" width="4" style="6" customWidth="1"/>
    <col min="17" max="16384" width="9.33203125" style="8" customWidth="1"/>
  </cols>
  <sheetData>
    <row r="1" spans="1:16" ht="27.75" customHeight="1">
      <c r="A1" s="142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7"/>
    </row>
    <row r="2" spans="1:16" ht="12.75">
      <c r="A2" s="5"/>
      <c r="B2" s="13"/>
      <c r="C2" s="13"/>
      <c r="D2" s="13"/>
      <c r="E2" s="13"/>
      <c r="F2" s="14"/>
      <c r="G2" s="14"/>
      <c r="H2" s="7"/>
      <c r="I2" s="15"/>
      <c r="J2" s="10"/>
      <c r="K2" s="10"/>
      <c r="L2" s="7"/>
      <c r="M2" s="7"/>
      <c r="N2" s="7"/>
      <c r="O2" s="7"/>
      <c r="P2" s="7"/>
    </row>
    <row r="3" spans="5:16" ht="12.75">
      <c r="E3" s="7" t="s">
        <v>15</v>
      </c>
      <c r="F3" s="16" t="s">
        <v>16</v>
      </c>
      <c r="G3" s="15" t="s">
        <v>17</v>
      </c>
      <c r="H3" s="15" t="s">
        <v>18</v>
      </c>
      <c r="I3" s="15" t="s">
        <v>19</v>
      </c>
      <c r="M3" s="15"/>
      <c r="N3" s="15" t="s">
        <v>20</v>
      </c>
      <c r="O3" s="7" t="s">
        <v>21</v>
      </c>
      <c r="P3" s="15"/>
    </row>
    <row r="4" spans="1:16" ht="12.75">
      <c r="A4" s="17"/>
      <c r="B4" s="18"/>
      <c r="C4" s="18"/>
      <c r="D4" s="18"/>
      <c r="E4" s="18"/>
      <c r="F4" s="19" t="s">
        <v>34</v>
      </c>
      <c r="G4" s="20"/>
      <c r="H4" s="20"/>
      <c r="I4" s="20"/>
      <c r="J4" s="20"/>
      <c r="K4" s="20"/>
      <c r="L4" s="20"/>
      <c r="M4" s="20"/>
      <c r="N4" s="20"/>
      <c r="O4" s="21"/>
      <c r="P4" s="20"/>
    </row>
    <row r="5" spans="1:16" ht="12.75">
      <c r="A5" s="17"/>
      <c r="B5" s="9"/>
      <c r="C5" s="9"/>
      <c r="D5" s="9"/>
      <c r="E5" s="9"/>
      <c r="F5" s="19" t="s">
        <v>85</v>
      </c>
      <c r="G5" s="138" t="s">
        <v>22</v>
      </c>
      <c r="H5" s="138"/>
      <c r="I5" s="138"/>
      <c r="J5" s="138"/>
      <c r="K5" s="138"/>
      <c r="L5" s="138"/>
      <c r="M5" s="138"/>
      <c r="N5" s="138"/>
      <c r="O5" s="139"/>
      <c r="P5" s="14"/>
    </row>
    <row r="6" spans="1:16" ht="13.5" thickBot="1">
      <c r="A6" s="17"/>
      <c r="B6" s="140" t="s">
        <v>23</v>
      </c>
      <c r="C6" s="140"/>
      <c r="D6" s="140"/>
      <c r="E6" s="140"/>
      <c r="F6" s="24" t="s">
        <v>86</v>
      </c>
      <c r="G6" s="23" t="s">
        <v>0</v>
      </c>
      <c r="H6" s="23" t="s">
        <v>1</v>
      </c>
      <c r="I6" s="23" t="s">
        <v>2</v>
      </c>
      <c r="J6" s="23" t="s">
        <v>87</v>
      </c>
      <c r="K6" s="23" t="s">
        <v>88</v>
      </c>
      <c r="L6" s="23" t="s">
        <v>89</v>
      </c>
      <c r="M6" s="23" t="s">
        <v>90</v>
      </c>
      <c r="N6" s="23" t="s">
        <v>3</v>
      </c>
      <c r="O6" s="25" t="s">
        <v>91</v>
      </c>
      <c r="P6" s="14"/>
    </row>
    <row r="7" spans="1:16" ht="6.75" customHeight="1">
      <c r="A7" s="17"/>
      <c r="B7" s="14"/>
      <c r="C7" s="14"/>
      <c r="D7" s="14"/>
      <c r="E7" s="14"/>
      <c r="F7" s="19"/>
      <c r="G7" s="14"/>
      <c r="H7" s="14"/>
      <c r="I7" s="14"/>
      <c r="J7" s="14"/>
      <c r="K7" s="14"/>
      <c r="L7" s="14"/>
      <c r="M7" s="14"/>
      <c r="N7" s="14"/>
      <c r="O7" s="22"/>
      <c r="P7" s="14"/>
    </row>
    <row r="8" spans="1:16" ht="12.75">
      <c r="A8" s="26">
        <v>1</v>
      </c>
      <c r="B8" s="141" t="s">
        <v>24</v>
      </c>
      <c r="C8" s="141"/>
      <c r="D8" s="141"/>
      <c r="E8" s="141"/>
      <c r="F8" s="27"/>
      <c r="G8" s="28"/>
      <c r="H8" s="28"/>
      <c r="I8" s="28"/>
      <c r="J8" s="28"/>
      <c r="K8" s="28"/>
      <c r="L8" s="28"/>
      <c r="M8" s="28"/>
      <c r="N8" s="28"/>
      <c r="O8" s="29"/>
      <c r="P8" s="28"/>
    </row>
    <row r="9" spans="1:16" ht="6.75" customHeight="1">
      <c r="A9" s="26"/>
      <c r="B9" s="7"/>
      <c r="C9" s="7"/>
      <c r="D9" s="7"/>
      <c r="E9" s="7"/>
      <c r="F9" s="27"/>
      <c r="G9" s="28"/>
      <c r="H9" s="28"/>
      <c r="I9" s="28"/>
      <c r="J9" s="28"/>
      <c r="K9" s="28"/>
      <c r="L9" s="28"/>
      <c r="M9" s="28"/>
      <c r="N9" s="28"/>
      <c r="O9" s="29"/>
      <c r="P9" s="28"/>
    </row>
    <row r="10" spans="1:16" ht="12.75">
      <c r="A10" s="26">
        <f>+A8+1</f>
        <v>2</v>
      </c>
      <c r="B10" s="9" t="s">
        <v>25</v>
      </c>
      <c r="C10" s="12"/>
      <c r="D10" s="12"/>
      <c r="E10" s="12"/>
      <c r="F10" s="27"/>
      <c r="G10" s="28"/>
      <c r="H10" s="28"/>
      <c r="I10" s="28"/>
      <c r="J10" s="30"/>
      <c r="K10" s="30"/>
      <c r="L10" s="28"/>
      <c r="M10" s="28"/>
      <c r="N10" s="28"/>
      <c r="O10" s="29"/>
      <c r="P10" s="28"/>
    </row>
    <row r="11" spans="1:16" ht="12" customHeight="1">
      <c r="A11" s="26">
        <f aca="true" t="shared" si="0" ref="A11:A16">+A10+1</f>
        <v>3</v>
      </c>
      <c r="B11" s="9"/>
      <c r="C11" s="12"/>
      <c r="D11" s="11" t="s">
        <v>26</v>
      </c>
      <c r="E11" s="12"/>
      <c r="F11" s="31">
        <f>SUM(G11:O11)</f>
        <v>233163939.75</v>
      </c>
      <c r="G11" s="28">
        <v>182126666.95152256</v>
      </c>
      <c r="H11" s="28">
        <v>41672953.32923588</v>
      </c>
      <c r="I11" s="28">
        <v>3940378.1767544984</v>
      </c>
      <c r="J11" s="28">
        <v>0</v>
      </c>
      <c r="K11" s="28">
        <v>0</v>
      </c>
      <c r="L11" s="28">
        <v>0</v>
      </c>
      <c r="M11" s="28">
        <v>0</v>
      </c>
      <c r="N11" s="28">
        <v>520315.14953648194</v>
      </c>
      <c r="O11" s="29">
        <v>4903626.142950579</v>
      </c>
      <c r="P11" s="28"/>
    </row>
    <row r="12" spans="1:16" ht="12" customHeight="1">
      <c r="A12" s="26">
        <f t="shared" si="0"/>
        <v>4</v>
      </c>
      <c r="B12" s="9"/>
      <c r="C12" s="12"/>
      <c r="D12" s="11" t="s">
        <v>27</v>
      </c>
      <c r="E12" s="12"/>
      <c r="F12" s="31">
        <f>SUM(G12:O12)</f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v>0</v>
      </c>
      <c r="P12" s="28"/>
    </row>
    <row r="13" spans="1:16" ht="12" customHeight="1">
      <c r="A13" s="26">
        <f t="shared" si="0"/>
        <v>5</v>
      </c>
      <c r="B13" s="9"/>
      <c r="C13" s="12"/>
      <c r="D13" s="11" t="s">
        <v>28</v>
      </c>
      <c r="E13" s="12"/>
      <c r="F13" s="31">
        <f>SUM(G13:O13)</f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v>0</v>
      </c>
      <c r="P13" s="28"/>
    </row>
    <row r="14" spans="1:16" ht="12" customHeight="1">
      <c r="A14" s="26">
        <f t="shared" si="0"/>
        <v>6</v>
      </c>
      <c r="B14" s="9"/>
      <c r="C14" s="12"/>
      <c r="D14" s="11" t="s">
        <v>29</v>
      </c>
      <c r="E14" s="12"/>
      <c r="F14" s="31">
        <f>SUM(G14:O14)</f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v>0</v>
      </c>
      <c r="P14" s="28"/>
    </row>
    <row r="15" spans="1:16" ht="12" customHeight="1" thickBot="1">
      <c r="A15" s="26">
        <f t="shared" si="0"/>
        <v>7</v>
      </c>
      <c r="B15" s="9"/>
      <c r="C15" s="12"/>
      <c r="D15" s="11" t="s">
        <v>30</v>
      </c>
      <c r="E15" s="12"/>
      <c r="F15" s="31">
        <f>SUM(G15:O15)</f>
        <v>5974098.95366651</v>
      </c>
      <c r="G15" s="28">
        <v>4976475.740562218</v>
      </c>
      <c r="H15" s="28">
        <v>834020.4171623114</v>
      </c>
      <c r="I15" s="28">
        <v>71426.74395989634</v>
      </c>
      <c r="J15" s="28">
        <v>0</v>
      </c>
      <c r="K15" s="28">
        <v>0</v>
      </c>
      <c r="L15" s="28">
        <v>0</v>
      </c>
      <c r="M15" s="28">
        <v>0</v>
      </c>
      <c r="N15" s="28">
        <v>6537.318960929272</v>
      </c>
      <c r="O15" s="29">
        <v>85638.73302115467</v>
      </c>
      <c r="P15" s="28"/>
    </row>
    <row r="16" spans="1:16" ht="12.75">
      <c r="A16" s="26">
        <f t="shared" si="0"/>
        <v>8</v>
      </c>
      <c r="B16" s="9"/>
      <c r="C16" s="12" t="s">
        <v>31</v>
      </c>
      <c r="D16" s="12"/>
      <c r="E16" s="12"/>
      <c r="F16" s="32">
        <f>SUM(F11:F15)</f>
        <v>239138038.7036665</v>
      </c>
      <c r="G16" s="33">
        <f aca="true" t="shared" si="1" ref="G16:O16">SUM(G11:G15)</f>
        <v>187103142.6920848</v>
      </c>
      <c r="H16" s="33">
        <f t="shared" si="1"/>
        <v>42506973.746398196</v>
      </c>
      <c r="I16" s="33">
        <f t="shared" si="1"/>
        <v>4011804.9207143947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3">
        <f t="shared" si="1"/>
        <v>526852.4684974112</v>
      </c>
      <c r="O16" s="34">
        <f t="shared" si="1"/>
        <v>4989264.875971734</v>
      </c>
      <c r="P16" s="28"/>
    </row>
    <row r="17" spans="1:16" ht="12.75">
      <c r="A17" s="26"/>
      <c r="B17" s="9"/>
      <c r="C17" s="12"/>
      <c r="D17" s="12"/>
      <c r="E17" s="12"/>
      <c r="F17" s="27"/>
      <c r="G17" s="35"/>
      <c r="H17" s="28"/>
      <c r="I17" s="28"/>
      <c r="J17" s="28"/>
      <c r="K17" s="28"/>
      <c r="L17" s="28"/>
      <c r="M17" s="28"/>
      <c r="N17" s="28"/>
      <c r="O17" s="29"/>
      <c r="P17" s="28"/>
    </row>
    <row r="18" spans="1:16" ht="12.75">
      <c r="A18" s="26">
        <f>+A16+1</f>
        <v>9</v>
      </c>
      <c r="B18" s="9" t="s">
        <v>32</v>
      </c>
      <c r="C18" s="12"/>
      <c r="D18" s="12"/>
      <c r="E18" s="12"/>
      <c r="F18" s="27"/>
      <c r="G18" s="28"/>
      <c r="H18" s="28"/>
      <c r="I18" s="28"/>
      <c r="J18" s="28"/>
      <c r="K18" s="28"/>
      <c r="L18" s="28"/>
      <c r="M18" s="28"/>
      <c r="N18" s="28"/>
      <c r="O18" s="29"/>
      <c r="P18" s="28"/>
    </row>
    <row r="19" spans="1:16" ht="12.75">
      <c r="A19" s="26">
        <f>+A18+1</f>
        <v>10</v>
      </c>
      <c r="B19" s="9"/>
      <c r="C19" s="12" t="s">
        <v>33</v>
      </c>
      <c r="D19" s="12"/>
      <c r="E19" s="12"/>
      <c r="F19" s="31"/>
      <c r="G19" s="28"/>
      <c r="H19" s="28"/>
      <c r="I19" s="28"/>
      <c r="J19" s="28"/>
      <c r="K19" s="28"/>
      <c r="L19" s="28"/>
      <c r="M19" s="28"/>
      <c r="N19" s="28"/>
      <c r="O19" s="29"/>
      <c r="P19" s="28"/>
    </row>
    <row r="20" spans="1:16" ht="13.5" thickBot="1">
      <c r="A20" s="26">
        <f>+A19+1</f>
        <v>11</v>
      </c>
      <c r="B20" s="9"/>
      <c r="C20" s="12"/>
      <c r="D20" s="12" t="s">
        <v>34</v>
      </c>
      <c r="E20" s="12" t="s">
        <v>35</v>
      </c>
      <c r="F20" s="31">
        <v>0</v>
      </c>
      <c r="G20" s="28">
        <v>191566.85431150353</v>
      </c>
      <c r="H20" s="28">
        <v>78410.57119131711</v>
      </c>
      <c r="I20" s="28">
        <v>21557.57449717937</v>
      </c>
      <c r="J20" s="28">
        <v>0</v>
      </c>
      <c r="K20" s="28">
        <v>0</v>
      </c>
      <c r="L20" s="28">
        <v>0</v>
      </c>
      <c r="M20" s="28">
        <v>0</v>
      </c>
      <c r="N20" s="28">
        <v>-41535</v>
      </c>
      <c r="O20" s="29">
        <v>-250000</v>
      </c>
      <c r="P20" s="28"/>
    </row>
    <row r="21" spans="1:16" ht="12.75">
      <c r="A21" s="26">
        <f>+A20+1</f>
        <v>12</v>
      </c>
      <c r="B21" s="9"/>
      <c r="C21" s="12"/>
      <c r="D21" s="12" t="s">
        <v>36</v>
      </c>
      <c r="E21" s="12"/>
      <c r="F21" s="32">
        <f>SUM(F19:F20)</f>
        <v>0</v>
      </c>
      <c r="G21" s="33">
        <f>SUM(G19:G20)</f>
        <v>191566.85431150353</v>
      </c>
      <c r="H21" s="33">
        <f aca="true" t="shared" si="2" ref="H21:O21">SUM(H19:H20)</f>
        <v>78410.57119131711</v>
      </c>
      <c r="I21" s="33">
        <f t="shared" si="2"/>
        <v>21557.57449717937</v>
      </c>
      <c r="J21" s="33">
        <f t="shared" si="2"/>
        <v>0</v>
      </c>
      <c r="K21" s="33">
        <f t="shared" si="2"/>
        <v>0</v>
      </c>
      <c r="L21" s="33">
        <f t="shared" si="2"/>
        <v>0</v>
      </c>
      <c r="M21" s="33">
        <f t="shared" si="2"/>
        <v>0</v>
      </c>
      <c r="N21" s="33">
        <f t="shared" si="2"/>
        <v>-41535</v>
      </c>
      <c r="O21" s="34">
        <f t="shared" si="2"/>
        <v>-250000</v>
      </c>
      <c r="P21" s="28"/>
    </row>
    <row r="22" spans="1:16" ht="12.75">
      <c r="A22" s="26"/>
      <c r="B22" s="9"/>
      <c r="C22" s="12"/>
      <c r="D22" s="12"/>
      <c r="E22" s="12"/>
      <c r="F22" s="27"/>
      <c r="G22" s="28"/>
      <c r="H22" s="28"/>
      <c r="I22" s="28"/>
      <c r="J22" s="28"/>
      <c r="K22" s="28"/>
      <c r="L22" s="28"/>
      <c r="M22" s="28"/>
      <c r="N22" s="28"/>
      <c r="O22" s="29"/>
      <c r="P22" s="28"/>
    </row>
    <row r="23" spans="1:16" ht="12.75">
      <c r="A23" s="26">
        <f>+A21+1</f>
        <v>13</v>
      </c>
      <c r="B23" s="9"/>
      <c r="C23" s="12" t="s">
        <v>37</v>
      </c>
      <c r="D23" s="12"/>
      <c r="E23" s="12"/>
      <c r="F23" s="27"/>
      <c r="G23" s="28"/>
      <c r="H23" s="28"/>
      <c r="I23" s="28"/>
      <c r="J23" s="28"/>
      <c r="K23" s="28"/>
      <c r="L23" s="28"/>
      <c r="M23" s="28"/>
      <c r="N23" s="28"/>
      <c r="O23" s="29"/>
      <c r="P23" s="28"/>
    </row>
    <row r="24" spans="1:16" ht="12" customHeight="1">
      <c r="A24" s="26">
        <f aca="true" t="shared" si="3" ref="A24:A29">+A23+1</f>
        <v>14</v>
      </c>
      <c r="B24" s="9"/>
      <c r="C24" s="12"/>
      <c r="D24" s="11" t="s">
        <v>38</v>
      </c>
      <c r="E24" s="12"/>
      <c r="F24" s="31">
        <f>SUM(G24:O24)</f>
        <v>-1669458.2883368786</v>
      </c>
      <c r="G24" s="28">
        <v>-1292370.7187085145</v>
      </c>
      <c r="H24" s="28">
        <v>-268593.0541986165</v>
      </c>
      <c r="I24" s="28">
        <v>-32178.899113780244</v>
      </c>
      <c r="J24" s="28">
        <v>0</v>
      </c>
      <c r="K24" s="28">
        <v>0</v>
      </c>
      <c r="L24" s="28">
        <v>0</v>
      </c>
      <c r="M24" s="28">
        <v>0</v>
      </c>
      <c r="N24" s="28">
        <v>-5195.231072001903</v>
      </c>
      <c r="O24" s="29">
        <v>-71120.38524396553</v>
      </c>
      <c r="P24" s="28"/>
    </row>
    <row r="25" spans="1:16" ht="12" customHeight="1">
      <c r="A25" s="26">
        <f t="shared" si="3"/>
        <v>15</v>
      </c>
      <c r="B25" s="9"/>
      <c r="C25" s="12"/>
      <c r="D25" s="11" t="s">
        <v>39</v>
      </c>
      <c r="E25" s="12"/>
      <c r="F25" s="31">
        <f>SUM(G25:O25)</f>
        <v>50001785.27825154</v>
      </c>
      <c r="G25" s="28">
        <v>38707671.60115053</v>
      </c>
      <c r="H25" s="28">
        <v>8044604.838044892</v>
      </c>
      <c r="I25" s="28">
        <v>963787.1249725284</v>
      </c>
      <c r="J25" s="28">
        <v>0</v>
      </c>
      <c r="K25" s="28">
        <v>0</v>
      </c>
      <c r="L25" s="28">
        <v>0</v>
      </c>
      <c r="M25" s="28">
        <v>0</v>
      </c>
      <c r="N25" s="28">
        <v>155601.86819158238</v>
      </c>
      <c r="O25" s="29">
        <v>2130119.8458920117</v>
      </c>
      <c r="P25" s="28"/>
    </row>
    <row r="26" spans="1:16" ht="12" customHeight="1">
      <c r="A26" s="26">
        <f t="shared" si="3"/>
        <v>16</v>
      </c>
      <c r="B26" s="9"/>
      <c r="C26" s="12"/>
      <c r="D26" s="11" t="s">
        <v>40</v>
      </c>
      <c r="E26" s="12"/>
      <c r="F26" s="31">
        <f>SUM(G26:O26)</f>
        <v>22434568.376534507</v>
      </c>
      <c r="G26" s="28">
        <v>19905594.41943043</v>
      </c>
      <c r="H26" s="28">
        <v>2238478.9814309413</v>
      </c>
      <c r="I26" s="28">
        <v>117691.11299760044</v>
      </c>
      <c r="J26" s="28">
        <v>0</v>
      </c>
      <c r="K26" s="28">
        <v>0</v>
      </c>
      <c r="L26" s="28">
        <v>0</v>
      </c>
      <c r="M26" s="28">
        <v>0</v>
      </c>
      <c r="N26" s="28">
        <v>15182.188698567</v>
      </c>
      <c r="O26" s="29">
        <v>157621.67397696924</v>
      </c>
      <c r="P26" s="28"/>
    </row>
    <row r="27" spans="1:16" ht="12" customHeight="1">
      <c r="A27" s="26">
        <f t="shared" si="3"/>
        <v>17</v>
      </c>
      <c r="B27" s="9"/>
      <c r="C27" s="12"/>
      <c r="D27" s="11" t="s">
        <v>41</v>
      </c>
      <c r="E27" s="12"/>
      <c r="F27" s="31">
        <f>SUM(G27:O27)</f>
        <v>3689804.213315294</v>
      </c>
      <c r="G27" s="28">
        <v>1902451.703412485</v>
      </c>
      <c r="H27" s="28">
        <v>488656.3783315971</v>
      </c>
      <c r="I27" s="28">
        <v>343796.44757048436</v>
      </c>
      <c r="J27" s="28">
        <v>0</v>
      </c>
      <c r="K27" s="28">
        <v>0</v>
      </c>
      <c r="L27" s="28">
        <v>0</v>
      </c>
      <c r="M27" s="28">
        <v>0</v>
      </c>
      <c r="N27" s="28">
        <v>214727.7003899768</v>
      </c>
      <c r="O27" s="29">
        <v>740171.983610751</v>
      </c>
      <c r="P27" s="28"/>
    </row>
    <row r="28" spans="1:16" ht="12" customHeight="1" thickBot="1">
      <c r="A28" s="26">
        <f t="shared" si="3"/>
        <v>18</v>
      </c>
      <c r="B28" s="9"/>
      <c r="C28" s="12"/>
      <c r="D28" s="11" t="s">
        <v>42</v>
      </c>
      <c r="E28" s="12"/>
      <c r="F28" s="31">
        <f>SUM(G28:O28)</f>
        <v>39542406.09550221</v>
      </c>
      <c r="G28" s="28">
        <v>31109090.92167788</v>
      </c>
      <c r="H28" s="28">
        <v>6482786.895902833</v>
      </c>
      <c r="I28" s="28">
        <v>763855.720366146</v>
      </c>
      <c r="J28" s="28">
        <v>0</v>
      </c>
      <c r="K28" s="28">
        <v>0</v>
      </c>
      <c r="L28" s="28">
        <v>0</v>
      </c>
      <c r="M28" s="28">
        <v>0</v>
      </c>
      <c r="N28" s="28">
        <v>99155.84209453958</v>
      </c>
      <c r="O28" s="29">
        <v>1087516.7154608166</v>
      </c>
      <c r="P28" s="28"/>
    </row>
    <row r="29" spans="1:16" ht="12.75">
      <c r="A29" s="26">
        <f t="shared" si="3"/>
        <v>19</v>
      </c>
      <c r="B29" s="9"/>
      <c r="C29" s="12"/>
      <c r="D29" s="12" t="s">
        <v>43</v>
      </c>
      <c r="E29" s="12"/>
      <c r="F29" s="32">
        <f>SUM(F24:F28)</f>
        <v>113999105.67526668</v>
      </c>
      <c r="G29" s="33">
        <f aca="true" t="shared" si="4" ref="G29:O29">SUM(G24:G28)</f>
        <v>90332437.92696282</v>
      </c>
      <c r="H29" s="33">
        <f t="shared" si="4"/>
        <v>16985934.03951165</v>
      </c>
      <c r="I29" s="33">
        <f t="shared" si="4"/>
        <v>2156951.506792979</v>
      </c>
      <c r="J29" s="33">
        <f t="shared" si="4"/>
        <v>0</v>
      </c>
      <c r="K29" s="33">
        <f t="shared" si="4"/>
        <v>0</v>
      </c>
      <c r="L29" s="33">
        <f t="shared" si="4"/>
        <v>0</v>
      </c>
      <c r="M29" s="33">
        <f t="shared" si="4"/>
        <v>0</v>
      </c>
      <c r="N29" s="33">
        <f t="shared" si="4"/>
        <v>479472.3683026638</v>
      </c>
      <c r="O29" s="34">
        <f t="shared" si="4"/>
        <v>4044309.8336965833</v>
      </c>
      <c r="P29" s="28"/>
    </row>
    <row r="30" spans="1:16" ht="12.75">
      <c r="A30" s="26"/>
      <c r="B30" s="9"/>
      <c r="C30" s="12"/>
      <c r="D30" s="12"/>
      <c r="E30" s="12"/>
      <c r="F30" s="27"/>
      <c r="G30" s="35"/>
      <c r="H30" s="28"/>
      <c r="I30" s="28"/>
      <c r="J30" s="28"/>
      <c r="K30" s="28"/>
      <c r="L30" s="28"/>
      <c r="M30" s="28"/>
      <c r="N30" s="28"/>
      <c r="O30" s="29"/>
      <c r="P30" s="28"/>
    </row>
    <row r="31" spans="1:16" ht="12.75">
      <c r="A31" s="26">
        <f>+A29+1</f>
        <v>20</v>
      </c>
      <c r="B31" s="9"/>
      <c r="C31" s="12" t="s">
        <v>44</v>
      </c>
      <c r="D31" s="12"/>
      <c r="E31" s="12"/>
      <c r="F31" s="27"/>
      <c r="G31" s="28"/>
      <c r="H31" s="28"/>
      <c r="I31" s="28"/>
      <c r="J31" s="28"/>
      <c r="K31" s="28"/>
      <c r="L31" s="28"/>
      <c r="M31" s="28"/>
      <c r="N31" s="28"/>
      <c r="O31" s="29"/>
      <c r="P31" s="28"/>
    </row>
    <row r="32" spans="1:16" ht="12" customHeight="1">
      <c r="A32" s="26">
        <f>+A31+1</f>
        <v>21</v>
      </c>
      <c r="B32" s="9"/>
      <c r="C32" s="12"/>
      <c r="D32" s="11" t="s">
        <v>45</v>
      </c>
      <c r="E32" s="12"/>
      <c r="F32" s="31">
        <f>SUM(G32:O32)</f>
        <v>40629319.72489857</v>
      </c>
      <c r="G32" s="28">
        <v>32111523.001875624</v>
      </c>
      <c r="H32" s="28">
        <v>6541632.113193126</v>
      </c>
      <c r="I32" s="28">
        <v>722766.4589522505</v>
      </c>
      <c r="J32" s="28">
        <v>0</v>
      </c>
      <c r="K32" s="28">
        <v>0</v>
      </c>
      <c r="L32" s="28">
        <v>0</v>
      </c>
      <c r="M32" s="28">
        <v>0</v>
      </c>
      <c r="N32" s="28">
        <v>104731.29115417931</v>
      </c>
      <c r="O32" s="29">
        <v>1148666.859723395</v>
      </c>
      <c r="P32" s="28"/>
    </row>
    <row r="33" spans="1:16" ht="12.75">
      <c r="A33" s="26">
        <f>+A32+1</f>
        <v>22</v>
      </c>
      <c r="B33" s="9"/>
      <c r="C33" s="12"/>
      <c r="D33" s="12" t="s">
        <v>46</v>
      </c>
      <c r="E33" s="12"/>
      <c r="F33" s="31">
        <f>SUM(G33:O33)</f>
        <v>12007774.02392949</v>
      </c>
      <c r="G33" s="28">
        <v>9509534.575836942</v>
      </c>
      <c r="H33" s="28">
        <v>1917831.2738835886</v>
      </c>
      <c r="I33" s="28">
        <v>205540.08481137035</v>
      </c>
      <c r="J33" s="28">
        <v>0</v>
      </c>
      <c r="K33" s="28">
        <v>0</v>
      </c>
      <c r="L33" s="28">
        <v>0</v>
      </c>
      <c r="M33" s="28">
        <v>0</v>
      </c>
      <c r="N33" s="28">
        <v>31323.182492028882</v>
      </c>
      <c r="O33" s="29">
        <v>343544.90690556006</v>
      </c>
      <c r="P33" s="28"/>
    </row>
    <row r="34" spans="1:16" ht="13.5" thickBot="1">
      <c r="A34" s="26">
        <f>+A33+1</f>
        <v>23</v>
      </c>
      <c r="B34" s="9"/>
      <c r="C34" s="12"/>
      <c r="D34" s="12" t="s">
        <v>47</v>
      </c>
      <c r="E34" s="12"/>
      <c r="F34" s="31">
        <f>SUM(G34:O34)</f>
        <v>18503186.050010677</v>
      </c>
      <c r="G34" s="28">
        <v>13695507.178569512</v>
      </c>
      <c r="H34" s="28">
        <v>5027413.161146433</v>
      </c>
      <c r="I34" s="28">
        <v>192670.09490049543</v>
      </c>
      <c r="J34" s="28">
        <v>0</v>
      </c>
      <c r="K34" s="28">
        <v>0</v>
      </c>
      <c r="L34" s="28">
        <v>0</v>
      </c>
      <c r="M34" s="28">
        <v>0</v>
      </c>
      <c r="N34" s="28">
        <v>-42105.679337609996</v>
      </c>
      <c r="O34" s="29">
        <v>-370298.70526815497</v>
      </c>
      <c r="P34" s="28"/>
    </row>
    <row r="35" spans="1:16" ht="12.75">
      <c r="A35" s="26">
        <f>+A34+1</f>
        <v>24</v>
      </c>
      <c r="B35" s="9"/>
      <c r="C35" s="12"/>
      <c r="D35" s="12" t="s">
        <v>48</v>
      </c>
      <c r="E35" s="12"/>
      <c r="F35" s="32">
        <f aca="true" t="shared" si="5" ref="F35:O35">SUM(F32:F34)</f>
        <v>71140279.79883873</v>
      </c>
      <c r="G35" s="33">
        <f t="shared" si="5"/>
        <v>55316564.756282076</v>
      </c>
      <c r="H35" s="33">
        <f t="shared" si="5"/>
        <v>13486876.548223149</v>
      </c>
      <c r="I35" s="33">
        <f t="shared" si="5"/>
        <v>1120976.6386641164</v>
      </c>
      <c r="J35" s="33">
        <f t="shared" si="5"/>
        <v>0</v>
      </c>
      <c r="K35" s="33">
        <f t="shared" si="5"/>
        <v>0</v>
      </c>
      <c r="L35" s="33">
        <f t="shared" si="5"/>
        <v>0</v>
      </c>
      <c r="M35" s="33">
        <f t="shared" si="5"/>
        <v>0</v>
      </c>
      <c r="N35" s="33">
        <f t="shared" si="5"/>
        <v>93948.79430859821</v>
      </c>
      <c r="O35" s="34">
        <f t="shared" si="5"/>
        <v>1121913.0613608002</v>
      </c>
      <c r="P35" s="28"/>
    </row>
    <row r="36" spans="1:16" ht="6.75" customHeight="1" thickBot="1">
      <c r="A36" s="26"/>
      <c r="B36" s="9"/>
      <c r="C36" s="12"/>
      <c r="D36" s="12"/>
      <c r="E36" s="12"/>
      <c r="F36" s="36"/>
      <c r="G36" s="37"/>
      <c r="H36" s="37"/>
      <c r="I36" s="37"/>
      <c r="J36" s="37"/>
      <c r="K36" s="37"/>
      <c r="L36" s="37"/>
      <c r="M36" s="37"/>
      <c r="N36" s="37"/>
      <c r="O36" s="38"/>
      <c r="P36" s="28"/>
    </row>
    <row r="37" spans="1:16" ht="6.75" customHeight="1" thickTop="1">
      <c r="A37" s="26"/>
      <c r="B37" s="9"/>
      <c r="C37" s="12"/>
      <c r="D37" s="12"/>
      <c r="E37" s="12"/>
      <c r="F37" s="27"/>
      <c r="G37" s="28"/>
      <c r="H37" s="28"/>
      <c r="I37" s="28"/>
      <c r="J37" s="28"/>
      <c r="K37" s="28"/>
      <c r="L37" s="28"/>
      <c r="M37" s="28"/>
      <c r="N37" s="28"/>
      <c r="O37" s="29"/>
      <c r="P37" s="28"/>
    </row>
    <row r="38" spans="1:16" ht="12.75">
      <c r="A38" s="26">
        <f>+A35+1</f>
        <v>25</v>
      </c>
      <c r="B38" s="9"/>
      <c r="C38" s="12" t="s">
        <v>49</v>
      </c>
      <c r="D38" s="12"/>
      <c r="E38" s="12"/>
      <c r="F38" s="31">
        <f>SUM(G38:O38)</f>
        <v>185139385.47410548</v>
      </c>
      <c r="G38" s="28">
        <f>G21+G29+G35</f>
        <v>145840569.5375564</v>
      </c>
      <c r="H38" s="28">
        <f aca="true" t="shared" si="6" ref="H38:O38">H21+H29+H35</f>
        <v>30551221.15892612</v>
      </c>
      <c r="I38" s="28">
        <f t="shared" si="6"/>
        <v>3299485.7199542746</v>
      </c>
      <c r="J38" s="28">
        <f t="shared" si="6"/>
        <v>0</v>
      </c>
      <c r="K38" s="28">
        <f t="shared" si="6"/>
        <v>0</v>
      </c>
      <c r="L38" s="28">
        <f t="shared" si="6"/>
        <v>0</v>
      </c>
      <c r="M38" s="28">
        <f t="shared" si="6"/>
        <v>0</v>
      </c>
      <c r="N38" s="28">
        <f t="shared" si="6"/>
        <v>531886.1626112619</v>
      </c>
      <c r="O38" s="29">
        <f t="shared" si="6"/>
        <v>4916222.895057384</v>
      </c>
      <c r="P38" s="28"/>
    </row>
    <row r="39" spans="1:16" ht="6.75" customHeight="1" thickBot="1">
      <c r="A39" s="26"/>
      <c r="B39" s="9"/>
      <c r="C39" s="12"/>
      <c r="D39" s="12"/>
      <c r="E39" s="12"/>
      <c r="F39" s="36"/>
      <c r="G39" s="37"/>
      <c r="H39" s="37"/>
      <c r="I39" s="37"/>
      <c r="J39" s="37"/>
      <c r="K39" s="37"/>
      <c r="L39" s="37"/>
      <c r="M39" s="37"/>
      <c r="N39" s="37"/>
      <c r="O39" s="38"/>
      <c r="P39" s="28"/>
    </row>
    <row r="40" spans="1:16" ht="6.75" customHeight="1" thickTop="1">
      <c r="A40" s="26"/>
      <c r="B40" s="9"/>
      <c r="C40" s="12"/>
      <c r="D40" s="12"/>
      <c r="E40" s="12"/>
      <c r="F40" s="27"/>
      <c r="G40" s="28"/>
      <c r="H40" s="28"/>
      <c r="I40" s="28"/>
      <c r="J40" s="28"/>
      <c r="K40" s="28"/>
      <c r="L40" s="28"/>
      <c r="M40" s="28"/>
      <c r="N40" s="28"/>
      <c r="O40" s="29"/>
      <c r="P40" s="28"/>
    </row>
    <row r="41" spans="1:16" ht="12.75">
      <c r="A41" s="26">
        <f>+A38+1</f>
        <v>26</v>
      </c>
      <c r="B41" s="9" t="s">
        <v>50</v>
      </c>
      <c r="C41" s="12"/>
      <c r="D41" s="12"/>
      <c r="E41" s="12"/>
      <c r="F41" s="27">
        <f aca="true" t="shared" si="7" ref="F41:O41">+F16-F38</f>
        <v>53998653.22956103</v>
      </c>
      <c r="G41" s="28">
        <f t="shared" si="7"/>
        <v>41262573.15452838</v>
      </c>
      <c r="H41" s="28">
        <f t="shared" si="7"/>
        <v>11955752.587472077</v>
      </c>
      <c r="I41" s="28">
        <f t="shared" si="7"/>
        <v>712319.2007601201</v>
      </c>
      <c r="J41" s="28">
        <f t="shared" si="7"/>
        <v>0</v>
      </c>
      <c r="K41" s="28">
        <f t="shared" si="7"/>
        <v>0</v>
      </c>
      <c r="L41" s="28">
        <f t="shared" si="7"/>
        <v>0</v>
      </c>
      <c r="M41" s="28">
        <f t="shared" si="7"/>
        <v>0</v>
      </c>
      <c r="N41" s="28">
        <f t="shared" si="7"/>
        <v>-5033.69411385071</v>
      </c>
      <c r="O41" s="29">
        <f t="shared" si="7"/>
        <v>73041.98091434967</v>
      </c>
      <c r="P41" s="28"/>
    </row>
    <row r="42" spans="1:16" ht="6.75" customHeight="1" thickBot="1">
      <c r="A42" s="26"/>
      <c r="B42" s="39"/>
      <c r="C42" s="39"/>
      <c r="D42" s="39"/>
      <c r="E42" s="39"/>
      <c r="F42" s="40"/>
      <c r="G42" s="39"/>
      <c r="H42" s="39"/>
      <c r="I42" s="39"/>
      <c r="J42" s="39"/>
      <c r="K42" s="39"/>
      <c r="L42" s="39"/>
      <c r="M42" s="39"/>
      <c r="N42" s="39"/>
      <c r="O42" s="41"/>
      <c r="P42" s="28"/>
    </row>
    <row r="43" spans="1:16" ht="6.75" customHeight="1">
      <c r="A43" s="26"/>
      <c r="F43" s="27"/>
      <c r="G43" s="28"/>
      <c r="H43" s="28"/>
      <c r="I43" s="28"/>
      <c r="J43" s="28"/>
      <c r="K43" s="28"/>
      <c r="L43" s="28"/>
      <c r="M43" s="28"/>
      <c r="N43" s="28"/>
      <c r="O43" s="29"/>
      <c r="P43" s="28"/>
    </row>
    <row r="44" spans="1:16" ht="12.75">
      <c r="A44" s="26">
        <f>+A41+1</f>
        <v>27</v>
      </c>
      <c r="B44" s="136" t="s">
        <v>51</v>
      </c>
      <c r="C44" s="136"/>
      <c r="D44" s="136"/>
      <c r="E44" s="136"/>
      <c r="F44" s="27"/>
      <c r="G44" s="28"/>
      <c r="H44" s="28"/>
      <c r="I44" s="28"/>
      <c r="J44" s="28"/>
      <c r="K44" s="28"/>
      <c r="L44" s="28"/>
      <c r="M44" s="28"/>
      <c r="N44" s="28"/>
      <c r="O44" s="29"/>
      <c r="P44" s="28"/>
    </row>
    <row r="45" spans="1:16" ht="6.75" customHeight="1">
      <c r="A45" s="26"/>
      <c r="B45" s="15"/>
      <c r="C45" s="15"/>
      <c r="D45" s="15"/>
      <c r="E45" s="15"/>
      <c r="F45" s="27"/>
      <c r="G45" s="28"/>
      <c r="H45" s="28"/>
      <c r="I45" s="28"/>
      <c r="J45" s="28"/>
      <c r="K45" s="28"/>
      <c r="L45" s="28"/>
      <c r="M45" s="28"/>
      <c r="N45" s="28"/>
      <c r="O45" s="29"/>
      <c r="P45" s="28"/>
    </row>
    <row r="46" spans="1:16" ht="12.75">
      <c r="A46" s="26">
        <f>+A44+1</f>
        <v>28</v>
      </c>
      <c r="B46" s="9" t="s">
        <v>52</v>
      </c>
      <c r="C46" s="12"/>
      <c r="D46" s="12"/>
      <c r="E46" s="12"/>
      <c r="F46" s="27"/>
      <c r="G46" s="28"/>
      <c r="H46" s="28"/>
      <c r="I46" s="28"/>
      <c r="J46" s="28"/>
      <c r="K46" s="28"/>
      <c r="L46" s="28"/>
      <c r="M46" s="28"/>
      <c r="N46" s="28"/>
      <c r="O46" s="29"/>
      <c r="P46" s="28"/>
    </row>
    <row r="47" spans="1:16" ht="12.75">
      <c r="A47" s="26">
        <f aca="true" t="shared" si="8" ref="A47:A52">+A46+1</f>
        <v>29</v>
      </c>
      <c r="C47" s="10">
        <v>101</v>
      </c>
      <c r="D47" s="12" t="s">
        <v>53</v>
      </c>
      <c r="E47" s="12"/>
      <c r="F47" s="31">
        <f>SUM(G47:O47)</f>
        <v>1506669307.6677485</v>
      </c>
      <c r="G47" s="28">
        <v>1185295222.3014557</v>
      </c>
      <c r="H47" s="28">
        <v>247045741.7184361</v>
      </c>
      <c r="I47" s="28">
        <v>29122888.52527452</v>
      </c>
      <c r="J47" s="28">
        <v>0</v>
      </c>
      <c r="K47" s="28">
        <v>0</v>
      </c>
      <c r="L47" s="28">
        <v>0</v>
      </c>
      <c r="M47" s="28">
        <v>0</v>
      </c>
      <c r="N47" s="28">
        <v>3777271.9537566896</v>
      </c>
      <c r="O47" s="29">
        <v>41428183.168825634</v>
      </c>
      <c r="P47" s="28"/>
    </row>
    <row r="48" spans="1:16" ht="12.75">
      <c r="A48" s="26">
        <f t="shared" si="8"/>
        <v>30</v>
      </c>
      <c r="C48" s="10">
        <v>105</v>
      </c>
      <c r="D48" s="12" t="s">
        <v>54</v>
      </c>
      <c r="E48" s="12"/>
      <c r="F48" s="31">
        <f>SUM(G48:O48)</f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9">
        <v>0</v>
      </c>
      <c r="P48" s="28"/>
    </row>
    <row r="49" spans="1:16" ht="12.75">
      <c r="A49" s="26">
        <f t="shared" si="8"/>
        <v>31</v>
      </c>
      <c r="C49" s="10">
        <v>106</v>
      </c>
      <c r="D49" s="12" t="s">
        <v>55</v>
      </c>
      <c r="E49" s="12"/>
      <c r="F49" s="31">
        <f>SUM(G49:O49)</f>
        <v>6268418.085517431</v>
      </c>
      <c r="G49" s="28">
        <v>4974210.358295489</v>
      </c>
      <c r="H49" s="28">
        <v>993106.4776510785</v>
      </c>
      <c r="I49" s="28">
        <v>103105.80555179648</v>
      </c>
      <c r="J49" s="28">
        <v>0</v>
      </c>
      <c r="K49" s="28">
        <v>0</v>
      </c>
      <c r="L49" s="28">
        <v>0</v>
      </c>
      <c r="M49" s="28">
        <v>0</v>
      </c>
      <c r="N49" s="28">
        <v>16544.079373536115</v>
      </c>
      <c r="O49" s="29">
        <v>181451.3646455315</v>
      </c>
      <c r="P49" s="28"/>
    </row>
    <row r="50" spans="1:16" ht="12.75">
      <c r="A50" s="26">
        <f t="shared" si="8"/>
        <v>32</v>
      </c>
      <c r="C50" s="10">
        <v>108</v>
      </c>
      <c r="D50" s="12" t="s">
        <v>56</v>
      </c>
      <c r="E50" s="12"/>
      <c r="F50" s="31">
        <f>SUM(G50:O50)</f>
        <v>-605490742.6779411</v>
      </c>
      <c r="G50" s="28">
        <v>-472057494.9276186</v>
      </c>
      <c r="H50" s="28">
        <v>-102749566.30257575</v>
      </c>
      <c r="I50" s="28">
        <v>-13507982.362264581</v>
      </c>
      <c r="J50" s="28">
        <v>0</v>
      </c>
      <c r="K50" s="28">
        <v>0</v>
      </c>
      <c r="L50" s="28">
        <v>0</v>
      </c>
      <c r="M50" s="28">
        <v>0</v>
      </c>
      <c r="N50" s="28">
        <v>-1435164.9876288187</v>
      </c>
      <c r="O50" s="29">
        <v>-15740534.097853282</v>
      </c>
      <c r="P50" s="28"/>
    </row>
    <row r="51" spans="1:16" ht="13.5" thickBot="1">
      <c r="A51" s="26">
        <f t="shared" si="8"/>
        <v>33</v>
      </c>
      <c r="C51" s="10">
        <v>111</v>
      </c>
      <c r="D51" s="12" t="s">
        <v>57</v>
      </c>
      <c r="E51" s="12"/>
      <c r="F51" s="31">
        <f>SUM(G51:O51)</f>
        <v>-7855972.651091803</v>
      </c>
      <c r="G51" s="28">
        <v>-5494765.157961909</v>
      </c>
      <c r="H51" s="28">
        <v>-1843465.0298475726</v>
      </c>
      <c r="I51" s="28">
        <v>-440737.3494966123</v>
      </c>
      <c r="J51" s="28">
        <v>0</v>
      </c>
      <c r="K51" s="28">
        <v>0</v>
      </c>
      <c r="L51" s="28">
        <v>0</v>
      </c>
      <c r="M51" s="28">
        <v>0</v>
      </c>
      <c r="N51" s="28">
        <v>-6434.383987725833</v>
      </c>
      <c r="O51" s="29">
        <v>-70570.7297979835</v>
      </c>
      <c r="P51" s="28"/>
    </row>
    <row r="52" spans="1:16" ht="12.75">
      <c r="A52" s="26">
        <f t="shared" si="8"/>
        <v>34</v>
      </c>
      <c r="C52" s="42" t="s">
        <v>58</v>
      </c>
      <c r="D52" s="12"/>
      <c r="E52" s="12"/>
      <c r="F52" s="32">
        <f>SUM(F47:F51)</f>
        <v>899591010.424233</v>
      </c>
      <c r="G52" s="33">
        <f aca="true" t="shared" si="9" ref="G52:O52">SUM(G47:G51)</f>
        <v>712717172.5741706</v>
      </c>
      <c r="H52" s="33">
        <f t="shared" si="9"/>
        <v>143445816.86366385</v>
      </c>
      <c r="I52" s="33">
        <f t="shared" si="9"/>
        <v>15277274.619065123</v>
      </c>
      <c r="J52" s="33">
        <f t="shared" si="9"/>
        <v>0</v>
      </c>
      <c r="K52" s="33">
        <f t="shared" si="9"/>
        <v>0</v>
      </c>
      <c r="L52" s="33">
        <f t="shared" si="9"/>
        <v>0</v>
      </c>
      <c r="M52" s="33">
        <f t="shared" si="9"/>
        <v>0</v>
      </c>
      <c r="N52" s="33">
        <f t="shared" si="9"/>
        <v>2352216.6615136815</v>
      </c>
      <c r="O52" s="34">
        <f t="shared" si="9"/>
        <v>25798529.705819905</v>
      </c>
      <c r="P52" s="28"/>
    </row>
    <row r="53" spans="1:16" ht="12.75">
      <c r="A53" s="26"/>
      <c r="B53" s="11"/>
      <c r="C53" s="12"/>
      <c r="D53" s="12"/>
      <c r="E53" s="12"/>
      <c r="F53" s="27"/>
      <c r="G53" s="28"/>
      <c r="H53" s="28"/>
      <c r="I53" s="28"/>
      <c r="J53" s="28"/>
      <c r="K53" s="28"/>
      <c r="L53" s="28"/>
      <c r="M53" s="28"/>
      <c r="N53" s="28"/>
      <c r="O53" s="29"/>
      <c r="P53" s="28"/>
    </row>
    <row r="54" spans="1:16" ht="12.75">
      <c r="A54" s="26">
        <f>+A52+1</f>
        <v>35</v>
      </c>
      <c r="B54" s="9" t="s">
        <v>59</v>
      </c>
      <c r="C54" s="12"/>
      <c r="D54" s="12"/>
      <c r="E54" s="12"/>
      <c r="F54" s="27"/>
      <c r="G54" s="28"/>
      <c r="H54" s="28"/>
      <c r="I54" s="28"/>
      <c r="J54" s="28"/>
      <c r="K54" s="28"/>
      <c r="L54" s="28"/>
      <c r="M54" s="28"/>
      <c r="N54" s="28"/>
      <c r="O54" s="29"/>
      <c r="P54" s="28"/>
    </row>
    <row r="55" spans="1:16" ht="12.75">
      <c r="A55" s="26">
        <f aca="true" t="shared" si="10" ref="A55:A66">+A54+1</f>
        <v>36</v>
      </c>
      <c r="C55" s="10">
        <v>154</v>
      </c>
      <c r="D55" s="12" t="s">
        <v>60</v>
      </c>
      <c r="E55" s="12"/>
      <c r="F55" s="31">
        <f aca="true" t="shared" si="11" ref="F55:F65">SUM(G55:O55)</f>
        <v>8979357.190025214</v>
      </c>
      <c r="G55" s="28">
        <v>7064305.560163931</v>
      </c>
      <c r="H55" s="28">
        <v>1472122.333287848</v>
      </c>
      <c r="I55" s="28">
        <v>173457.66310340475</v>
      </c>
      <c r="J55" s="28">
        <v>0</v>
      </c>
      <c r="K55" s="28">
        <v>0</v>
      </c>
      <c r="L55" s="28">
        <v>0</v>
      </c>
      <c r="M55" s="28">
        <v>0</v>
      </c>
      <c r="N55" s="28">
        <v>22516.478170150676</v>
      </c>
      <c r="O55" s="29">
        <v>246955.15529988045</v>
      </c>
      <c r="P55" s="28"/>
    </row>
    <row r="56" spans="1:16" ht="12.75">
      <c r="A56" s="26">
        <f t="shared" si="10"/>
        <v>37</v>
      </c>
      <c r="C56" s="43" t="s">
        <v>61</v>
      </c>
      <c r="D56" s="12" t="s">
        <v>62</v>
      </c>
      <c r="E56" s="12"/>
      <c r="F56" s="31">
        <f t="shared" si="11"/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9">
        <v>0</v>
      </c>
      <c r="P56" s="28"/>
    </row>
    <row r="57" spans="1:16" ht="12.75">
      <c r="A57" s="26">
        <f t="shared" si="10"/>
        <v>38</v>
      </c>
      <c r="C57" s="10">
        <v>165</v>
      </c>
      <c r="D57" s="12" t="s">
        <v>63</v>
      </c>
      <c r="E57" s="12"/>
      <c r="F57" s="31">
        <f t="shared" si="11"/>
        <v>-488098.39222548384</v>
      </c>
      <c r="G57" s="28">
        <v>-384000.33689893543</v>
      </c>
      <c r="H57" s="28">
        <v>-80021.37890618968</v>
      </c>
      <c r="I57" s="28">
        <v>-9428.7825607396</v>
      </c>
      <c r="J57" s="28">
        <v>0</v>
      </c>
      <c r="K57" s="28">
        <v>0</v>
      </c>
      <c r="L57" s="28">
        <v>0</v>
      </c>
      <c r="M57" s="28">
        <v>0</v>
      </c>
      <c r="N57" s="28">
        <v>-1223.9469441798526</v>
      </c>
      <c r="O57" s="29">
        <v>-13423.94691543926</v>
      </c>
      <c r="P57" s="28"/>
    </row>
    <row r="58" spans="1:16" ht="12.75">
      <c r="A58" s="26">
        <f t="shared" si="10"/>
        <v>39</v>
      </c>
      <c r="C58" s="44" t="s">
        <v>64</v>
      </c>
      <c r="D58" s="45" t="s">
        <v>65</v>
      </c>
      <c r="E58" s="12"/>
      <c r="F58" s="31">
        <f t="shared" si="11"/>
        <v>1808462.5935873901</v>
      </c>
      <c r="G58" s="28">
        <v>1436072.9665737934</v>
      </c>
      <c r="H58" s="28">
        <v>285709.5796304728</v>
      </c>
      <c r="I58" s="28">
        <v>29327.429111396865</v>
      </c>
      <c r="J58" s="28">
        <v>0</v>
      </c>
      <c r="K58" s="28">
        <v>0</v>
      </c>
      <c r="L58" s="28">
        <v>0</v>
      </c>
      <c r="M58" s="28">
        <v>0</v>
      </c>
      <c r="N58" s="28">
        <v>4792.263143571089</v>
      </c>
      <c r="O58" s="29">
        <v>52560.355128156</v>
      </c>
      <c r="P58" s="28"/>
    </row>
    <row r="59" spans="1:16" ht="12.75">
      <c r="A59" s="26">
        <f t="shared" si="10"/>
        <v>40</v>
      </c>
      <c r="C59" s="44" t="s">
        <v>64</v>
      </c>
      <c r="D59" s="45" t="s">
        <v>66</v>
      </c>
      <c r="E59" s="12"/>
      <c r="F59" s="31">
        <f t="shared" si="11"/>
        <v>160100.57778226567</v>
      </c>
      <c r="G59" s="28">
        <v>127133.4626998722</v>
      </c>
      <c r="H59" s="28">
        <v>25293.45585524633</v>
      </c>
      <c r="I59" s="28">
        <v>2596.31488218348</v>
      </c>
      <c r="J59" s="28">
        <v>0</v>
      </c>
      <c r="K59" s="28">
        <v>0</v>
      </c>
      <c r="L59" s="28">
        <v>0</v>
      </c>
      <c r="M59" s="28">
        <v>0</v>
      </c>
      <c r="N59" s="28">
        <v>424.2521249214396</v>
      </c>
      <c r="O59" s="29">
        <v>4653.092220042211</v>
      </c>
      <c r="P59" s="28"/>
    </row>
    <row r="60" spans="1:16" ht="12.75">
      <c r="A60" s="26">
        <f t="shared" si="10"/>
        <v>41</v>
      </c>
      <c r="C60" s="43" t="s">
        <v>67</v>
      </c>
      <c r="D60" s="12" t="s">
        <v>68</v>
      </c>
      <c r="E60" s="12"/>
      <c r="F60" s="31">
        <f t="shared" si="11"/>
        <v>-5579617.752821608</v>
      </c>
      <c r="G60" s="28">
        <v>-3635146.460459821</v>
      </c>
      <c r="H60" s="28">
        <v>-1893064.4330353762</v>
      </c>
      <c r="I60" s="28">
        <v>-50736.41098559811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9">
        <v>-670.4483408131525</v>
      </c>
      <c r="P60" s="28"/>
    </row>
    <row r="61" spans="1:16" ht="12.75">
      <c r="A61" s="26">
        <f t="shared" si="10"/>
        <v>42</v>
      </c>
      <c r="C61" s="43">
        <v>252</v>
      </c>
      <c r="D61" s="12" t="s">
        <v>69</v>
      </c>
      <c r="E61" s="12"/>
      <c r="F61" s="31">
        <f t="shared" si="11"/>
        <v>-52007973.157039404</v>
      </c>
      <c r="G61" s="28">
        <v>-40795003.43561015</v>
      </c>
      <c r="H61" s="28">
        <v>-8140795.220440265</v>
      </c>
      <c r="I61" s="28">
        <v>-971297.5464974788</v>
      </c>
      <c r="J61" s="28">
        <v>0</v>
      </c>
      <c r="K61" s="28">
        <v>0</v>
      </c>
      <c r="L61" s="28">
        <v>0</v>
      </c>
      <c r="M61" s="28">
        <v>0</v>
      </c>
      <c r="N61" s="28">
        <v>-122396.22681774382</v>
      </c>
      <c r="O61" s="29">
        <v>-1978480.7276737723</v>
      </c>
      <c r="P61" s="28"/>
    </row>
    <row r="62" spans="1:16" ht="12.75">
      <c r="A62" s="26">
        <f t="shared" si="10"/>
        <v>43</v>
      </c>
      <c r="C62" s="43" t="s">
        <v>70</v>
      </c>
      <c r="D62" s="12" t="s">
        <v>71</v>
      </c>
      <c r="E62" s="12"/>
      <c r="F62" s="31">
        <f t="shared" si="11"/>
        <v>-42523.126489771676</v>
      </c>
      <c r="G62" s="28">
        <v>-39564.81634162295</v>
      </c>
      <c r="H62" s="28">
        <v>-2914.4250480734313</v>
      </c>
      <c r="I62" s="28">
        <v>-33.92922522751068</v>
      </c>
      <c r="J62" s="28">
        <v>0</v>
      </c>
      <c r="K62" s="28">
        <v>0</v>
      </c>
      <c r="L62" s="28">
        <v>0</v>
      </c>
      <c r="M62" s="28">
        <v>0</v>
      </c>
      <c r="N62" s="28">
        <v>-3.6158152432237656</v>
      </c>
      <c r="O62" s="29">
        <v>-6.340059604556739</v>
      </c>
      <c r="P62" s="28"/>
    </row>
    <row r="63" spans="1:16" ht="12.75">
      <c r="A63" s="26">
        <f t="shared" si="10"/>
        <v>44</v>
      </c>
      <c r="C63" s="10">
        <v>255</v>
      </c>
      <c r="D63" s="12" t="s">
        <v>72</v>
      </c>
      <c r="E63" s="12"/>
      <c r="F63" s="31">
        <f t="shared" si="11"/>
        <v>-2293383.2866682783</v>
      </c>
      <c r="G63" s="28">
        <v>-1792517.143041967</v>
      </c>
      <c r="H63" s="28">
        <v>-385507.8421882848</v>
      </c>
      <c r="I63" s="28">
        <v>-49253.80671153709</v>
      </c>
      <c r="J63" s="28">
        <v>0</v>
      </c>
      <c r="K63" s="28">
        <v>0</v>
      </c>
      <c r="L63" s="28">
        <v>0</v>
      </c>
      <c r="M63" s="28">
        <v>0</v>
      </c>
      <c r="N63" s="28">
        <v>-5523.551378269166</v>
      </c>
      <c r="O63" s="29">
        <v>-60580.94334822001</v>
      </c>
      <c r="P63" s="28"/>
    </row>
    <row r="64" spans="1:16" ht="12.75">
      <c r="A64" s="26">
        <f t="shared" si="10"/>
        <v>45</v>
      </c>
      <c r="C64" s="10">
        <v>282</v>
      </c>
      <c r="D64" s="12" t="s">
        <v>73</v>
      </c>
      <c r="E64" s="12"/>
      <c r="F64" s="31">
        <f t="shared" si="11"/>
        <v>-125895607.52072194</v>
      </c>
      <c r="G64" s="28">
        <v>-99307004.80357914</v>
      </c>
      <c r="H64" s="28">
        <v>-20428145.28656639</v>
      </c>
      <c r="I64" s="28">
        <v>-2321777.6018197923</v>
      </c>
      <c r="J64" s="28">
        <v>0</v>
      </c>
      <c r="K64" s="28">
        <v>0</v>
      </c>
      <c r="L64" s="28">
        <v>0</v>
      </c>
      <c r="M64" s="28">
        <v>0</v>
      </c>
      <c r="N64" s="28">
        <v>-320751.9450317529</v>
      </c>
      <c r="O64" s="29">
        <v>-3517927.8837248636</v>
      </c>
      <c r="P64" s="28"/>
    </row>
    <row r="65" spans="1:16" ht="13.5" thickBot="1">
      <c r="A65" s="26">
        <f t="shared" si="10"/>
        <v>46</v>
      </c>
      <c r="C65" s="12"/>
      <c r="D65" s="12" t="s">
        <v>74</v>
      </c>
      <c r="E65" s="12"/>
      <c r="F65" s="31">
        <f t="shared" si="11"/>
        <v>5982519.059475085</v>
      </c>
      <c r="G65" s="28">
        <v>4706611.148355247</v>
      </c>
      <c r="H65" s="28">
        <v>980805.165714624</v>
      </c>
      <c r="I65" s="28">
        <v>115566.59943106829</v>
      </c>
      <c r="J65" s="28">
        <v>0</v>
      </c>
      <c r="K65" s="28">
        <v>0</v>
      </c>
      <c r="L65" s="28">
        <v>0</v>
      </c>
      <c r="M65" s="28">
        <v>0</v>
      </c>
      <c r="N65" s="28">
        <v>15001.659579242421</v>
      </c>
      <c r="O65" s="29">
        <v>164534.4863949014</v>
      </c>
      <c r="P65" s="28"/>
    </row>
    <row r="66" spans="1:16" ht="12.75">
      <c r="A66" s="26">
        <f t="shared" si="10"/>
        <v>47</v>
      </c>
      <c r="C66" s="42" t="s">
        <v>75</v>
      </c>
      <c r="D66" s="12"/>
      <c r="E66" s="12"/>
      <c r="F66" s="32">
        <f>SUM(F55:F65)</f>
        <v>-169376763.81509653</v>
      </c>
      <c r="G66" s="33">
        <f aca="true" t="shared" si="12" ref="G66:O66">SUM(G55:G65)</f>
        <v>-132619113.8581388</v>
      </c>
      <c r="H66" s="33">
        <f t="shared" si="12"/>
        <v>-28166518.05169639</v>
      </c>
      <c r="I66" s="33">
        <f t="shared" si="12"/>
        <v>-3081580.07127232</v>
      </c>
      <c r="J66" s="33">
        <f t="shared" si="12"/>
        <v>0</v>
      </c>
      <c r="K66" s="33">
        <f t="shared" si="12"/>
        <v>0</v>
      </c>
      <c r="L66" s="33">
        <f t="shared" si="12"/>
        <v>0</v>
      </c>
      <c r="M66" s="33">
        <f t="shared" si="12"/>
        <v>0</v>
      </c>
      <c r="N66" s="33">
        <f t="shared" si="12"/>
        <v>-407164.63296930335</v>
      </c>
      <c r="O66" s="34">
        <f t="shared" si="12"/>
        <v>-5102387.201019732</v>
      </c>
      <c r="P66" s="28"/>
    </row>
    <row r="67" spans="1:16" ht="6.75" customHeight="1" thickBot="1">
      <c r="A67" s="26"/>
      <c r="B67" s="9"/>
      <c r="C67" s="12"/>
      <c r="D67" s="12"/>
      <c r="E67" s="12"/>
      <c r="F67" s="36"/>
      <c r="G67" s="37"/>
      <c r="H67" s="37"/>
      <c r="I67" s="37"/>
      <c r="J67" s="37"/>
      <c r="K67" s="37"/>
      <c r="L67" s="37"/>
      <c r="M67" s="37"/>
      <c r="N67" s="37"/>
      <c r="O67" s="38"/>
      <c r="P67" s="28"/>
    </row>
    <row r="68" spans="1:16" ht="6.75" customHeight="1" thickTop="1">
      <c r="A68" s="26"/>
      <c r="B68" s="9"/>
      <c r="C68" s="12"/>
      <c r="D68" s="12"/>
      <c r="E68" s="12"/>
      <c r="F68" s="27"/>
      <c r="G68" s="28"/>
      <c r="H68" s="28"/>
      <c r="I68" s="28"/>
      <c r="J68" s="28"/>
      <c r="K68" s="28"/>
      <c r="L68" s="28"/>
      <c r="M68" s="28"/>
      <c r="N68" s="28"/>
      <c r="O68" s="29"/>
      <c r="P68" s="28"/>
    </row>
    <row r="69" spans="1:16" ht="12.75">
      <c r="A69" s="26">
        <f>+A66+1</f>
        <v>48</v>
      </c>
      <c r="B69" s="42" t="s">
        <v>76</v>
      </c>
      <c r="C69" s="12"/>
      <c r="D69" s="12"/>
      <c r="E69" s="12"/>
      <c r="F69" s="31">
        <f>F52+F66</f>
        <v>730214246.6091365</v>
      </c>
      <c r="G69" s="28">
        <f aca="true" t="shared" si="13" ref="G69:O69">G52+G66</f>
        <v>580098058.7160318</v>
      </c>
      <c r="H69" s="28">
        <f t="shared" si="13"/>
        <v>115279298.81196746</v>
      </c>
      <c r="I69" s="28">
        <f t="shared" si="13"/>
        <v>12195694.547792803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1945052.0285443782</v>
      </c>
      <c r="O69" s="29">
        <f t="shared" si="13"/>
        <v>20696142.50480017</v>
      </c>
      <c r="P69" s="28"/>
    </row>
    <row r="70" spans="1:16" ht="6.75" customHeight="1">
      <c r="A70" s="26"/>
      <c r="B70" s="42"/>
      <c r="C70" s="12"/>
      <c r="D70" s="12"/>
      <c r="E70" s="12"/>
      <c r="F70" s="31"/>
      <c r="G70" s="28"/>
      <c r="H70" s="28"/>
      <c r="I70" s="28"/>
      <c r="J70" s="28"/>
      <c r="K70" s="28"/>
      <c r="L70" s="28"/>
      <c r="M70" s="28"/>
      <c r="N70" s="28"/>
      <c r="O70" s="29"/>
      <c r="P70" s="28"/>
    </row>
    <row r="71" spans="1:16" ht="6.75" customHeight="1">
      <c r="A71" s="46"/>
      <c r="B71" s="47"/>
      <c r="F71" s="48"/>
      <c r="G71" s="49"/>
      <c r="H71" s="49"/>
      <c r="I71" s="49"/>
      <c r="J71" s="49"/>
      <c r="K71" s="49"/>
      <c r="L71" s="49"/>
      <c r="M71" s="49"/>
      <c r="N71" s="49"/>
      <c r="O71" s="50"/>
      <c r="P71" s="49"/>
    </row>
    <row r="72" spans="1:16" ht="12.75" customHeight="1">
      <c r="A72" s="26">
        <f>A69+1</f>
        <v>49</v>
      </c>
      <c r="B72" s="51" t="s">
        <v>77</v>
      </c>
      <c r="C72" s="12"/>
      <c r="D72" s="12"/>
      <c r="E72" s="12"/>
      <c r="F72" s="52">
        <v>0.07394905465116876</v>
      </c>
      <c r="G72" s="53">
        <f>IF(G69=0," ",G41/G69)</f>
        <v>0.07113034173197799</v>
      </c>
      <c r="H72" s="53">
        <f aca="true" t="shared" si="14" ref="H72:O72">IF(H69=0," ",H41/H69)</f>
        <v>0.10371118414740842</v>
      </c>
      <c r="I72" s="53">
        <f t="shared" si="14"/>
        <v>0.05840743206290262</v>
      </c>
      <c r="J72" s="53" t="str">
        <f t="shared" si="14"/>
        <v> </v>
      </c>
      <c r="K72" s="53" t="str">
        <f t="shared" si="14"/>
        <v> </v>
      </c>
      <c r="L72" s="53" t="str">
        <f t="shared" si="14"/>
        <v> </v>
      </c>
      <c r="M72" s="53" t="str">
        <f t="shared" si="14"/>
        <v> </v>
      </c>
      <c r="N72" s="53">
        <f t="shared" si="14"/>
        <v>-0.0025879483119111133</v>
      </c>
      <c r="O72" s="54">
        <f t="shared" si="14"/>
        <v>0.003529255797180979</v>
      </c>
      <c r="P72" s="53"/>
    </row>
    <row r="73" spans="1:16" ht="0.75" customHeight="1">
      <c r="A73" s="26"/>
      <c r="B73" s="51"/>
      <c r="C73" s="12"/>
      <c r="D73" s="12"/>
      <c r="E73" s="12"/>
      <c r="F73" s="52"/>
      <c r="G73" s="53"/>
      <c r="H73" s="53"/>
      <c r="I73" s="53"/>
      <c r="J73" s="53"/>
      <c r="K73" s="53"/>
      <c r="L73" s="53"/>
      <c r="M73" s="53"/>
      <c r="N73" s="53"/>
      <c r="O73" s="54"/>
      <c r="P73" s="53"/>
    </row>
    <row r="74" spans="1:16" ht="12.75" customHeight="1">
      <c r="A74" s="26">
        <f>+A72+1</f>
        <v>50</v>
      </c>
      <c r="B74" s="51" t="s">
        <v>78</v>
      </c>
      <c r="C74" s="12"/>
      <c r="D74" s="12"/>
      <c r="E74" s="12"/>
      <c r="F74" s="52">
        <v>0.08033599500226839</v>
      </c>
      <c r="G74" s="53">
        <v>0.07484980460478698</v>
      </c>
      <c r="H74" s="53">
        <v>0.13826339439764382</v>
      </c>
      <c r="I74" s="53">
        <v>0.05008662124571548</v>
      </c>
      <c r="J74" s="53" t="s">
        <v>92</v>
      </c>
      <c r="K74" s="53" t="s">
        <v>92</v>
      </c>
      <c r="L74" s="53" t="s">
        <v>92</v>
      </c>
      <c r="M74" s="53" t="s">
        <v>92</v>
      </c>
      <c r="N74" s="53">
        <v>-0.06863148864931407</v>
      </c>
      <c r="O74" s="54">
        <v>-0.056725293373361754</v>
      </c>
      <c r="P74" s="53"/>
    </row>
    <row r="75" spans="1:16" ht="6.75" customHeight="1" thickBot="1">
      <c r="A75" s="49"/>
      <c r="B75" s="55"/>
      <c r="C75" s="55"/>
      <c r="D75" s="55"/>
      <c r="E75" s="55"/>
      <c r="F75" s="56"/>
      <c r="G75" s="55"/>
      <c r="H75" s="55"/>
      <c r="I75" s="55"/>
      <c r="J75" s="55"/>
      <c r="K75" s="55"/>
      <c r="L75" s="55"/>
      <c r="M75" s="55"/>
      <c r="N75" s="55"/>
      <c r="O75" s="57"/>
      <c r="P75" s="49"/>
    </row>
    <row r="76" spans="1:16" ht="6.75" customHeight="1">
      <c r="A76" s="20"/>
      <c r="B76" s="20"/>
      <c r="C76" s="20"/>
      <c r="D76" s="20"/>
      <c r="E76" s="20"/>
      <c r="F76" s="58"/>
      <c r="G76" s="20"/>
      <c r="H76" s="20"/>
      <c r="I76" s="20"/>
      <c r="J76" s="20"/>
      <c r="K76" s="20"/>
      <c r="L76" s="20"/>
      <c r="M76" s="20"/>
      <c r="N76" s="20"/>
      <c r="O76" s="21"/>
      <c r="P76" s="20"/>
    </row>
    <row r="77" spans="1:16" ht="12.75">
      <c r="A77" s="26">
        <f>A74+1</f>
        <v>51</v>
      </c>
      <c r="B77" s="51" t="s">
        <v>79</v>
      </c>
      <c r="D77" s="12"/>
      <c r="E77" s="12"/>
      <c r="F77" s="27">
        <f>F38+F41</f>
        <v>239138038.7036665</v>
      </c>
      <c r="G77" s="59">
        <f aca="true" t="shared" si="15" ref="G77:O77">G38+G41</f>
        <v>187103142.6920848</v>
      </c>
      <c r="H77" s="28">
        <f t="shared" si="15"/>
        <v>42506973.746398196</v>
      </c>
      <c r="I77" s="28">
        <f t="shared" si="15"/>
        <v>4011804.9207143947</v>
      </c>
      <c r="J77" s="28">
        <f t="shared" si="15"/>
        <v>0</v>
      </c>
      <c r="K77" s="28">
        <f t="shared" si="15"/>
        <v>0</v>
      </c>
      <c r="L77" s="28">
        <f t="shared" si="15"/>
        <v>0</v>
      </c>
      <c r="M77" s="28">
        <f t="shared" si="15"/>
        <v>0</v>
      </c>
      <c r="N77" s="28">
        <f t="shared" si="15"/>
        <v>526852.4684974112</v>
      </c>
      <c r="O77" s="29">
        <f t="shared" si="15"/>
        <v>4989264.875971734</v>
      </c>
      <c r="P77" s="28"/>
    </row>
    <row r="78" spans="1:16" ht="12.75" customHeight="1">
      <c r="A78" s="46"/>
      <c r="B78" s="60"/>
      <c r="F78" s="48"/>
      <c r="G78" s="49"/>
      <c r="H78" s="49"/>
      <c r="I78" s="49"/>
      <c r="J78" s="49"/>
      <c r="K78" s="49"/>
      <c r="L78" s="49"/>
      <c r="M78" s="49"/>
      <c r="N78" s="49"/>
      <c r="O78" s="50"/>
      <c r="P78" s="49"/>
    </row>
    <row r="79" spans="1:16" ht="12.75">
      <c r="A79" s="46">
        <f>A77+1</f>
        <v>52</v>
      </c>
      <c r="B79" s="61" t="s">
        <v>80</v>
      </c>
      <c r="F79" s="62">
        <v>11966498.309372995</v>
      </c>
      <c r="G79" s="63">
        <v>12158712.281344559</v>
      </c>
      <c r="H79" s="64">
        <v>-3676034.904923725</v>
      </c>
      <c r="I79" s="64">
        <v>507304.0317209801</v>
      </c>
      <c r="J79" s="64">
        <v>0</v>
      </c>
      <c r="K79" s="64">
        <v>0</v>
      </c>
      <c r="L79" s="64">
        <v>0</v>
      </c>
      <c r="M79" s="64">
        <v>0</v>
      </c>
      <c r="N79" s="64">
        <v>273347.24603942735</v>
      </c>
      <c r="O79" s="65">
        <v>2703169.6551917023</v>
      </c>
      <c r="P79" s="49"/>
    </row>
    <row r="80" spans="1:16" ht="12.75">
      <c r="A80" s="46"/>
      <c r="B80" s="61"/>
      <c r="F80" s="62"/>
      <c r="G80" s="64"/>
      <c r="H80" s="64"/>
      <c r="I80" s="64"/>
      <c r="J80" s="64"/>
      <c r="K80" s="64"/>
      <c r="L80" s="64"/>
      <c r="M80" s="64"/>
      <c r="N80" s="64"/>
      <c r="O80" s="65"/>
      <c r="P80" s="49"/>
    </row>
    <row r="81" spans="1:16" ht="12.75">
      <c r="A81" s="46">
        <f>A79+1</f>
        <v>53</v>
      </c>
      <c r="B81" s="61" t="s">
        <v>81</v>
      </c>
      <c r="F81" s="62">
        <f>SUM(G81:O81)</f>
        <v>0</v>
      </c>
      <c r="G81" s="63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5">
        <v>0</v>
      </c>
      <c r="P81" s="49"/>
    </row>
    <row r="82" spans="1:16" ht="6.75" customHeight="1" thickBot="1">
      <c r="A82" s="46"/>
      <c r="F82" s="66"/>
      <c r="G82" s="67"/>
      <c r="H82" s="67"/>
      <c r="I82" s="67"/>
      <c r="J82" s="67"/>
      <c r="K82" s="67"/>
      <c r="L82" s="67"/>
      <c r="M82" s="67"/>
      <c r="N82" s="67"/>
      <c r="O82" s="68"/>
      <c r="P82" s="20"/>
    </row>
    <row r="83" spans="1:16" ht="6.75" customHeight="1" thickTop="1">
      <c r="A83" s="46"/>
      <c r="F83" s="58"/>
      <c r="G83" s="20"/>
      <c r="H83" s="20"/>
      <c r="I83" s="20"/>
      <c r="J83" s="20"/>
      <c r="K83" s="20"/>
      <c r="L83" s="20"/>
      <c r="M83" s="20"/>
      <c r="N83" s="20"/>
      <c r="O83" s="21"/>
      <c r="P83" s="20"/>
    </row>
    <row r="84" spans="1:16" ht="12.75">
      <c r="A84" s="46">
        <f>A81+1</f>
        <v>54</v>
      </c>
      <c r="B84" s="47" t="s">
        <v>82</v>
      </c>
      <c r="F84" s="62">
        <f>F79+F41+F38+F81</f>
        <v>251104537.0130395</v>
      </c>
      <c r="G84" s="64">
        <f>G79+G41+G38+G81</f>
        <v>199261854.97342935</v>
      </c>
      <c r="H84" s="64">
        <f aca="true" t="shared" si="16" ref="H84:O84">H79+H41+H38+H81</f>
        <v>38830938.84147447</v>
      </c>
      <c r="I84" s="64">
        <f t="shared" si="16"/>
        <v>4519108.952435374</v>
      </c>
      <c r="J84" s="64">
        <f t="shared" si="16"/>
        <v>0</v>
      </c>
      <c r="K84" s="64">
        <f t="shared" si="16"/>
        <v>0</v>
      </c>
      <c r="L84" s="64">
        <f t="shared" si="16"/>
        <v>0</v>
      </c>
      <c r="M84" s="64">
        <f t="shared" si="16"/>
        <v>0</v>
      </c>
      <c r="N84" s="64">
        <f t="shared" si="16"/>
        <v>800199.7145368386</v>
      </c>
      <c r="O84" s="65">
        <f t="shared" si="16"/>
        <v>7692434.531163435</v>
      </c>
      <c r="P84" s="49"/>
    </row>
    <row r="85" spans="1:16" ht="12.75">
      <c r="A85" s="46"/>
      <c r="B85" s="47"/>
      <c r="F85" s="48"/>
      <c r="G85" s="49"/>
      <c r="H85" s="49"/>
      <c r="I85" s="49"/>
      <c r="J85" s="49"/>
      <c r="K85" s="49"/>
      <c r="L85" s="49"/>
      <c r="M85" s="49"/>
      <c r="N85" s="49"/>
      <c r="O85" s="50"/>
      <c r="P85" s="49"/>
    </row>
    <row r="86" spans="1:16" ht="12.75">
      <c r="A86" s="46">
        <f>A84+1</f>
        <v>55</v>
      </c>
      <c r="B86" s="51" t="s">
        <v>83</v>
      </c>
      <c r="F86" s="52">
        <v>0.08405209171593839</v>
      </c>
      <c r="G86" s="53">
        <f aca="true" t="shared" si="17" ref="G86:O86">$F$86</f>
        <v>0.08405209171593839</v>
      </c>
      <c r="H86" s="53">
        <f t="shared" si="17"/>
        <v>0.08405209171593839</v>
      </c>
      <c r="I86" s="53">
        <f t="shared" si="17"/>
        <v>0.08405209171593839</v>
      </c>
      <c r="J86" s="53">
        <f t="shared" si="17"/>
        <v>0.08405209171593839</v>
      </c>
      <c r="K86" s="53">
        <f t="shared" si="17"/>
        <v>0.08405209171593839</v>
      </c>
      <c r="L86" s="53">
        <f t="shared" si="17"/>
        <v>0.08405209171593839</v>
      </c>
      <c r="M86" s="53">
        <f t="shared" si="17"/>
        <v>0.08405209171593839</v>
      </c>
      <c r="N86" s="53">
        <f t="shared" si="17"/>
        <v>0.08405209171593839</v>
      </c>
      <c r="O86" s="54">
        <f t="shared" si="17"/>
        <v>0.08405209171593839</v>
      </c>
      <c r="P86" s="53"/>
    </row>
    <row r="87" spans="1:16" ht="12.75" customHeight="1">
      <c r="A87" s="46">
        <f>A86+1</f>
        <v>56</v>
      </c>
      <c r="B87" s="51" t="s">
        <v>84</v>
      </c>
      <c r="F87" s="52">
        <v>0.1</v>
      </c>
      <c r="G87" s="53">
        <f aca="true" t="shared" si="18" ref="G87:O87">$F$87</f>
        <v>0.1</v>
      </c>
      <c r="H87" s="53">
        <f t="shared" si="18"/>
        <v>0.1</v>
      </c>
      <c r="I87" s="53">
        <f t="shared" si="18"/>
        <v>0.1</v>
      </c>
      <c r="J87" s="53">
        <f t="shared" si="18"/>
        <v>0.1</v>
      </c>
      <c r="K87" s="53">
        <f t="shared" si="18"/>
        <v>0.1</v>
      </c>
      <c r="L87" s="53">
        <f t="shared" si="18"/>
        <v>0.1</v>
      </c>
      <c r="M87" s="53">
        <f t="shared" si="18"/>
        <v>0.1</v>
      </c>
      <c r="N87" s="53">
        <f t="shared" si="18"/>
        <v>0.1</v>
      </c>
      <c r="O87" s="54">
        <f t="shared" si="18"/>
        <v>0.1</v>
      </c>
      <c r="P87" s="53"/>
    </row>
    <row r="88" spans="1:16" ht="6.75" customHeight="1" thickBot="1">
      <c r="A88" s="49"/>
      <c r="B88" s="49"/>
      <c r="C88" s="49"/>
      <c r="D88" s="49"/>
      <c r="E88" s="49"/>
      <c r="F88" s="56"/>
      <c r="G88" s="55"/>
      <c r="H88" s="55"/>
      <c r="I88" s="55"/>
      <c r="J88" s="55"/>
      <c r="K88" s="55"/>
      <c r="L88" s="55"/>
      <c r="M88" s="55"/>
      <c r="N88" s="55"/>
      <c r="O88" s="57"/>
      <c r="P88" s="49"/>
    </row>
    <row r="89" spans="1:16" ht="6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5:16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ht="12.75">
      <c r="P91" s="20"/>
    </row>
    <row r="92" ht="12.75">
      <c r="P92" s="20"/>
    </row>
    <row r="93" ht="12.75">
      <c r="P93" s="20"/>
    </row>
    <row r="94" ht="12.75">
      <c r="P94" s="20"/>
    </row>
    <row r="95" ht="12.75">
      <c r="P95" s="20"/>
    </row>
    <row r="96" ht="12.75">
      <c r="P96" s="20"/>
    </row>
    <row r="97" ht="12.75">
      <c r="P97" s="20"/>
    </row>
    <row r="98" ht="12.75">
      <c r="P98" s="20"/>
    </row>
    <row r="99" ht="12.75">
      <c r="P99" s="20"/>
    </row>
    <row r="100" ht="12.75">
      <c r="P100" s="20"/>
    </row>
    <row r="101" ht="12.75">
      <c r="P101" s="20"/>
    </row>
    <row r="102" ht="12.75">
      <c r="P102" s="20"/>
    </row>
    <row r="103" ht="12.75">
      <c r="P103" s="20"/>
    </row>
  </sheetData>
  <sheetProtection/>
  <mergeCells count="5">
    <mergeCell ref="B44:E44"/>
    <mergeCell ref="A1:O1"/>
    <mergeCell ref="G5:O5"/>
    <mergeCell ref="B6:E6"/>
    <mergeCell ref="B8:E8"/>
  </mergeCells>
  <printOptions horizontalCentered="1"/>
  <pageMargins left="0.5" right="0.5" top="1.25" bottom="0.5" header="0.5" footer="0.5"/>
  <pageSetup fitToHeight="1" fitToWidth="1" horizontalDpi="600" verticalDpi="600" orientation="portrait" scale="59" r:id="rId1"/>
  <headerFooter alignWithMargins="0">
    <oddHeader>&amp;R&amp;"Times New Roman,Bold"Utah Association of Energy Users
Utah PSC Docket No.  07-057-13
UAE Exhibit COS 1.2
Page 2 of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PageLayoutView="0" workbookViewId="0" topLeftCell="A1">
      <selection activeCell="I60" sqref="I60"/>
    </sheetView>
  </sheetViews>
  <sheetFormatPr defaultColWidth="9.33203125" defaultRowHeight="12.75"/>
  <cols>
    <col min="1" max="1" width="9.33203125" style="96" customWidth="1"/>
    <col min="2" max="2" width="2.33203125" style="96" customWidth="1"/>
    <col min="3" max="3" width="21.33203125" style="96" bestFit="1" customWidth="1"/>
    <col min="4" max="4" width="21" style="96" bestFit="1" customWidth="1"/>
    <col min="5" max="5" width="19.33203125" style="96" bestFit="1" customWidth="1"/>
    <col min="6" max="6" width="21" style="96" bestFit="1" customWidth="1"/>
    <col min="7" max="7" width="16.16015625" style="96" bestFit="1" customWidth="1"/>
    <col min="8" max="8" width="19" style="96" bestFit="1" customWidth="1"/>
    <col min="9" max="9" width="14.33203125" style="96" bestFit="1" customWidth="1"/>
    <col min="10" max="10" width="15.33203125" style="96" bestFit="1" customWidth="1"/>
    <col min="11" max="12" width="15.33203125" style="96" customWidth="1"/>
    <col min="13" max="14" width="15.33203125" style="96" bestFit="1" customWidth="1"/>
    <col min="15" max="15" width="14.16015625" style="96" bestFit="1" customWidth="1"/>
    <col min="16" max="16" width="2.33203125" style="96" customWidth="1"/>
    <col min="17" max="17" width="20.66015625" style="96" bestFit="1" customWidth="1"/>
    <col min="18" max="19" width="14.16015625" style="96" bestFit="1" customWidth="1"/>
    <col min="20" max="20" width="14.16015625" style="96" customWidth="1"/>
    <col min="21" max="21" width="9.33203125" style="96" customWidth="1"/>
    <col min="22" max="22" width="14.16015625" style="96" bestFit="1" customWidth="1"/>
    <col min="23" max="23" width="15.33203125" style="96" bestFit="1" customWidth="1"/>
    <col min="24" max="24" width="14.16015625" style="96" customWidth="1"/>
    <col min="25" max="25" width="14.16015625" style="96" bestFit="1" customWidth="1"/>
    <col min="26" max="16384" width="9.33203125" style="96" customWidth="1"/>
  </cols>
  <sheetData>
    <row r="1" spans="1:25" ht="18.75">
      <c r="A1" s="146" t="s">
        <v>95</v>
      </c>
      <c r="B1" s="146"/>
      <c r="C1" s="146"/>
      <c r="D1" s="146"/>
      <c r="E1" s="146"/>
      <c r="F1" s="146"/>
      <c r="G1" s="146"/>
      <c r="H1" s="146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8.75">
      <c r="A2" s="146" t="s">
        <v>96</v>
      </c>
      <c r="B2" s="146"/>
      <c r="C2" s="146"/>
      <c r="D2" s="146"/>
      <c r="E2" s="146"/>
      <c r="F2" s="146"/>
      <c r="G2" s="146"/>
      <c r="H2" s="146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9.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4:14" ht="12.75">
      <c r="D4" s="97"/>
      <c r="E4" s="98"/>
      <c r="F4" s="98"/>
      <c r="G4" s="99"/>
      <c r="H4" s="100"/>
      <c r="I4" s="100"/>
      <c r="J4" s="100"/>
      <c r="K4" s="100"/>
      <c r="L4" s="100"/>
      <c r="M4" s="100"/>
      <c r="N4" s="100"/>
    </row>
    <row r="5" spans="4:14" ht="12.75">
      <c r="D5" s="143" t="s">
        <v>97</v>
      </c>
      <c r="E5" s="144"/>
      <c r="F5" s="144"/>
      <c r="G5" s="145"/>
      <c r="H5" s="100"/>
      <c r="I5" s="100"/>
      <c r="J5" s="100"/>
      <c r="K5" s="100"/>
      <c r="L5" s="100"/>
      <c r="M5" s="100"/>
      <c r="N5" s="100"/>
    </row>
    <row r="6" spans="4:14" ht="12.75">
      <c r="D6" s="143" t="s">
        <v>98</v>
      </c>
      <c r="E6" s="144"/>
      <c r="F6" s="144"/>
      <c r="G6" s="145"/>
      <c r="H6" s="100"/>
      <c r="I6" s="100"/>
      <c r="J6" s="100"/>
      <c r="K6" s="100"/>
      <c r="L6" s="100"/>
      <c r="M6" s="100"/>
      <c r="N6" s="100"/>
    </row>
    <row r="7" spans="4:14" ht="12.75">
      <c r="D7" s="143" t="s">
        <v>99</v>
      </c>
      <c r="E7" s="144"/>
      <c r="F7" s="144"/>
      <c r="G7" s="145"/>
      <c r="H7" s="100"/>
      <c r="I7" s="100"/>
      <c r="J7" s="100"/>
      <c r="K7" s="100"/>
      <c r="L7" s="100"/>
      <c r="M7" s="100"/>
      <c r="N7" s="100"/>
    </row>
    <row r="8" spans="4:14" ht="12.75">
      <c r="D8" s="143" t="s">
        <v>100</v>
      </c>
      <c r="E8" s="144"/>
      <c r="F8" s="144"/>
      <c r="G8" s="145"/>
      <c r="H8" s="100"/>
      <c r="I8" s="100"/>
      <c r="J8" s="100"/>
      <c r="K8" s="100"/>
      <c r="L8" s="100"/>
      <c r="M8" s="100"/>
      <c r="N8" s="100"/>
    </row>
    <row r="9" spans="4:14" ht="13.5" thickBot="1">
      <c r="D9" s="104"/>
      <c r="E9" s="105"/>
      <c r="F9" s="105"/>
      <c r="G9" s="106"/>
      <c r="H9" s="100"/>
      <c r="I9" s="100"/>
      <c r="J9" s="100"/>
      <c r="K9" s="100"/>
      <c r="L9" s="100"/>
      <c r="M9" s="100"/>
      <c r="N9" s="100"/>
    </row>
    <row r="10" spans="4:7" ht="12.75">
      <c r="D10" s="107"/>
      <c r="E10" s="108"/>
      <c r="F10" s="108"/>
      <c r="G10" s="109"/>
    </row>
    <row r="11" spans="4:7" ht="12.75">
      <c r="D11" s="110"/>
      <c r="E11" s="111"/>
      <c r="F11" s="111"/>
      <c r="G11" s="103"/>
    </row>
    <row r="12" spans="4:7" ht="12.75">
      <c r="D12" s="110"/>
      <c r="E12" s="111"/>
      <c r="F12" s="111"/>
      <c r="G12" s="103" t="s">
        <v>97</v>
      </c>
    </row>
    <row r="13" spans="4:7" ht="12.75">
      <c r="D13" s="110"/>
      <c r="E13" s="102" t="s">
        <v>97</v>
      </c>
      <c r="F13" s="102" t="s">
        <v>97</v>
      </c>
      <c r="G13" s="103" t="s">
        <v>98</v>
      </c>
    </row>
    <row r="14" spans="4:7" ht="12.75">
      <c r="D14" s="101" t="s">
        <v>101</v>
      </c>
      <c r="E14" s="102" t="s">
        <v>98</v>
      </c>
      <c r="F14" s="102" t="s">
        <v>98</v>
      </c>
      <c r="G14" s="103" t="s">
        <v>102</v>
      </c>
    </row>
    <row r="15" spans="4:7" ht="12.75">
      <c r="D15" s="101" t="s">
        <v>102</v>
      </c>
      <c r="E15" s="102" t="s">
        <v>102</v>
      </c>
      <c r="F15" s="102" t="s">
        <v>102</v>
      </c>
      <c r="G15" s="103" t="s">
        <v>103</v>
      </c>
    </row>
    <row r="16" spans="2:9" ht="12.75">
      <c r="B16" s="112"/>
      <c r="C16" s="112" t="s">
        <v>104</v>
      </c>
      <c r="D16" s="113" t="s">
        <v>105</v>
      </c>
      <c r="E16" s="114" t="s">
        <v>106</v>
      </c>
      <c r="F16" s="114" t="s">
        <v>105</v>
      </c>
      <c r="G16" s="115" t="s">
        <v>106</v>
      </c>
      <c r="I16" s="116"/>
    </row>
    <row r="17" spans="3:9" ht="12.75">
      <c r="C17" s="96" t="s">
        <v>0</v>
      </c>
      <c r="D17" s="117">
        <v>178295795.34366915</v>
      </c>
      <c r="E17" s="70">
        <f>7421712.28134459-E29*(C35+F35+G35)</f>
        <v>7346739.310604492</v>
      </c>
      <c r="F17" s="70">
        <f aca="true" t="shared" si="0" ref="F17:F26">+D17+E17</f>
        <v>185642534.65427363</v>
      </c>
      <c r="G17" s="71">
        <f aca="true" t="shared" si="1" ref="G17:G27">+E17/D17</f>
        <v>0.04120534248406412</v>
      </c>
      <c r="I17" s="118"/>
    </row>
    <row r="18" spans="3:9" ht="12.75">
      <c r="C18" s="96" t="s">
        <v>1</v>
      </c>
      <c r="D18" s="119">
        <v>40849481.65633086</v>
      </c>
      <c r="E18" s="72">
        <f>1060965.09507626-E29*(C36+F36+G36)</f>
        <v>1044849.1607157813</v>
      </c>
      <c r="F18" s="72">
        <f t="shared" si="0"/>
        <v>41894330.81704664</v>
      </c>
      <c r="G18" s="71">
        <f t="shared" si="1"/>
        <v>0.025578027391048922</v>
      </c>
      <c r="I18" s="118"/>
    </row>
    <row r="19" spans="3:9" ht="12.75">
      <c r="C19" s="96" t="s">
        <v>2</v>
      </c>
      <c r="D19" s="119">
        <v>3866561</v>
      </c>
      <c r="E19" s="72">
        <f>507304.031720979-E29*(C37+F37+G37)</f>
        <v>505859.37634982995</v>
      </c>
      <c r="F19" s="72">
        <f t="shared" si="0"/>
        <v>4372420.37634983</v>
      </c>
      <c r="G19" s="71">
        <f t="shared" si="1"/>
        <v>0.1308292760284475</v>
      </c>
      <c r="I19" s="118"/>
    </row>
    <row r="20" spans="3:9" ht="12.75">
      <c r="C20" s="96" t="s">
        <v>3</v>
      </c>
      <c r="D20" s="119">
        <v>510598</v>
      </c>
      <c r="E20" s="72">
        <f>273347.246039428-E29*(C38+F38+G38)</f>
        <v>273157.0744169501</v>
      </c>
      <c r="F20" s="72">
        <f t="shared" si="0"/>
        <v>783755.0744169501</v>
      </c>
      <c r="G20" s="71">
        <f t="shared" si="1"/>
        <v>0.5349748224962693</v>
      </c>
      <c r="I20" s="118"/>
    </row>
    <row r="21" spans="3:9" ht="12.75">
      <c r="C21" s="96" t="s">
        <v>91</v>
      </c>
      <c r="D21" s="119">
        <v>4794760.489999999</v>
      </c>
      <c r="E21" s="72">
        <f>2703169.6551917-E29*(C39+F39+G39)</f>
        <v>2701039.0758714997</v>
      </c>
      <c r="F21" s="72">
        <f t="shared" si="0"/>
        <v>7495799.5658714995</v>
      </c>
      <c r="G21" s="71">
        <f t="shared" si="1"/>
        <v>0.5633313867303308</v>
      </c>
      <c r="I21" s="118"/>
    </row>
    <row r="22" spans="3:9" ht="12.75">
      <c r="C22" s="96" t="s">
        <v>107</v>
      </c>
      <c r="D22" s="119">
        <v>1481696.2599999998</v>
      </c>
      <c r="E22" s="72">
        <f>+D22*$E$29</f>
        <v>76043.98780233877</v>
      </c>
      <c r="F22" s="72">
        <f t="shared" si="0"/>
        <v>1557740.2478023386</v>
      </c>
      <c r="G22" s="73">
        <f t="shared" si="1"/>
        <v>0.05132225129753569</v>
      </c>
      <c r="I22" s="118"/>
    </row>
    <row r="23" spans="3:9" ht="12.75">
      <c r="C23" s="96" t="s">
        <v>108</v>
      </c>
      <c r="D23" s="119">
        <v>2976000</v>
      </c>
      <c r="E23" s="72">
        <v>0</v>
      </c>
      <c r="F23" s="72">
        <f t="shared" si="0"/>
        <v>2976000</v>
      </c>
      <c r="G23" s="73">
        <f t="shared" si="1"/>
        <v>0</v>
      </c>
      <c r="I23" s="118"/>
    </row>
    <row r="24" spans="3:9" ht="12.75">
      <c r="C24" s="96" t="s">
        <v>109</v>
      </c>
      <c r="D24" s="119">
        <v>22534</v>
      </c>
      <c r="E24" s="72">
        <v>0</v>
      </c>
      <c r="F24" s="72">
        <f t="shared" si="0"/>
        <v>22534</v>
      </c>
      <c r="G24" s="73">
        <f t="shared" si="1"/>
        <v>0</v>
      </c>
      <c r="I24" s="118"/>
    </row>
    <row r="25" spans="3:9" ht="12.75">
      <c r="C25" s="96" t="s">
        <v>110</v>
      </c>
      <c r="D25" s="119">
        <v>15175</v>
      </c>
      <c r="E25" s="72">
        <f>+D25*$E$29</f>
        <v>778.8151634401041</v>
      </c>
      <c r="F25" s="72">
        <f t="shared" si="0"/>
        <v>15953.815163440104</v>
      </c>
      <c r="G25" s="73">
        <f t="shared" si="1"/>
        <v>0.05132225129753569</v>
      </c>
      <c r="I25" s="118"/>
    </row>
    <row r="26" spans="3:9" ht="12.75">
      <c r="C26" s="96" t="s">
        <v>111</v>
      </c>
      <c r="D26" s="120">
        <v>351338</v>
      </c>
      <c r="E26" s="74">
        <f>+D26*$E$29</f>
        <v>18031.457126373592</v>
      </c>
      <c r="F26" s="74">
        <f t="shared" si="0"/>
        <v>369369.4571263736</v>
      </c>
      <c r="G26" s="75">
        <f t="shared" si="1"/>
        <v>0.05132225129753568</v>
      </c>
      <c r="I26" s="118"/>
    </row>
    <row r="27" spans="3:9" ht="13.5" thickBot="1">
      <c r="C27" s="96" t="s">
        <v>4</v>
      </c>
      <c r="D27" s="121">
        <f>SUM(D17:D26)</f>
        <v>233163939.75</v>
      </c>
      <c r="E27" s="122">
        <f>SUM(E17:E26)</f>
        <v>11966498.258050704</v>
      </c>
      <c r="F27" s="122">
        <f>SUM(F17:F26)</f>
        <v>245130438.0080507</v>
      </c>
      <c r="G27" s="123">
        <f t="shared" si="1"/>
        <v>0.051322251077423324</v>
      </c>
      <c r="I27" s="118"/>
    </row>
    <row r="28" spans="4:5" ht="12.75">
      <c r="D28" s="92" t="s">
        <v>112</v>
      </c>
      <c r="E28" s="93">
        <v>11966498.30937297</v>
      </c>
    </row>
    <row r="29" spans="4:5" ht="12.75">
      <c r="D29" s="94"/>
      <c r="E29" s="94">
        <f>+E28/D27</f>
        <v>0.05132225129753569</v>
      </c>
    </row>
    <row r="30" spans="4:5" ht="12.75">
      <c r="D30" s="124"/>
      <c r="E30" s="125"/>
    </row>
    <row r="31" spans="1:7" ht="12.75">
      <c r="A31" s="96" t="s">
        <v>113</v>
      </c>
      <c r="F31" s="126"/>
      <c r="G31" s="125"/>
    </row>
    <row r="32" spans="6:7" ht="12.75">
      <c r="F32" s="126"/>
      <c r="G32" s="125"/>
    </row>
    <row r="33" spans="3:8" ht="12.75">
      <c r="C33" s="127" t="s">
        <v>101</v>
      </c>
      <c r="D33" s="127" t="s">
        <v>101</v>
      </c>
      <c r="E33" s="127" t="s">
        <v>101</v>
      </c>
      <c r="F33" s="127" t="s">
        <v>101</v>
      </c>
      <c r="G33" s="127" t="s">
        <v>101</v>
      </c>
      <c r="H33" s="127" t="s">
        <v>101</v>
      </c>
    </row>
    <row r="34" spans="1:8" ht="12.75">
      <c r="A34" s="112" t="s">
        <v>104</v>
      </c>
      <c r="C34" s="114" t="s">
        <v>107</v>
      </c>
      <c r="D34" s="114" t="s">
        <v>108</v>
      </c>
      <c r="E34" s="114" t="s">
        <v>109</v>
      </c>
      <c r="F34" s="114" t="s">
        <v>110</v>
      </c>
      <c r="G34" s="114" t="s">
        <v>111</v>
      </c>
      <c r="H34" s="127" t="s">
        <v>4</v>
      </c>
    </row>
    <row r="35" spans="1:8" ht="12.75">
      <c r="A35" s="96" t="s">
        <v>0</v>
      </c>
      <c r="C35" s="126">
        <v>1171134.4771946105</v>
      </c>
      <c r="D35" s="126">
        <v>2352233.9214996477</v>
      </c>
      <c r="E35" s="126">
        <v>17810.900264473472</v>
      </c>
      <c r="F35" s="126">
        <v>11995.3379565716</v>
      </c>
      <c r="G35" s="126">
        <v>277697.97093811934</v>
      </c>
      <c r="H35" s="126">
        <f>SUM(C35:G35)</f>
        <v>3830872.607853423</v>
      </c>
    </row>
    <row r="36" spans="1:8" ht="12.75">
      <c r="A36" s="96" t="s">
        <v>1</v>
      </c>
      <c r="C36" s="128">
        <v>251743.24954016844</v>
      </c>
      <c r="D36" s="128">
        <v>505628.5359264802</v>
      </c>
      <c r="E36" s="128">
        <v>3828.573060674498</v>
      </c>
      <c r="F36" s="128">
        <v>2578.263787864361</v>
      </c>
      <c r="G36" s="128">
        <v>59693.05058983122</v>
      </c>
      <c r="H36" s="128">
        <f>SUM(C36:G36)</f>
        <v>823471.6729050187</v>
      </c>
    </row>
    <row r="37" spans="1:8" ht="12.75">
      <c r="A37" s="96" t="s">
        <v>2</v>
      </c>
      <c r="C37" s="128">
        <v>22566.62440190808</v>
      </c>
      <c r="D37" s="128">
        <v>45325.2640457353</v>
      </c>
      <c r="E37" s="128">
        <v>343.19875672264754</v>
      </c>
      <c r="F37" s="128">
        <v>231.11924794826382</v>
      </c>
      <c r="G37" s="128">
        <v>5350.970302184323</v>
      </c>
      <c r="H37" s="128">
        <f>SUM(C37:G37)</f>
        <v>73817.17675449862</v>
      </c>
    </row>
    <row r="38" spans="1:8" ht="12.75">
      <c r="A38" s="96" t="s">
        <v>3</v>
      </c>
      <c r="C38" s="128">
        <v>2970.62653284964</v>
      </c>
      <c r="D38" s="128">
        <v>5966.529578579439</v>
      </c>
      <c r="E38" s="128">
        <v>45.17801664103128</v>
      </c>
      <c r="F38" s="128">
        <v>30.424088156902886</v>
      </c>
      <c r="G38" s="128">
        <v>704.3913202550211</v>
      </c>
      <c r="H38" s="128">
        <f>SUM(C38:G38)</f>
        <v>9717.149536482033</v>
      </c>
    </row>
    <row r="39" spans="1:8" ht="12.75">
      <c r="A39" s="96" t="s">
        <v>91</v>
      </c>
      <c r="C39" s="129">
        <v>33281.282330463255</v>
      </c>
      <c r="D39" s="129">
        <v>66845.74894955776</v>
      </c>
      <c r="E39" s="129">
        <v>506.1499014883517</v>
      </c>
      <c r="F39" s="129">
        <v>340.8549194588505</v>
      </c>
      <c r="G39" s="129">
        <v>7891.616849610123</v>
      </c>
      <c r="H39" s="129">
        <f>SUM(C39:G39)</f>
        <v>108865.65295057833</v>
      </c>
    </row>
    <row r="40" spans="1:8" ht="12.75">
      <c r="A40" s="96" t="s">
        <v>4</v>
      </c>
      <c r="C40" s="126">
        <f aca="true" t="shared" si="2" ref="C40:H40">SUM(C35:C39)</f>
        <v>1481696.2599999998</v>
      </c>
      <c r="D40" s="126">
        <f t="shared" si="2"/>
        <v>2976000.0000000005</v>
      </c>
      <c r="E40" s="126">
        <f t="shared" si="2"/>
        <v>22534</v>
      </c>
      <c r="F40" s="126">
        <f t="shared" si="2"/>
        <v>15175.999999999976</v>
      </c>
      <c r="G40" s="126">
        <f t="shared" si="2"/>
        <v>351338</v>
      </c>
      <c r="H40" s="126">
        <f t="shared" si="2"/>
        <v>4846744.260000001</v>
      </c>
    </row>
    <row r="42" ht="13.5" thickBot="1"/>
    <row r="43" spans="4:7" ht="12.75">
      <c r="D43" s="97"/>
      <c r="E43" s="98"/>
      <c r="F43" s="98"/>
      <c r="G43" s="99"/>
    </row>
    <row r="44" spans="4:7" ht="12.75">
      <c r="D44" s="143" t="s">
        <v>114</v>
      </c>
      <c r="E44" s="144"/>
      <c r="F44" s="144"/>
      <c r="G44" s="145"/>
    </row>
    <row r="45" spans="4:7" ht="12.75">
      <c r="D45" s="143" t="s">
        <v>98</v>
      </c>
      <c r="E45" s="144"/>
      <c r="F45" s="144"/>
      <c r="G45" s="145"/>
    </row>
    <row r="46" spans="4:7" ht="12.75">
      <c r="D46" s="143" t="s">
        <v>99</v>
      </c>
      <c r="E46" s="144"/>
      <c r="F46" s="144"/>
      <c r="G46" s="145"/>
    </row>
    <row r="47" spans="4:7" ht="12.75">
      <c r="D47" s="143" t="s">
        <v>100</v>
      </c>
      <c r="E47" s="144"/>
      <c r="F47" s="144"/>
      <c r="G47" s="145"/>
    </row>
    <row r="48" spans="4:7" ht="13.5" thickBot="1">
      <c r="D48" s="104"/>
      <c r="E48" s="105"/>
      <c r="F48" s="105"/>
      <c r="G48" s="106"/>
    </row>
    <row r="49" spans="4:7" ht="12.75">
      <c r="D49" s="107"/>
      <c r="E49" s="108"/>
      <c r="F49" s="108"/>
      <c r="G49" s="109"/>
    </row>
    <row r="50" spans="4:7" ht="12.75">
      <c r="D50" s="110"/>
      <c r="E50" s="111"/>
      <c r="F50" s="111"/>
      <c r="G50" s="103"/>
    </row>
    <row r="51" spans="4:7" ht="12.75">
      <c r="D51" s="110"/>
      <c r="E51" s="111"/>
      <c r="F51" s="111"/>
      <c r="G51" s="103" t="s">
        <v>114</v>
      </c>
    </row>
    <row r="52" spans="4:7" ht="12.75">
      <c r="D52" s="110"/>
      <c r="E52" s="102" t="s">
        <v>114</v>
      </c>
      <c r="F52" s="102" t="s">
        <v>114</v>
      </c>
      <c r="G52" s="103" t="s">
        <v>98</v>
      </c>
    </row>
    <row r="53" spans="4:7" ht="12.75">
      <c r="D53" s="101" t="s">
        <v>101</v>
      </c>
      <c r="E53" s="102" t="s">
        <v>98</v>
      </c>
      <c r="F53" s="102" t="s">
        <v>98</v>
      </c>
      <c r="G53" s="103" t="s">
        <v>102</v>
      </c>
    </row>
    <row r="54" spans="4:7" ht="12.75">
      <c r="D54" s="101" t="s">
        <v>102</v>
      </c>
      <c r="E54" s="102" t="s">
        <v>102</v>
      </c>
      <c r="F54" s="102" t="s">
        <v>102</v>
      </c>
      <c r="G54" s="103" t="s">
        <v>103</v>
      </c>
    </row>
    <row r="55" spans="2:9" ht="12.75">
      <c r="B55" s="112"/>
      <c r="C55" s="112" t="s">
        <v>104</v>
      </c>
      <c r="D55" s="113" t="s">
        <v>105</v>
      </c>
      <c r="E55" s="114" t="s">
        <v>106</v>
      </c>
      <c r="F55" s="114" t="s">
        <v>105</v>
      </c>
      <c r="G55" s="115" t="s">
        <v>106</v>
      </c>
      <c r="H55" s="111"/>
      <c r="I55" s="116"/>
    </row>
    <row r="56" spans="3:9" ht="12.75">
      <c r="C56" s="96" t="s">
        <v>0</v>
      </c>
      <c r="D56" s="117">
        <v>178295795.34366915</v>
      </c>
      <c r="E56" s="70">
        <f>+E17+(-$F$72*E17/SUM($E$17,$E$22:$E$26))</f>
        <v>10884520.348055657</v>
      </c>
      <c r="F56" s="70">
        <f aca="true" t="shared" si="3" ref="F56:F65">+D56+E56</f>
        <v>189180315.6917248</v>
      </c>
      <c r="G56" s="71">
        <f>+E56/D56</f>
        <v>0.06104754364552176</v>
      </c>
      <c r="H56" s="111"/>
      <c r="I56" s="118"/>
    </row>
    <row r="57" spans="3:9" ht="12.75">
      <c r="C57" s="96" t="s">
        <v>1</v>
      </c>
      <c r="D57" s="119">
        <v>40849481.65633086</v>
      </c>
      <c r="E57" s="72">
        <f>+G57*D57</f>
        <v>0</v>
      </c>
      <c r="F57" s="72">
        <f t="shared" si="3"/>
        <v>40849481.65633086</v>
      </c>
      <c r="G57" s="71">
        <v>0</v>
      </c>
      <c r="H57" s="130"/>
      <c r="I57" s="118"/>
    </row>
    <row r="58" spans="3:9" ht="12.75">
      <c r="C58" s="96" t="s">
        <v>2</v>
      </c>
      <c r="D58" s="119">
        <v>3866561</v>
      </c>
      <c r="E58" s="72">
        <f>+G58*D58</f>
        <v>396881.2305985018</v>
      </c>
      <c r="F58" s="72">
        <f t="shared" si="3"/>
        <v>4263442.230598502</v>
      </c>
      <c r="G58" s="71">
        <f>2*E68</f>
        <v>0.10264450259507138</v>
      </c>
      <c r="H58" s="130"/>
      <c r="I58" s="118"/>
    </row>
    <row r="59" spans="3:9" ht="12.75">
      <c r="C59" s="96" t="s">
        <v>3</v>
      </c>
      <c r="D59" s="119">
        <v>510598</v>
      </c>
      <c r="E59" s="72">
        <f>+G59*D59</f>
        <v>52410.077736038256</v>
      </c>
      <c r="F59" s="72">
        <f t="shared" si="3"/>
        <v>563008.0777360382</v>
      </c>
      <c r="G59" s="71">
        <f>2*E68</f>
        <v>0.10264450259507138</v>
      </c>
      <c r="H59" s="130"/>
      <c r="I59" s="118"/>
    </row>
    <row r="60" spans="3:9" ht="12.75">
      <c r="C60" s="96" t="s">
        <v>91</v>
      </c>
      <c r="D60" s="119">
        <v>4794760.489999999</v>
      </c>
      <c r="E60" s="72">
        <f>+G60*D60</f>
        <v>492155.80555855064</v>
      </c>
      <c r="F60" s="72">
        <f t="shared" si="3"/>
        <v>5286916.295558549</v>
      </c>
      <c r="G60" s="71">
        <f>2*E68</f>
        <v>0.10264450259507138</v>
      </c>
      <c r="H60" s="130"/>
      <c r="I60" s="118"/>
    </row>
    <row r="61" spans="3:9" ht="12.75">
      <c r="C61" s="96" t="s">
        <v>107</v>
      </c>
      <c r="D61" s="119">
        <v>1481696.2599999998</v>
      </c>
      <c r="E61" s="72">
        <f>+E22+(-$F$72*E22/SUM($E$17,$E$22:$E$26))</f>
        <v>112662.54287628303</v>
      </c>
      <c r="F61" s="72">
        <f t="shared" si="3"/>
        <v>1594358.8028762827</v>
      </c>
      <c r="G61" s="73">
        <f aca="true" t="shared" si="4" ref="G61:G66">+E61/D61</f>
        <v>0.07603619305638461</v>
      </c>
      <c r="H61" s="130"/>
      <c r="I61" s="118"/>
    </row>
    <row r="62" spans="3:9" ht="12.75">
      <c r="C62" s="96" t="s">
        <v>108</v>
      </c>
      <c r="D62" s="119">
        <v>2976000</v>
      </c>
      <c r="E62" s="72">
        <f>+E23+(-$F$72*E23/SUM($E$17,$E$22:$E$26))</f>
        <v>0</v>
      </c>
      <c r="F62" s="72">
        <f t="shared" si="3"/>
        <v>2976000</v>
      </c>
      <c r="G62" s="73">
        <f t="shared" si="4"/>
        <v>0</v>
      </c>
      <c r="H62" s="111"/>
      <c r="I62" s="118"/>
    </row>
    <row r="63" spans="3:9" ht="12.75">
      <c r="C63" s="96" t="s">
        <v>109</v>
      </c>
      <c r="D63" s="119">
        <v>22534</v>
      </c>
      <c r="E63" s="72">
        <f>+E24+(-$F$72*E24/SUM($E$17,$E$22:$E$26))</f>
        <v>0</v>
      </c>
      <c r="F63" s="72">
        <f t="shared" si="3"/>
        <v>22534</v>
      </c>
      <c r="G63" s="73">
        <f t="shared" si="4"/>
        <v>0</v>
      </c>
      <c r="H63" s="111"/>
      <c r="I63" s="118"/>
    </row>
    <row r="64" spans="3:9" ht="12.75">
      <c r="C64" s="96" t="s">
        <v>110</v>
      </c>
      <c r="D64" s="119">
        <v>15175</v>
      </c>
      <c r="E64" s="72">
        <f>+E25+(-$F$72*E25/SUM($E$17,$E$22:$E$26))</f>
        <v>1153.8492296306363</v>
      </c>
      <c r="F64" s="72">
        <f t="shared" si="3"/>
        <v>16328.849229630636</v>
      </c>
      <c r="G64" s="73">
        <f t="shared" si="4"/>
        <v>0.0760361930563846</v>
      </c>
      <c r="H64" s="111"/>
      <c r="I64" s="118"/>
    </row>
    <row r="65" spans="3:9" ht="12.75">
      <c r="C65" s="96" t="s">
        <v>111</v>
      </c>
      <c r="D65" s="120">
        <v>351338</v>
      </c>
      <c r="E65" s="74">
        <f>+E26+(-$F$72*E26/SUM($E$17,$E$22:$E$26))</f>
        <v>26714.40399604405</v>
      </c>
      <c r="F65" s="74">
        <f t="shared" si="3"/>
        <v>378052.4039960441</v>
      </c>
      <c r="G65" s="75">
        <f t="shared" si="4"/>
        <v>0.0760361930563846</v>
      </c>
      <c r="H65" s="111"/>
      <c r="I65" s="118"/>
    </row>
    <row r="66" spans="3:9" ht="13.5" thickBot="1">
      <c r="C66" s="96" t="s">
        <v>4</v>
      </c>
      <c r="D66" s="121">
        <f>SUM(D56:D65)</f>
        <v>233163939.75</v>
      </c>
      <c r="E66" s="122">
        <f>SUM(E56:E65)</f>
        <v>11966498.258050706</v>
      </c>
      <c r="F66" s="122">
        <f>SUM(F56:F65)</f>
        <v>245130438.00805074</v>
      </c>
      <c r="G66" s="123">
        <f t="shared" si="4"/>
        <v>0.05132225107742333</v>
      </c>
      <c r="H66" s="111"/>
      <c r="I66" s="118"/>
    </row>
    <row r="67" spans="4:5" ht="12.75">
      <c r="D67" s="92" t="s">
        <v>112</v>
      </c>
      <c r="E67" s="93">
        <v>11966498.30937297</v>
      </c>
    </row>
    <row r="68" spans="4:5" ht="12.75">
      <c r="D68" s="94"/>
      <c r="E68" s="94">
        <f>+E67/D66</f>
        <v>0.05132225129753569</v>
      </c>
    </row>
    <row r="70" spans="5:6" ht="12.75">
      <c r="E70" s="131" t="s">
        <v>115</v>
      </c>
      <c r="F70" s="126">
        <f>+SUM(E58:E60)-SUM(E19:E21)</f>
        <v>-2538608.412745189</v>
      </c>
    </row>
    <row r="71" spans="5:6" ht="12.75">
      <c r="E71" s="131" t="s">
        <v>116</v>
      </c>
      <c r="F71" s="129">
        <f>+E57-E18</f>
        <v>-1044849.1607157813</v>
      </c>
    </row>
    <row r="72" spans="5:6" ht="12.75">
      <c r="E72" s="131" t="s">
        <v>4</v>
      </c>
      <c r="F72" s="126">
        <f>SUM(F70:F71)</f>
        <v>-3583457.57346097</v>
      </c>
    </row>
    <row r="73" ht="12.75">
      <c r="G73" s="132"/>
    </row>
    <row r="74" ht="12.75">
      <c r="G74" s="132"/>
    </row>
    <row r="75" spans="5:7" ht="12.75">
      <c r="E75" s="126"/>
      <c r="G75" s="132"/>
    </row>
    <row r="76" spans="5:7" ht="12.75">
      <c r="E76" s="128"/>
      <c r="G76" s="132"/>
    </row>
    <row r="77" spans="5:7" ht="12.75">
      <c r="E77" s="128"/>
      <c r="G77" s="132"/>
    </row>
    <row r="78" spans="5:7" ht="12.75">
      <c r="E78" s="126"/>
      <c r="G78" s="132"/>
    </row>
    <row r="79" ht="12.75">
      <c r="G79" s="132"/>
    </row>
  </sheetData>
  <sheetProtection/>
  <mergeCells count="10">
    <mergeCell ref="D46:G46"/>
    <mergeCell ref="D47:G47"/>
    <mergeCell ref="A1:H1"/>
    <mergeCell ref="A2:H2"/>
    <mergeCell ref="D5:G5"/>
    <mergeCell ref="D6:G6"/>
    <mergeCell ref="D7:G7"/>
    <mergeCell ref="D8:G8"/>
    <mergeCell ref="D44:G44"/>
    <mergeCell ref="D45:G45"/>
  </mergeCells>
  <printOptions horizontalCentered="1"/>
  <pageMargins left="0.5" right="0.5" top="1" bottom="1" header="0.5" footer="0.5"/>
  <pageSetup fitToHeight="1" fitToWidth="1" horizontalDpi="600" verticalDpi="600" orientation="portrait" scale="69" r:id="rId1"/>
  <headerFooter alignWithMargins="0">
    <oddHeader>&amp;R&amp;"Times New Roman,Bold"Utah Association of Energy Users
Utah PSC Docket No.  07-057-13
UAE Exhibit COS 1.3
Page 1 of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1"/>
  <sheetViews>
    <sheetView zoomScalePageLayoutView="0" workbookViewId="0" topLeftCell="A4">
      <selection activeCell="D7" sqref="D7"/>
    </sheetView>
  </sheetViews>
  <sheetFormatPr defaultColWidth="9.33203125" defaultRowHeight="12.75"/>
  <cols>
    <col min="2" max="15" width="10.83203125" style="0" customWidth="1"/>
  </cols>
  <sheetData>
    <row r="2" ht="13.5" thickBot="1"/>
    <row r="3" spans="2:15" ht="17.25" customHeight="1" thickBot="1">
      <c r="B3" s="147" t="s">
        <v>117</v>
      </c>
      <c r="C3" s="148"/>
      <c r="D3" s="148"/>
      <c r="E3" s="148"/>
      <c r="F3" s="148"/>
      <c r="G3" s="148"/>
      <c r="H3" s="149"/>
      <c r="I3" s="147" t="s">
        <v>118</v>
      </c>
      <c r="J3" s="148"/>
      <c r="K3" s="148"/>
      <c r="L3" s="148"/>
      <c r="M3" s="148"/>
      <c r="N3" s="148"/>
      <c r="O3" s="149"/>
    </row>
    <row r="4" spans="2:15" ht="13.5" thickBot="1">
      <c r="B4" s="77" t="s">
        <v>119</v>
      </c>
      <c r="C4" s="77">
        <v>2003</v>
      </c>
      <c r="D4" s="77">
        <v>2004</v>
      </c>
      <c r="E4" s="77">
        <v>2005</v>
      </c>
      <c r="F4" s="77">
        <v>2006</v>
      </c>
      <c r="G4" s="77">
        <v>2007</v>
      </c>
      <c r="H4" s="77">
        <v>2008</v>
      </c>
      <c r="I4" s="78">
        <v>2003</v>
      </c>
      <c r="J4" s="78">
        <v>2004</v>
      </c>
      <c r="K4" s="78">
        <v>2005</v>
      </c>
      <c r="L4" s="78">
        <v>2006</v>
      </c>
      <c r="M4" s="78">
        <v>2007</v>
      </c>
      <c r="N4" s="78">
        <v>2008</v>
      </c>
      <c r="O4" s="77" t="s">
        <v>120</v>
      </c>
    </row>
    <row r="5" spans="2:15" ht="12.75">
      <c r="B5" s="79" t="s">
        <v>121</v>
      </c>
      <c r="C5" s="80">
        <v>3.08</v>
      </c>
      <c r="D5" s="80">
        <v>5.1</v>
      </c>
      <c r="E5" s="80">
        <v>5.47</v>
      </c>
      <c r="F5" s="80">
        <v>8.78</v>
      </c>
      <c r="G5" s="80">
        <v>3.71</v>
      </c>
      <c r="H5" s="80">
        <v>5.89</v>
      </c>
      <c r="I5" s="87">
        <f aca="true" t="shared" si="0" ref="I5:N12">C5-C37</f>
        <v>-1.5199999999999996</v>
      </c>
      <c r="J5" s="87">
        <f t="shared" si="0"/>
        <v>-0.3600000000000003</v>
      </c>
      <c r="K5" s="87">
        <f t="shared" si="0"/>
        <v>-0.5300000000000002</v>
      </c>
      <c r="L5" s="87">
        <f t="shared" si="0"/>
        <v>-0.6000000000000014</v>
      </c>
      <c r="M5" s="87">
        <f t="shared" si="0"/>
        <v>-2.3499999999999996</v>
      </c>
      <c r="N5" s="87">
        <f t="shared" si="0"/>
        <v>-0.8400000000000007</v>
      </c>
      <c r="O5" s="87">
        <f>AVERAGE(I5:N5)</f>
        <v>-1.0333333333333337</v>
      </c>
    </row>
    <row r="6" spans="2:15" ht="12.75">
      <c r="B6" s="79" t="s">
        <v>122</v>
      </c>
      <c r="C6" s="80">
        <v>3.05</v>
      </c>
      <c r="D6" s="80">
        <v>4.92</v>
      </c>
      <c r="E6" s="80">
        <v>5.32</v>
      </c>
      <c r="F6" s="80">
        <v>6.39</v>
      </c>
      <c r="G6" s="80">
        <v>6</v>
      </c>
      <c r="H6" s="80">
        <v>7.15</v>
      </c>
      <c r="I6" s="88">
        <f t="shared" si="0"/>
        <v>-1.87</v>
      </c>
      <c r="J6" s="88">
        <f t="shared" si="0"/>
        <v>-0.3700000000000001</v>
      </c>
      <c r="K6" s="88">
        <f t="shared" si="0"/>
        <v>-0.41999999999999993</v>
      </c>
      <c r="L6" s="88">
        <f t="shared" si="0"/>
        <v>-0.6600000000000001</v>
      </c>
      <c r="M6" s="88">
        <f t="shared" si="0"/>
        <v>-0.8600000000000003</v>
      </c>
      <c r="N6" s="88">
        <f t="shared" si="0"/>
        <v>-0.4499999999999993</v>
      </c>
      <c r="O6" s="88">
        <f aca="true" t="shared" si="1" ref="O6:O16">AVERAGE(I6:N6)</f>
        <v>-0.7716666666666666</v>
      </c>
    </row>
    <row r="7" spans="2:15" ht="12.75">
      <c r="B7" s="79" t="s">
        <v>123</v>
      </c>
      <c r="C7" s="80">
        <v>5</v>
      </c>
      <c r="D7" s="80">
        <v>4.33</v>
      </c>
      <c r="E7" s="80">
        <v>5.38</v>
      </c>
      <c r="F7" s="80">
        <v>5.81</v>
      </c>
      <c r="G7" s="80">
        <v>5.79</v>
      </c>
      <c r="H7" s="80">
        <v>7.72</v>
      </c>
      <c r="I7" s="88">
        <f t="shared" si="0"/>
        <v>-1.8899999999999997</v>
      </c>
      <c r="J7" s="88">
        <f t="shared" si="0"/>
        <v>-0.41000000000000014</v>
      </c>
      <c r="K7" s="88">
        <f t="shared" si="0"/>
        <v>-0.2599999999999998</v>
      </c>
      <c r="L7" s="88">
        <f t="shared" si="0"/>
        <v>-0.6400000000000006</v>
      </c>
      <c r="M7" s="88">
        <f t="shared" si="0"/>
        <v>-1.29</v>
      </c>
      <c r="N7" s="88">
        <f t="shared" si="0"/>
        <v>-0.7800000000000002</v>
      </c>
      <c r="O7" s="88">
        <f t="shared" si="1"/>
        <v>-0.8783333333333334</v>
      </c>
    </row>
    <row r="8" spans="2:15" ht="12.75">
      <c r="B8" s="79" t="s">
        <v>124</v>
      </c>
      <c r="C8" s="80">
        <v>3.19</v>
      </c>
      <c r="D8" s="80">
        <v>4.19</v>
      </c>
      <c r="E8" s="80">
        <v>6.02</v>
      </c>
      <c r="F8" s="80">
        <v>5.32</v>
      </c>
      <c r="G8" s="80">
        <v>3.1</v>
      </c>
      <c r="H8" s="80">
        <v>7.75</v>
      </c>
      <c r="I8" s="88">
        <f t="shared" si="0"/>
        <v>-1.7200000000000002</v>
      </c>
      <c r="J8" s="88">
        <f t="shared" si="0"/>
        <v>-0.6899999999999995</v>
      </c>
      <c r="K8" s="88">
        <f t="shared" si="0"/>
        <v>-0.7200000000000006</v>
      </c>
      <c r="L8" s="88">
        <f t="shared" si="0"/>
        <v>-0.5699999999999994</v>
      </c>
      <c r="M8" s="88">
        <f t="shared" si="0"/>
        <v>-3.2399999999999998</v>
      </c>
      <c r="N8" s="88">
        <f t="shared" si="0"/>
        <v>-1.040000000000001</v>
      </c>
      <c r="O8" s="88">
        <f t="shared" si="1"/>
        <v>-1.33</v>
      </c>
    </row>
    <row r="9" spans="2:15" ht="12.75">
      <c r="B9" s="79" t="s">
        <v>125</v>
      </c>
      <c r="C9" s="80">
        <v>4</v>
      </c>
      <c r="D9" s="80">
        <v>4.89</v>
      </c>
      <c r="E9" s="80">
        <v>6.04</v>
      </c>
      <c r="F9" s="80">
        <v>5.39</v>
      </c>
      <c r="G9" s="80">
        <v>4.34</v>
      </c>
      <c r="H9" s="80">
        <v>8.870000000000001</v>
      </c>
      <c r="I9" s="88">
        <f t="shared" si="0"/>
        <v>-0.96</v>
      </c>
      <c r="J9" s="88">
        <f t="shared" si="0"/>
        <v>-0.6299999999999999</v>
      </c>
      <c r="K9" s="88">
        <f t="shared" si="0"/>
        <v>-0.5700000000000003</v>
      </c>
      <c r="L9" s="88">
        <f t="shared" si="0"/>
        <v>-0.6000000000000005</v>
      </c>
      <c r="M9" s="88">
        <f t="shared" si="0"/>
        <v>-2.6400000000000006</v>
      </c>
      <c r="N9" s="88">
        <f t="shared" si="0"/>
        <v>-1.4499999999999993</v>
      </c>
      <c r="O9" s="88">
        <f t="shared" si="1"/>
        <v>-1.1416666666666668</v>
      </c>
    </row>
    <row r="10" spans="2:15" ht="12.75">
      <c r="B10" s="79" t="s">
        <v>126</v>
      </c>
      <c r="C10" s="80">
        <v>4.78</v>
      </c>
      <c r="D10" s="80">
        <v>5.52</v>
      </c>
      <c r="E10" s="80">
        <v>5.24</v>
      </c>
      <c r="F10" s="80">
        <v>4.53</v>
      </c>
      <c r="G10" s="80">
        <v>2.82</v>
      </c>
      <c r="H10" s="80">
        <v>8.91</v>
      </c>
      <c r="I10" s="88">
        <f t="shared" si="0"/>
        <v>-0.9299999999999997</v>
      </c>
      <c r="J10" s="88">
        <f t="shared" si="0"/>
        <v>-0.8100000000000005</v>
      </c>
      <c r="K10" s="88">
        <f t="shared" si="0"/>
        <v>-0.41000000000000014</v>
      </c>
      <c r="L10" s="88">
        <f t="shared" si="0"/>
        <v>-0.5499999999999998</v>
      </c>
      <c r="M10" s="88">
        <f t="shared" si="0"/>
        <v>-4.390000000000001</v>
      </c>
      <c r="N10" s="88">
        <f t="shared" si="0"/>
        <v>-1.5399999999999991</v>
      </c>
      <c r="O10" s="88">
        <f t="shared" si="1"/>
        <v>-1.4383333333333332</v>
      </c>
    </row>
    <row r="11" spans="2:15" ht="12.75">
      <c r="B11" s="79" t="s">
        <v>127</v>
      </c>
      <c r="C11" s="80">
        <v>4.52</v>
      </c>
      <c r="D11" s="80">
        <v>5.2</v>
      </c>
      <c r="E11" s="80">
        <v>5.74</v>
      </c>
      <c r="F11" s="80">
        <v>4.75</v>
      </c>
      <c r="G11" s="80">
        <v>3.05</v>
      </c>
      <c r="H11" s="80">
        <v>8.45</v>
      </c>
      <c r="I11" s="88">
        <f t="shared" si="0"/>
        <v>-0.8300000000000001</v>
      </c>
      <c r="J11" s="88">
        <f t="shared" si="0"/>
        <v>-0.6399999999999997</v>
      </c>
      <c r="K11" s="88">
        <f t="shared" si="0"/>
        <v>-0.6899999999999995</v>
      </c>
      <c r="L11" s="88">
        <f t="shared" si="0"/>
        <v>-0.7400000000000002</v>
      </c>
      <c r="M11" s="88">
        <f t="shared" si="0"/>
        <v>-3.5200000000000005</v>
      </c>
      <c r="N11" s="88">
        <f t="shared" si="0"/>
        <v>-3.83</v>
      </c>
      <c r="O11" s="88">
        <f t="shared" si="1"/>
        <v>-1.7083333333333333</v>
      </c>
    </row>
    <row r="12" spans="2:15" ht="12.75">
      <c r="B12" s="79" t="s">
        <v>128</v>
      </c>
      <c r="C12" s="80">
        <v>3.87</v>
      </c>
      <c r="D12" s="80">
        <v>5.22</v>
      </c>
      <c r="E12" s="80">
        <v>5.75</v>
      </c>
      <c r="F12" s="80">
        <v>5.5</v>
      </c>
      <c r="G12" s="80">
        <v>2.78</v>
      </c>
      <c r="H12" s="80">
        <v>6.51</v>
      </c>
      <c r="I12" s="88">
        <f t="shared" si="0"/>
        <v>-0.6799999999999997</v>
      </c>
      <c r="J12" s="88">
        <f t="shared" si="0"/>
        <v>-0.5899999999999999</v>
      </c>
      <c r="K12" s="88">
        <f t="shared" si="0"/>
        <v>-0.6100000000000003</v>
      </c>
      <c r="L12" s="88">
        <f t="shared" si="0"/>
        <v>-1.04</v>
      </c>
      <c r="M12" s="88">
        <f t="shared" si="0"/>
        <v>-2.7100000000000004</v>
      </c>
      <c r="N12" s="88">
        <f t="shared" si="0"/>
        <v>-1.9399999999999995</v>
      </c>
      <c r="O12" s="88">
        <f t="shared" si="1"/>
        <v>-1.2616666666666667</v>
      </c>
    </row>
    <row r="13" spans="2:15" ht="12.75">
      <c r="B13" s="79" t="s">
        <v>129</v>
      </c>
      <c r="C13" s="80">
        <v>4.29</v>
      </c>
      <c r="D13" s="80">
        <v>4.39</v>
      </c>
      <c r="E13" s="80">
        <v>7.64</v>
      </c>
      <c r="F13" s="80">
        <v>4.12</v>
      </c>
      <c r="G13" s="80">
        <v>2</v>
      </c>
      <c r="H13" s="80" t="s">
        <v>130</v>
      </c>
      <c r="I13" s="88">
        <f aca="true" t="shared" si="2" ref="I13:M16">C13-C45</f>
        <v>-0.5499999999999998</v>
      </c>
      <c r="J13" s="88">
        <f t="shared" si="2"/>
        <v>-0.5</v>
      </c>
      <c r="K13" s="88">
        <f t="shared" si="2"/>
        <v>-0.660000000000001</v>
      </c>
      <c r="L13" s="88">
        <f t="shared" si="2"/>
        <v>-2.08</v>
      </c>
      <c r="M13" s="88">
        <f t="shared" si="2"/>
        <v>-3</v>
      </c>
      <c r="N13" s="88"/>
      <c r="O13" s="88">
        <f t="shared" si="1"/>
        <v>-1.358</v>
      </c>
    </row>
    <row r="14" spans="2:15" ht="12.75">
      <c r="B14" s="79" t="s">
        <v>131</v>
      </c>
      <c r="C14" s="80">
        <v>4</v>
      </c>
      <c r="D14" s="80">
        <v>4.42</v>
      </c>
      <c r="E14" s="80">
        <v>9.48</v>
      </c>
      <c r="F14" s="80">
        <v>2.42</v>
      </c>
      <c r="G14" s="80">
        <v>1.36</v>
      </c>
      <c r="H14" s="80" t="s">
        <v>130</v>
      </c>
      <c r="I14" s="88">
        <f t="shared" si="2"/>
        <v>-0.34999999999999964</v>
      </c>
      <c r="J14" s="88">
        <f t="shared" si="2"/>
        <v>-0.33999999999999986</v>
      </c>
      <c r="K14" s="88">
        <f t="shared" si="2"/>
        <v>-0.75</v>
      </c>
      <c r="L14" s="88">
        <f t="shared" si="2"/>
        <v>-1.5100000000000002</v>
      </c>
      <c r="M14" s="88">
        <f t="shared" si="2"/>
        <v>-4.22</v>
      </c>
      <c r="N14" s="88"/>
      <c r="O14" s="88">
        <f t="shared" si="1"/>
        <v>-1.434</v>
      </c>
    </row>
    <row r="15" spans="2:15" ht="12.75">
      <c r="B15" s="79" t="s">
        <v>132</v>
      </c>
      <c r="C15" s="80">
        <v>3.91</v>
      </c>
      <c r="D15" s="80">
        <v>6.55</v>
      </c>
      <c r="E15" s="80">
        <v>10.21</v>
      </c>
      <c r="F15" s="80">
        <v>5.8</v>
      </c>
      <c r="G15" s="80">
        <v>3.53</v>
      </c>
      <c r="H15" s="80" t="s">
        <v>130</v>
      </c>
      <c r="I15" s="88">
        <f t="shared" si="2"/>
        <v>-0.3700000000000001</v>
      </c>
      <c r="J15" s="88">
        <f t="shared" si="2"/>
        <v>-0.6800000000000006</v>
      </c>
      <c r="K15" s="88">
        <f t="shared" si="2"/>
        <v>-1.3599999999999994</v>
      </c>
      <c r="L15" s="88">
        <f t="shared" si="2"/>
        <v>-0.8399999999999999</v>
      </c>
      <c r="M15" s="88">
        <f t="shared" si="2"/>
        <v>-2.9</v>
      </c>
      <c r="N15" s="88"/>
      <c r="O15" s="88">
        <f t="shared" si="1"/>
        <v>-1.23</v>
      </c>
    </row>
    <row r="16" spans="2:15" ht="13.5" thickBot="1">
      <c r="B16" s="78" t="s">
        <v>133</v>
      </c>
      <c r="C16" s="81">
        <v>4.31</v>
      </c>
      <c r="D16" s="81">
        <v>5.91</v>
      </c>
      <c r="E16" s="81">
        <v>8.46</v>
      </c>
      <c r="F16" s="81">
        <v>5.54</v>
      </c>
      <c r="G16" s="81">
        <v>5.85</v>
      </c>
      <c r="H16" s="81" t="s">
        <v>130</v>
      </c>
      <c r="I16" s="89">
        <f t="shared" si="2"/>
        <v>-0.2400000000000002</v>
      </c>
      <c r="J16" s="89">
        <f t="shared" si="2"/>
        <v>-0.5099999999999998</v>
      </c>
      <c r="K16" s="89">
        <f t="shared" si="2"/>
        <v>-0.7299999999999986</v>
      </c>
      <c r="L16" s="89">
        <f t="shared" si="2"/>
        <v>-1.2699999999999996</v>
      </c>
      <c r="M16" s="89">
        <f t="shared" si="2"/>
        <v>-1.1100000000000003</v>
      </c>
      <c r="N16" s="89"/>
      <c r="O16" s="89">
        <f t="shared" si="1"/>
        <v>-0.7719999999999997</v>
      </c>
    </row>
    <row r="17" spans="2:15" ht="17.25" customHeight="1" thickBot="1">
      <c r="B17" s="77" t="s">
        <v>120</v>
      </c>
      <c r="C17" s="82">
        <f>AVERAGE(C5:C16)</f>
        <v>4</v>
      </c>
      <c r="D17" s="82">
        <f aca="true" t="shared" si="3" ref="D17:O17">AVERAGE(D5:D16)</f>
        <v>5.053333333333334</v>
      </c>
      <c r="E17" s="82">
        <f t="shared" si="3"/>
        <v>6.729166666666667</v>
      </c>
      <c r="F17" s="82">
        <f t="shared" si="3"/>
        <v>5.3625</v>
      </c>
      <c r="G17" s="82">
        <f t="shared" si="3"/>
        <v>3.6941666666666673</v>
      </c>
      <c r="H17" s="82">
        <f t="shared" si="3"/>
        <v>7.656249999999999</v>
      </c>
      <c r="I17" s="90">
        <f t="shared" si="3"/>
        <v>-0.9924999999999998</v>
      </c>
      <c r="J17" s="90">
        <f t="shared" si="3"/>
        <v>-0.5441666666666667</v>
      </c>
      <c r="K17" s="90">
        <f t="shared" si="3"/>
        <v>-0.6425</v>
      </c>
      <c r="L17" s="90">
        <f t="shared" si="3"/>
        <v>-0.9250000000000002</v>
      </c>
      <c r="M17" s="90">
        <f t="shared" si="3"/>
        <v>-2.6858333333333335</v>
      </c>
      <c r="N17" s="90">
        <f t="shared" si="3"/>
        <v>-1.48375</v>
      </c>
      <c r="O17" s="90">
        <f t="shared" si="3"/>
        <v>-1.1964444444444446</v>
      </c>
    </row>
    <row r="18" spans="2:15" ht="13.5" thickBot="1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2:15" ht="17.25" customHeight="1" thickBot="1">
      <c r="B19" s="147" t="s">
        <v>134</v>
      </c>
      <c r="C19" s="148"/>
      <c r="D19" s="148"/>
      <c r="E19" s="148"/>
      <c r="F19" s="148"/>
      <c r="G19" s="148"/>
      <c r="H19" s="149"/>
      <c r="I19" s="147" t="s">
        <v>136</v>
      </c>
      <c r="J19" s="148"/>
      <c r="K19" s="148"/>
      <c r="L19" s="148"/>
      <c r="M19" s="148"/>
      <c r="N19" s="148"/>
      <c r="O19" s="149"/>
    </row>
    <row r="20" spans="2:15" ht="13.5" thickBot="1">
      <c r="B20" s="77" t="s">
        <v>119</v>
      </c>
      <c r="C20" s="77">
        <v>2003</v>
      </c>
      <c r="D20" s="77">
        <v>2004</v>
      </c>
      <c r="E20" s="77">
        <v>2005</v>
      </c>
      <c r="F20" s="77">
        <v>2006</v>
      </c>
      <c r="G20" s="77">
        <v>2007</v>
      </c>
      <c r="H20" s="77">
        <v>2008</v>
      </c>
      <c r="I20" s="77">
        <v>2003</v>
      </c>
      <c r="J20" s="77">
        <v>2004</v>
      </c>
      <c r="K20" s="77">
        <v>2005</v>
      </c>
      <c r="L20" s="77">
        <v>2006</v>
      </c>
      <c r="M20" s="77">
        <v>2007</v>
      </c>
      <c r="N20" s="77">
        <v>2008</v>
      </c>
      <c r="O20" s="77" t="s">
        <v>120</v>
      </c>
    </row>
    <row r="21" spans="2:15" ht="12.75">
      <c r="B21" s="79" t="s">
        <v>121</v>
      </c>
      <c r="C21" s="80">
        <v>3.07</v>
      </c>
      <c r="D21" s="80">
        <v>5.25</v>
      </c>
      <c r="E21" s="80">
        <v>5.77</v>
      </c>
      <c r="F21" s="80">
        <v>8.8</v>
      </c>
      <c r="G21" s="80">
        <v>4.16</v>
      </c>
      <c r="H21" s="80">
        <v>6.02</v>
      </c>
      <c r="I21" s="87">
        <f aca="true" t="shared" si="4" ref="I21:N21">C21-C37</f>
        <v>-1.5299999999999998</v>
      </c>
      <c r="J21" s="87">
        <f t="shared" si="4"/>
        <v>-0.20999999999999996</v>
      </c>
      <c r="K21" s="87">
        <f t="shared" si="4"/>
        <v>-0.23000000000000043</v>
      </c>
      <c r="L21" s="87">
        <f t="shared" si="4"/>
        <v>-0.5800000000000001</v>
      </c>
      <c r="M21" s="87">
        <f t="shared" si="4"/>
        <v>-1.8999999999999995</v>
      </c>
      <c r="N21" s="87">
        <f t="shared" si="4"/>
        <v>-0.7100000000000009</v>
      </c>
      <c r="O21" s="87">
        <f>AVERAGE(I21:N21)</f>
        <v>-0.86</v>
      </c>
    </row>
    <row r="22" spans="2:15" ht="12.75">
      <c r="B22" s="79" t="s">
        <v>122</v>
      </c>
      <c r="C22" s="80">
        <v>3.14</v>
      </c>
      <c r="D22" s="80">
        <v>5.12</v>
      </c>
      <c r="E22" s="80">
        <v>5.5</v>
      </c>
      <c r="F22" s="80">
        <v>6.69</v>
      </c>
      <c r="G22" s="80">
        <v>6.34</v>
      </c>
      <c r="H22" s="80">
        <v>7.11</v>
      </c>
      <c r="I22" s="88">
        <f aca="true" t="shared" si="5" ref="I22:N28">C22-C38</f>
        <v>-1.7799999999999998</v>
      </c>
      <c r="J22" s="88">
        <f t="shared" si="5"/>
        <v>-0.16999999999999993</v>
      </c>
      <c r="K22" s="88">
        <f t="shared" si="5"/>
        <v>-0.2400000000000002</v>
      </c>
      <c r="L22" s="88">
        <f t="shared" si="5"/>
        <v>-0.35999999999999943</v>
      </c>
      <c r="M22" s="88">
        <f t="shared" si="5"/>
        <v>-0.5200000000000005</v>
      </c>
      <c r="N22" s="88">
        <f t="shared" si="5"/>
        <v>-0.4899999999999993</v>
      </c>
      <c r="O22" s="88">
        <f aca="true" t="shared" si="6" ref="O22:O32">AVERAGE(I22:N22)</f>
        <v>-0.5933333333333332</v>
      </c>
    </row>
    <row r="23" spans="2:15" ht="12.75">
      <c r="B23" s="79" t="s">
        <v>123</v>
      </c>
      <c r="C23" s="80">
        <v>5.02</v>
      </c>
      <c r="D23" s="80">
        <v>4.46</v>
      </c>
      <c r="E23" s="80">
        <v>5.32</v>
      </c>
      <c r="F23" s="80">
        <v>6.08</v>
      </c>
      <c r="G23" s="80">
        <v>6.12</v>
      </c>
      <c r="H23" s="80">
        <v>7.94</v>
      </c>
      <c r="I23" s="88">
        <f t="shared" si="5"/>
        <v>-1.87</v>
      </c>
      <c r="J23" s="88">
        <f t="shared" si="5"/>
        <v>-0.28000000000000025</v>
      </c>
      <c r="K23" s="88">
        <f t="shared" si="5"/>
        <v>-0.3199999999999994</v>
      </c>
      <c r="L23" s="88">
        <f t="shared" si="5"/>
        <v>-0.3700000000000001</v>
      </c>
      <c r="M23" s="88">
        <f t="shared" si="5"/>
        <v>-0.96</v>
      </c>
      <c r="N23" s="88">
        <f t="shared" si="5"/>
        <v>-0.5599999999999996</v>
      </c>
      <c r="O23" s="88">
        <f t="shared" si="6"/>
        <v>-0.7266666666666666</v>
      </c>
    </row>
    <row r="24" spans="2:15" ht="12.75">
      <c r="B24" s="79" t="s">
        <v>124</v>
      </c>
      <c r="C24" s="80">
        <v>3.27</v>
      </c>
      <c r="D24" s="80">
        <v>4.44</v>
      </c>
      <c r="E24" s="80">
        <v>6.3</v>
      </c>
      <c r="F24" s="80">
        <v>5.57</v>
      </c>
      <c r="G24" s="80">
        <v>3.55</v>
      </c>
      <c r="H24" s="80">
        <v>7.9</v>
      </c>
      <c r="I24" s="88">
        <f t="shared" si="5"/>
        <v>-1.6400000000000001</v>
      </c>
      <c r="J24" s="88">
        <f t="shared" si="5"/>
        <v>-0.4399999999999995</v>
      </c>
      <c r="K24" s="88">
        <f t="shared" si="5"/>
        <v>-0.4400000000000004</v>
      </c>
      <c r="L24" s="88">
        <f t="shared" si="5"/>
        <v>-0.3199999999999994</v>
      </c>
      <c r="M24" s="88">
        <f t="shared" si="5"/>
        <v>-2.79</v>
      </c>
      <c r="N24" s="88">
        <f t="shared" si="5"/>
        <v>-0.8900000000000006</v>
      </c>
      <c r="O24" s="88">
        <f t="shared" si="6"/>
        <v>-1.0866666666666667</v>
      </c>
    </row>
    <row r="25" spans="2:15" ht="12.75">
      <c r="B25" s="79" t="s">
        <v>125</v>
      </c>
      <c r="C25" s="80">
        <v>4.28</v>
      </c>
      <c r="D25" s="80">
        <v>5.04</v>
      </c>
      <c r="E25" s="80">
        <v>6.3</v>
      </c>
      <c r="F25" s="80">
        <v>5.71</v>
      </c>
      <c r="G25" s="80">
        <v>4.66</v>
      </c>
      <c r="H25" s="80">
        <v>8.93</v>
      </c>
      <c r="I25" s="88">
        <f t="shared" si="5"/>
        <v>-0.6799999999999997</v>
      </c>
      <c r="J25" s="88">
        <f t="shared" si="5"/>
        <v>-0.47999999999999954</v>
      </c>
      <c r="K25" s="88">
        <f t="shared" si="5"/>
        <v>-0.3100000000000005</v>
      </c>
      <c r="L25" s="88">
        <f t="shared" si="5"/>
        <v>-0.28000000000000025</v>
      </c>
      <c r="M25" s="88">
        <f t="shared" si="5"/>
        <v>-2.3200000000000003</v>
      </c>
      <c r="N25" s="88">
        <f t="shared" si="5"/>
        <v>-1.3900000000000006</v>
      </c>
      <c r="O25" s="88">
        <f t="shared" si="6"/>
        <v>-0.9100000000000001</v>
      </c>
    </row>
    <row r="26" spans="2:15" ht="12.75">
      <c r="B26" s="79" t="s">
        <v>126</v>
      </c>
      <c r="C26" s="80">
        <v>4.96</v>
      </c>
      <c r="D26" s="80">
        <v>5.65</v>
      </c>
      <c r="E26" s="80">
        <v>5.4</v>
      </c>
      <c r="F26" s="80">
        <v>4.79</v>
      </c>
      <c r="G26" s="80">
        <v>3.35</v>
      </c>
      <c r="H26" s="80">
        <v>8.84</v>
      </c>
      <c r="I26" s="88">
        <f t="shared" si="5"/>
        <v>-0.75</v>
      </c>
      <c r="J26" s="88">
        <f t="shared" si="5"/>
        <v>-0.6799999999999997</v>
      </c>
      <c r="K26" s="88">
        <f t="shared" si="5"/>
        <v>-0.25</v>
      </c>
      <c r="L26" s="88">
        <f t="shared" si="5"/>
        <v>-0.29000000000000004</v>
      </c>
      <c r="M26" s="88">
        <f t="shared" si="5"/>
        <v>-3.86</v>
      </c>
      <c r="N26" s="88">
        <f t="shared" si="5"/>
        <v>-1.6099999999999994</v>
      </c>
      <c r="O26" s="88">
        <f t="shared" si="6"/>
        <v>-1.24</v>
      </c>
    </row>
    <row r="27" spans="2:15" ht="12.75">
      <c r="B27" s="79" t="s">
        <v>127</v>
      </c>
      <c r="C27" s="80">
        <v>4.67</v>
      </c>
      <c r="D27" s="80">
        <v>5.33</v>
      </c>
      <c r="E27" s="80">
        <v>6.12</v>
      </c>
      <c r="F27" s="80">
        <v>4.98</v>
      </c>
      <c r="G27" s="80">
        <v>3.36</v>
      </c>
      <c r="H27" s="80">
        <v>9</v>
      </c>
      <c r="I27" s="88">
        <f t="shared" si="5"/>
        <v>-0.6799999999999997</v>
      </c>
      <c r="J27" s="88">
        <f t="shared" si="5"/>
        <v>-0.5099999999999998</v>
      </c>
      <c r="K27" s="88">
        <f t="shared" si="5"/>
        <v>-0.3099999999999996</v>
      </c>
      <c r="L27" s="88">
        <f t="shared" si="5"/>
        <v>-0.5099999999999998</v>
      </c>
      <c r="M27" s="88">
        <f t="shared" si="5"/>
        <v>-3.2100000000000004</v>
      </c>
      <c r="N27" s="88">
        <f t="shared" si="5"/>
        <v>-3.2799999999999994</v>
      </c>
      <c r="O27" s="88">
        <f t="shared" si="6"/>
        <v>-1.4166666666666663</v>
      </c>
    </row>
    <row r="28" spans="2:15" ht="12.75">
      <c r="B28" s="79" t="s">
        <v>128</v>
      </c>
      <c r="C28" s="80">
        <v>4.01</v>
      </c>
      <c r="D28" s="80">
        <v>5.35</v>
      </c>
      <c r="E28" s="80">
        <v>5.98</v>
      </c>
      <c r="F28" s="80">
        <v>5.8</v>
      </c>
      <c r="G28" s="80">
        <v>3.37</v>
      </c>
      <c r="H28" s="80">
        <v>6.97</v>
      </c>
      <c r="I28" s="88">
        <f t="shared" si="5"/>
        <v>-0.54</v>
      </c>
      <c r="J28" s="88">
        <f t="shared" si="5"/>
        <v>-0.45999999999999996</v>
      </c>
      <c r="K28" s="88">
        <f t="shared" si="5"/>
        <v>-0.3799999999999999</v>
      </c>
      <c r="L28" s="88">
        <f t="shared" si="5"/>
        <v>-0.7400000000000002</v>
      </c>
      <c r="M28" s="88">
        <f t="shared" si="5"/>
        <v>-2.12</v>
      </c>
      <c r="N28" s="88">
        <f t="shared" si="5"/>
        <v>-1.4799999999999995</v>
      </c>
      <c r="O28" s="88">
        <f t="shared" si="6"/>
        <v>-0.9533333333333333</v>
      </c>
    </row>
    <row r="29" spans="2:15" ht="12.75">
      <c r="B29" s="79" t="s">
        <v>129</v>
      </c>
      <c r="C29" s="80">
        <v>4.44</v>
      </c>
      <c r="D29" s="80">
        <v>4.56</v>
      </c>
      <c r="E29" s="80">
        <v>8.02</v>
      </c>
      <c r="F29" s="80">
        <v>5.1</v>
      </c>
      <c r="G29" s="80">
        <v>2.09</v>
      </c>
      <c r="H29" s="80" t="s">
        <v>130</v>
      </c>
      <c r="I29" s="88">
        <f aca="true" t="shared" si="7" ref="I29:M32">C29-C45</f>
        <v>-0.39999999999999947</v>
      </c>
      <c r="J29" s="88">
        <f t="shared" si="7"/>
        <v>-0.33000000000000007</v>
      </c>
      <c r="K29" s="88">
        <f t="shared" si="7"/>
        <v>-0.28000000000000114</v>
      </c>
      <c r="L29" s="88">
        <f t="shared" si="7"/>
        <v>-1.1000000000000005</v>
      </c>
      <c r="M29" s="88">
        <f t="shared" si="7"/>
        <v>-2.91</v>
      </c>
      <c r="N29" s="88"/>
      <c r="O29" s="88">
        <f t="shared" si="6"/>
        <v>-1.0040000000000002</v>
      </c>
    </row>
    <row r="30" spans="2:15" ht="12.75">
      <c r="B30" s="79" t="s">
        <v>131</v>
      </c>
      <c r="C30" s="80">
        <v>4.12</v>
      </c>
      <c r="D30" s="80">
        <v>4.48</v>
      </c>
      <c r="E30" s="80">
        <v>9.52</v>
      </c>
      <c r="F30" s="80">
        <v>2.65</v>
      </c>
      <c r="G30" s="80">
        <v>1.2</v>
      </c>
      <c r="H30" s="80" t="s">
        <v>130</v>
      </c>
      <c r="I30" s="88">
        <f t="shared" si="7"/>
        <v>-0.22999999999999954</v>
      </c>
      <c r="J30" s="88">
        <f t="shared" si="7"/>
        <v>-0.27999999999999936</v>
      </c>
      <c r="K30" s="88">
        <f t="shared" si="7"/>
        <v>-0.7100000000000009</v>
      </c>
      <c r="L30" s="88">
        <f t="shared" si="7"/>
        <v>-1.2800000000000002</v>
      </c>
      <c r="M30" s="88">
        <f t="shared" si="7"/>
        <v>-4.38</v>
      </c>
      <c r="N30" s="88"/>
      <c r="O30" s="88">
        <f t="shared" si="6"/>
        <v>-1.376</v>
      </c>
    </row>
    <row r="31" spans="2:15" ht="12.75">
      <c r="B31" s="79" t="s">
        <v>132</v>
      </c>
      <c r="C31" s="80">
        <v>4.06</v>
      </c>
      <c r="D31" s="80">
        <v>7.06</v>
      </c>
      <c r="E31" s="80">
        <v>10.69</v>
      </c>
      <c r="F31" s="80">
        <v>6.05</v>
      </c>
      <c r="G31" s="80">
        <v>3.15</v>
      </c>
      <c r="H31" s="80" t="s">
        <v>130</v>
      </c>
      <c r="I31" s="88">
        <f t="shared" si="7"/>
        <v>-0.22000000000000064</v>
      </c>
      <c r="J31" s="88">
        <f t="shared" si="7"/>
        <v>-0.17000000000000082</v>
      </c>
      <c r="K31" s="88">
        <f t="shared" si="7"/>
        <v>-0.8800000000000008</v>
      </c>
      <c r="L31" s="88">
        <f t="shared" si="7"/>
        <v>-0.5899999999999999</v>
      </c>
      <c r="M31" s="88">
        <f t="shared" si="7"/>
        <v>-3.28</v>
      </c>
      <c r="N31" s="88"/>
      <c r="O31" s="88">
        <f t="shared" si="6"/>
        <v>-1.0280000000000005</v>
      </c>
    </row>
    <row r="32" spans="2:15" ht="13.5" thickBot="1">
      <c r="B32" s="78" t="s">
        <v>133</v>
      </c>
      <c r="C32" s="81">
        <v>4.39</v>
      </c>
      <c r="D32" s="81">
        <v>6.13</v>
      </c>
      <c r="E32" s="81">
        <v>8.59</v>
      </c>
      <c r="F32" s="81">
        <v>5.7</v>
      </c>
      <c r="G32" s="81">
        <v>6.04</v>
      </c>
      <c r="H32" s="81" t="s">
        <v>130</v>
      </c>
      <c r="I32" s="89">
        <f t="shared" si="7"/>
        <v>-0.16000000000000014</v>
      </c>
      <c r="J32" s="89">
        <f t="shared" si="7"/>
        <v>-0.29000000000000004</v>
      </c>
      <c r="K32" s="89">
        <f t="shared" si="7"/>
        <v>-0.5999999999999996</v>
      </c>
      <c r="L32" s="89">
        <f t="shared" si="7"/>
        <v>-1.1099999999999994</v>
      </c>
      <c r="M32" s="89">
        <f t="shared" si="7"/>
        <v>-0.9199999999999999</v>
      </c>
      <c r="N32" s="89"/>
      <c r="O32" s="89">
        <f t="shared" si="6"/>
        <v>-0.6159999999999999</v>
      </c>
    </row>
    <row r="33" spans="2:15" ht="17.25" customHeight="1" thickBot="1">
      <c r="B33" s="77" t="s">
        <v>120</v>
      </c>
      <c r="C33" s="82">
        <f>AVERAGE(C21:C32)</f>
        <v>4.119166666666667</v>
      </c>
      <c r="D33" s="82">
        <f aca="true" t="shared" si="8" ref="D33:O33">AVERAGE(D21:D32)</f>
        <v>5.239166666666668</v>
      </c>
      <c r="E33" s="82">
        <f t="shared" si="8"/>
        <v>6.959166666666666</v>
      </c>
      <c r="F33" s="82">
        <f t="shared" si="8"/>
        <v>5.66</v>
      </c>
      <c r="G33" s="82">
        <f t="shared" si="8"/>
        <v>3.9491666666666667</v>
      </c>
      <c r="H33" s="82">
        <f t="shared" si="8"/>
        <v>7.838749999999999</v>
      </c>
      <c r="I33" s="90">
        <f t="shared" si="8"/>
        <v>-0.8733333333333332</v>
      </c>
      <c r="J33" s="90">
        <f t="shared" si="8"/>
        <v>-0.3583333333333332</v>
      </c>
      <c r="K33" s="90">
        <f t="shared" si="8"/>
        <v>-0.41250000000000026</v>
      </c>
      <c r="L33" s="90">
        <f t="shared" si="8"/>
        <v>-0.6275</v>
      </c>
      <c r="M33" s="90">
        <f t="shared" si="8"/>
        <v>-2.4308333333333336</v>
      </c>
      <c r="N33" s="90">
        <f t="shared" si="8"/>
        <v>-1.30125</v>
      </c>
      <c r="O33" s="90">
        <f t="shared" si="8"/>
        <v>-0.9842222222222222</v>
      </c>
    </row>
    <row r="34" spans="2:15" ht="13.5" thickBot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2:15" ht="17.25" customHeight="1" thickBot="1">
      <c r="B35" s="147" t="s">
        <v>135</v>
      </c>
      <c r="C35" s="148"/>
      <c r="D35" s="148"/>
      <c r="E35" s="148"/>
      <c r="F35" s="148"/>
      <c r="G35" s="148"/>
      <c r="H35" s="149"/>
      <c r="I35" s="83"/>
      <c r="J35" s="83"/>
      <c r="K35" s="83"/>
      <c r="L35" s="83"/>
      <c r="M35" s="83"/>
      <c r="N35" s="83"/>
      <c r="O35" s="83"/>
    </row>
    <row r="36" spans="2:15" ht="13.5" thickBot="1">
      <c r="B36" s="77" t="s">
        <v>119</v>
      </c>
      <c r="C36" s="77">
        <v>2003</v>
      </c>
      <c r="D36" s="77">
        <v>2004</v>
      </c>
      <c r="E36" s="77">
        <v>2005</v>
      </c>
      <c r="F36" s="77">
        <v>2006</v>
      </c>
      <c r="G36" s="77">
        <v>2007</v>
      </c>
      <c r="H36" s="77">
        <v>2008</v>
      </c>
      <c r="I36" s="84"/>
      <c r="J36" s="84"/>
      <c r="K36" s="84"/>
      <c r="L36" s="84"/>
      <c r="M36" s="84"/>
      <c r="N36" s="84"/>
      <c r="O36" s="84"/>
    </row>
    <row r="37" spans="2:15" ht="12.75">
      <c r="B37" s="79" t="s">
        <v>121</v>
      </c>
      <c r="C37" s="80">
        <v>4.6</v>
      </c>
      <c r="D37" s="80">
        <v>5.46</v>
      </c>
      <c r="E37" s="80">
        <v>6</v>
      </c>
      <c r="F37" s="80">
        <v>9.38</v>
      </c>
      <c r="G37" s="80">
        <v>6.06</v>
      </c>
      <c r="H37" s="80">
        <v>6.73</v>
      </c>
      <c r="I37" s="83"/>
      <c r="J37" s="83"/>
      <c r="K37" s="83"/>
      <c r="L37" s="83"/>
      <c r="M37" s="83"/>
      <c r="N37" s="83"/>
      <c r="O37" s="83"/>
    </row>
    <row r="38" spans="2:15" ht="12.75">
      <c r="B38" s="79" t="s">
        <v>122</v>
      </c>
      <c r="C38" s="80">
        <v>4.92</v>
      </c>
      <c r="D38" s="80">
        <v>5.29</v>
      </c>
      <c r="E38" s="80">
        <v>5.74</v>
      </c>
      <c r="F38" s="80">
        <v>7.05</v>
      </c>
      <c r="G38" s="80">
        <v>6.86</v>
      </c>
      <c r="H38" s="80">
        <v>7.6</v>
      </c>
      <c r="I38" s="83"/>
      <c r="J38" s="83"/>
      <c r="K38" s="83"/>
      <c r="L38" s="83"/>
      <c r="M38" s="83"/>
      <c r="N38" s="83"/>
      <c r="O38" s="83"/>
    </row>
    <row r="39" spans="2:15" ht="12.75">
      <c r="B39" s="79" t="s">
        <v>123</v>
      </c>
      <c r="C39" s="80">
        <v>6.89</v>
      </c>
      <c r="D39" s="80">
        <v>4.74</v>
      </c>
      <c r="E39" s="80">
        <v>5.64</v>
      </c>
      <c r="F39" s="80">
        <v>6.45</v>
      </c>
      <c r="G39" s="80">
        <v>7.08</v>
      </c>
      <c r="H39" s="80">
        <v>8.5</v>
      </c>
      <c r="I39" s="83"/>
      <c r="J39" s="83"/>
      <c r="K39" s="83"/>
      <c r="L39" s="83"/>
      <c r="M39" s="83"/>
      <c r="N39" s="83"/>
      <c r="O39" s="83"/>
    </row>
    <row r="40" spans="2:15" ht="12.75">
      <c r="B40" s="79" t="s">
        <v>124</v>
      </c>
      <c r="C40" s="80">
        <v>4.91</v>
      </c>
      <c r="D40" s="80">
        <v>4.88</v>
      </c>
      <c r="E40" s="80">
        <v>6.74</v>
      </c>
      <c r="F40" s="80">
        <v>5.89</v>
      </c>
      <c r="G40" s="80">
        <v>6.34</v>
      </c>
      <c r="H40" s="80">
        <v>8.790000000000001</v>
      </c>
      <c r="I40" s="83"/>
      <c r="J40" s="83"/>
      <c r="K40" s="83"/>
      <c r="L40" s="83"/>
      <c r="M40" s="83"/>
      <c r="N40" s="83"/>
      <c r="O40" s="83"/>
    </row>
    <row r="41" spans="2:15" ht="12.75">
      <c r="B41" s="79" t="s">
        <v>125</v>
      </c>
      <c r="C41" s="80">
        <v>4.96</v>
      </c>
      <c r="D41" s="80">
        <v>5.52</v>
      </c>
      <c r="E41" s="80">
        <v>6.61</v>
      </c>
      <c r="F41" s="80">
        <v>5.99</v>
      </c>
      <c r="G41" s="80">
        <v>6.98</v>
      </c>
      <c r="H41" s="80">
        <v>10.32</v>
      </c>
      <c r="I41" s="83"/>
      <c r="J41" s="83"/>
      <c r="K41" s="83"/>
      <c r="L41" s="83"/>
      <c r="M41" s="83"/>
      <c r="N41" s="83"/>
      <c r="O41" s="83"/>
    </row>
    <row r="42" spans="2:15" ht="12.75">
      <c r="B42" s="79" t="s">
        <v>126</v>
      </c>
      <c r="C42" s="80">
        <v>5.71</v>
      </c>
      <c r="D42" s="80">
        <v>6.33</v>
      </c>
      <c r="E42" s="80">
        <v>5.65</v>
      </c>
      <c r="F42" s="80">
        <v>5.08</v>
      </c>
      <c r="G42" s="80">
        <v>7.21</v>
      </c>
      <c r="H42" s="80">
        <v>10.45</v>
      </c>
      <c r="I42" s="83"/>
      <c r="J42" s="83"/>
      <c r="K42" s="83"/>
      <c r="L42" s="83"/>
      <c r="M42" s="83"/>
      <c r="N42" s="83"/>
      <c r="O42" s="83"/>
    </row>
    <row r="43" spans="2:15" ht="12.75">
      <c r="B43" s="79" t="s">
        <v>127</v>
      </c>
      <c r="C43" s="80">
        <v>5.35</v>
      </c>
      <c r="D43" s="80">
        <v>5.84</v>
      </c>
      <c r="E43" s="80">
        <v>6.43</v>
      </c>
      <c r="F43" s="80">
        <v>5.49</v>
      </c>
      <c r="G43" s="80">
        <v>6.57</v>
      </c>
      <c r="H43" s="80">
        <v>12.28</v>
      </c>
      <c r="I43" s="83"/>
      <c r="J43" s="83"/>
      <c r="K43" s="83"/>
      <c r="L43" s="83"/>
      <c r="M43" s="83"/>
      <c r="N43" s="83"/>
      <c r="O43" s="83"/>
    </row>
    <row r="44" spans="2:15" ht="12.75">
      <c r="B44" s="79" t="s">
        <v>128</v>
      </c>
      <c r="C44" s="80">
        <v>4.55</v>
      </c>
      <c r="D44" s="80">
        <v>5.81</v>
      </c>
      <c r="E44" s="80">
        <v>6.36</v>
      </c>
      <c r="F44" s="80">
        <v>6.54</v>
      </c>
      <c r="G44" s="80">
        <v>5.49</v>
      </c>
      <c r="H44" s="80">
        <v>8.45</v>
      </c>
      <c r="I44" s="83"/>
      <c r="J44" s="83"/>
      <c r="K44" s="83"/>
      <c r="L44" s="83"/>
      <c r="M44" s="83"/>
      <c r="N44" s="83"/>
      <c r="O44" s="83"/>
    </row>
    <row r="45" spans="2:15" ht="12.75">
      <c r="B45" s="79" t="s">
        <v>129</v>
      </c>
      <c r="C45" s="80">
        <v>4.84</v>
      </c>
      <c r="D45" s="80">
        <v>4.89</v>
      </c>
      <c r="E45" s="80">
        <v>8.3</v>
      </c>
      <c r="F45" s="80">
        <v>6.2</v>
      </c>
      <c r="G45" s="80">
        <v>5</v>
      </c>
      <c r="H45" s="80" t="s">
        <v>130</v>
      </c>
      <c r="I45" s="83"/>
      <c r="J45" s="83"/>
      <c r="K45" s="83"/>
      <c r="L45" s="83"/>
      <c r="M45" s="83"/>
      <c r="N45" s="83"/>
      <c r="O45" s="83"/>
    </row>
    <row r="46" spans="2:15" ht="12.75">
      <c r="B46" s="79" t="s">
        <v>131</v>
      </c>
      <c r="C46" s="80">
        <v>4.35</v>
      </c>
      <c r="D46" s="80">
        <v>4.76</v>
      </c>
      <c r="E46" s="80">
        <v>10.23</v>
      </c>
      <c r="F46" s="80">
        <v>3.93</v>
      </c>
      <c r="G46" s="80">
        <v>5.58</v>
      </c>
      <c r="H46" s="80" t="s">
        <v>130</v>
      </c>
      <c r="I46" s="83"/>
      <c r="J46" s="83"/>
      <c r="K46" s="83"/>
      <c r="L46" s="83"/>
      <c r="M46" s="83"/>
      <c r="N46" s="83"/>
      <c r="O46" s="83"/>
    </row>
    <row r="47" spans="2:15" ht="12.75">
      <c r="B47" s="79" t="s">
        <v>132</v>
      </c>
      <c r="C47" s="80">
        <v>4.28</v>
      </c>
      <c r="D47" s="80">
        <v>7.23</v>
      </c>
      <c r="E47" s="80">
        <v>11.57</v>
      </c>
      <c r="F47" s="80">
        <v>6.64</v>
      </c>
      <c r="G47" s="80">
        <v>6.43</v>
      </c>
      <c r="H47" s="80" t="s">
        <v>130</v>
      </c>
      <c r="I47" s="83"/>
      <c r="J47" s="83"/>
      <c r="K47" s="83"/>
      <c r="L47" s="83"/>
      <c r="M47" s="83"/>
      <c r="N47" s="83"/>
      <c r="O47" s="83"/>
    </row>
    <row r="48" spans="2:15" ht="13.5" thickBot="1">
      <c r="B48" s="78" t="s">
        <v>133</v>
      </c>
      <c r="C48" s="81">
        <v>4.55</v>
      </c>
      <c r="D48" s="81">
        <v>6.42</v>
      </c>
      <c r="E48" s="81">
        <v>9.19</v>
      </c>
      <c r="F48" s="81">
        <v>6.81</v>
      </c>
      <c r="G48" s="81">
        <v>6.96</v>
      </c>
      <c r="H48" s="81" t="s">
        <v>130</v>
      </c>
      <c r="I48" s="83"/>
      <c r="J48" s="83"/>
      <c r="K48" s="83"/>
      <c r="L48" s="83"/>
      <c r="M48" s="83"/>
      <c r="N48" s="83"/>
      <c r="O48" s="83"/>
    </row>
    <row r="49" spans="2:15" ht="17.25" customHeight="1" thickBot="1">
      <c r="B49" s="77" t="s">
        <v>120</v>
      </c>
      <c r="C49" s="82">
        <f aca="true" t="shared" si="9" ref="C49:H49">AVERAGE(C37:C48)</f>
        <v>4.992500000000001</v>
      </c>
      <c r="D49" s="82">
        <f t="shared" si="9"/>
        <v>5.5975</v>
      </c>
      <c r="E49" s="82">
        <f t="shared" si="9"/>
        <v>7.371666666666667</v>
      </c>
      <c r="F49" s="82">
        <f t="shared" si="9"/>
        <v>6.2875000000000005</v>
      </c>
      <c r="G49" s="82">
        <f t="shared" si="9"/>
        <v>6.379999999999999</v>
      </c>
      <c r="H49" s="82">
        <f t="shared" si="9"/>
        <v>9.14</v>
      </c>
      <c r="I49" s="85"/>
      <c r="J49" s="86"/>
      <c r="K49" s="86"/>
      <c r="L49" s="86"/>
      <c r="M49" s="86"/>
      <c r="N49" s="86"/>
      <c r="O49" s="86"/>
    </row>
    <row r="51" ht="12.75">
      <c r="B51" s="91" t="s">
        <v>137</v>
      </c>
    </row>
  </sheetData>
  <sheetProtection/>
  <mergeCells count="5">
    <mergeCell ref="B35:H35"/>
    <mergeCell ref="B3:H3"/>
    <mergeCell ref="I3:O3"/>
    <mergeCell ref="B19:H19"/>
    <mergeCell ref="I19:O19"/>
  </mergeCells>
  <printOptions horizontalCentered="1" verticalCentered="1"/>
  <pageMargins left="0.25" right="0.25" top="1" bottom="0.25" header="0.3" footer="0.3"/>
  <pageSetup fitToHeight="1" fitToWidth="1" horizontalDpi="600" verticalDpi="600" orientation="landscape" scale="79" r:id="rId1"/>
  <headerFooter alignWithMargins="0">
    <oddHeader>&amp;RUtah Association of Energy Users
Utah PSC Docket No.  07-057-13
UAE Exhibit COS 1.4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Ntownsend</dc:creator>
  <cp:keywords/>
  <dc:description/>
  <cp:lastModifiedBy>sbintz</cp:lastModifiedBy>
  <cp:lastPrinted>2008-08-17T21:06:17Z</cp:lastPrinted>
  <dcterms:created xsi:type="dcterms:W3CDTF">2008-08-13T15:48:36Z</dcterms:created>
  <dcterms:modified xsi:type="dcterms:W3CDTF">2008-08-19T14:18:10Z</dcterms:modified>
  <cp:category>::ODMA\GRPWISE\ASPOSUPT.PUPSC.PUPSCDocs:58626.1</cp:category>
  <cp:version/>
  <cp:contentType/>
  <cp:contentStatus/>
</cp:coreProperties>
</file>