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DPU Exhibit 7.1S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ual">#REF!,#REF!,#REF!,#REF!,#REF!,#REF!</definedName>
    <definedName name="Affl_ROR_Adj">#REF!</definedName>
    <definedName name="Affl_ROR_Adj_UT">#REF!</definedName>
    <definedName name="Affl_ROR_Adj_WY">#REF!</definedName>
    <definedName name="AIRCRAFTSCENARIO">'[1]AIRCRAFT'!#REF!</definedName>
    <definedName name="ALLINONE">#REF!</definedName>
    <definedName name="ALLOC_FACTORS_DATA">#REF!</definedName>
    <definedName name="ALLOC_FACTORS_DROP">#REF!</definedName>
    <definedName name="AllocationFactors">#REF!</definedName>
    <definedName name="ANN_DEP_ADJ_GEN">#REF!</definedName>
    <definedName name="ANN_DEP_ADJ_PROD">#REF!</definedName>
    <definedName name="ANN_DEP_ADJ_UT">#REF!</definedName>
    <definedName name="ANN_DEP_ADJ_WY">#REF!</definedName>
    <definedName name="AVE_101_WY">'[1]Rate Base'!#REF!</definedName>
    <definedName name="AVE_105_UT">'[1]Rate Base'!#REF!</definedName>
    <definedName name="AVE_106_GEN">'[1]Rate Base'!#REF!</definedName>
    <definedName name="AVE_106_PROD">'[1]Rate Base'!#REF!</definedName>
    <definedName name="AVE_106_UT">'[1]Rate Base'!#REF!</definedName>
    <definedName name="AVE_106_WY">'[1]Rate Base'!#REF!</definedName>
    <definedName name="AVE_108_GEN">'[1]Rate Base'!#REF!</definedName>
    <definedName name="AVE_108_PROD">'[1]Rate Base'!#REF!</definedName>
    <definedName name="AVE_108_UT">'[1]Rate Base'!#REF!</definedName>
    <definedName name="AVE_108_WY">'[1]Rate Base'!#REF!</definedName>
    <definedName name="AVE_111_GEN">'[1]Rate Base'!#REF!</definedName>
    <definedName name="AVE_111_PROD">'[1]Rate Base'!#REF!</definedName>
    <definedName name="AVE_111_UT">'[1]Rate Base'!#REF!</definedName>
    <definedName name="AVE_111_WY">'[1]Rate Base'!#REF!</definedName>
    <definedName name="AVE_154_WY">'[1]Rate Base'!#REF!</definedName>
    <definedName name="AVE_1641_PROD">'[1]Rate Base'!#REF!</definedName>
    <definedName name="AVE_165_GEN">'[1]Rate Base'!#REF!</definedName>
    <definedName name="AVE_2351_UT">'[1]Rate Base'!#REF!</definedName>
    <definedName name="AVE_2351_WY">'[1]Rate Base'!#REF!</definedName>
    <definedName name="AVE_2531_GEN">'[1]Rate Base'!#REF!</definedName>
    <definedName name="AVE_255_GEN">'[1]Rate Base'!#REF!</definedName>
    <definedName name="AVE_255_PROD">'[1]Rate Base'!#REF!</definedName>
    <definedName name="AVE_255_UT">'[1]Rate Base'!#REF!</definedName>
    <definedName name="AVE_255_WY">'[1]Rate Base'!#REF!</definedName>
    <definedName name="AVE_282_GEN">'[1]Rate Base'!#REF!</definedName>
    <definedName name="AVE_282_PROD">'[1]Rate Base'!#REF!</definedName>
    <definedName name="AVE_282_UT">'[1]Rate Base'!#REF!</definedName>
    <definedName name="AVE_282_WY">'[1]Rate Base'!#REF!</definedName>
    <definedName name="AVE_2821_GEN">'[1]Rate Base'!#REF!</definedName>
    <definedName name="AVE_2821_PROD">'[1]Rate Base'!#REF!</definedName>
    <definedName name="AVE_2821_UT">'[1]Rate Base'!#REF!</definedName>
    <definedName name="AVE_2821_WY">'[1]Rate Base'!#REF!</definedName>
    <definedName name="AVE_2826_GEN">'[1]Rate Base'!#REF!</definedName>
    <definedName name="AVE_RB_101_PROD_ADJ">'[1]FILED Adjustments'!#REF!</definedName>
    <definedName name="AVE_RB_108_PROD_ADJ">'[1]FILED Adjustments'!#REF!</definedName>
    <definedName name="AVE_RB_111_PROD_ADJ">'[1]FILED Adjustments'!#REF!</definedName>
    <definedName name="AVE_SEL_ADJ_101_PROD">'[1]FILED Adjustments'!#REF!</definedName>
    <definedName name="AVE_SEL_ADJ_108_PROD">'[1]FILED Adjustments'!#REF!</definedName>
    <definedName name="AVE_SEL_ADJ_111_PROD">'[1]FILED Adjustments'!#REF!</definedName>
    <definedName name="AVE_UND_STO">'[1]Und Stor'!#REF!</definedName>
    <definedName name="AVG_154_UT">'[1]Rate Base'!#REF!</definedName>
    <definedName name="BAD_DEBT_ADJ_UT">'[1]Utah Bad Debt'!#REF!</definedName>
    <definedName name="BAD_DEBT_ADJ_WY">'[1]Utah Bad Debt'!#REF!</definedName>
    <definedName name="baseenddate">'[1]Control Panel'!#REF!</definedName>
    <definedName name="billfactors">'[1]Bill Factor Input'!$A$4:$AB$42</definedName>
    <definedName name="billfactorscurrent">'[1]Cur Bill Fctr Inp'!$A$4:$AB$42</definedName>
    <definedName name="CASE_ADJ_LABOR_WYO">#REF!</definedName>
    <definedName name="CASE_LABOR_ADJ">#REF!</definedName>
    <definedName name="CASEADJ_LABOR_UT">#REF!</definedName>
    <definedName name="CASERBSCENARIOS">'[1]Rate Base'!#REF!</definedName>
    <definedName name="CASEWCCFormula">#REF!</definedName>
    <definedName name="CASEWCCNumber">#REF!</definedName>
    <definedName name="CCSSUMMARY">#REF!</definedName>
    <definedName name="CET">'[2]CET'!$A$1:$B$179</definedName>
    <definedName name="CISRETIREMENT">#REF!</definedName>
    <definedName name="CO_I4">'[3]Criteria'!$Q$26:$R$27</definedName>
    <definedName name="CO2_ADJ_UT">#REF!</definedName>
    <definedName name="CO2_ADJ_WY">#REF!</definedName>
    <definedName name="CO2_EXP_LIAB_UTAH">#REF!</definedName>
    <definedName name="CO2_FTX_LIAB_UTAH">#REF!</definedName>
    <definedName name="CO2_HOT">#REF!</definedName>
    <definedName name="CO2_STTX_LIAB_UTAH">#REF!</definedName>
    <definedName name="COI4CUSTOMERS">'[8]CRITERIA'!$B$685:$D$686</definedName>
    <definedName name="COI4DNG">'[4]CRITERIA'!$B$533:$D$534</definedName>
    <definedName name="COI4DTH">'[4]CRITERIA'!$B$530:$D$531</definedName>
    <definedName name="COI4GAS">'[4]CRITERIA'!$B$536:$D$537</definedName>
    <definedName name="COICCUSTOMERS">'[8]CRITERIA'!$B$699:$D$701</definedName>
    <definedName name="COICDNG">'[4]CRITERIA'!$B$544:$D$546</definedName>
    <definedName name="COICDTH">'[4]CRITERIA'!$B$540:$D$542</definedName>
    <definedName name="COICGAS">'[4]CRITERIA'!$B$548:$D$550</definedName>
    <definedName name="CORDAPTIX">#REF!</definedName>
    <definedName name="CORP_ROI">#REF!</definedName>
    <definedName name="COSFactors">#REF!</definedName>
    <definedName name="COSInput">#REF!</definedName>
    <definedName name="COSSummary">#REF!</definedName>
    <definedName name="CostCurves">'[1]COS Summary'!#REF!</definedName>
    <definedName name="dblink">'[2]QUERY_FOR PIVOT'!$A$1:$H$2559</definedName>
    <definedName name="Decouple">#REF!</definedName>
    <definedName name="Decouple1a">'[1]Rate Base'!#REF!</definedName>
    <definedName name="Decouple4">#REF!</definedName>
    <definedName name="Decouple5">#REF!</definedName>
    <definedName name="Decouple6">#REF!</definedName>
    <definedName name="Decouple6a">#REF!</definedName>
    <definedName name="Decouple6B">#REF!</definedName>
    <definedName name="Decouple6c">#REF!</definedName>
    <definedName name="Decouple7">'[1]Incentive'!#REF!</definedName>
    <definedName name="Decouple9">#REF!</definedName>
    <definedName name="DON_ADJ">'[1]Donations'!#REF!</definedName>
    <definedName name="DONATIONSSUMMARY">'[1]Donations'!#REF!</definedName>
    <definedName name="DPUORIGINAL">'[1]Summaries'!#REF!</definedName>
    <definedName name="DPUSUMMARY">#REF!</definedName>
    <definedName name="EVENT_ADJ">'[1]Sporting Events'!#REF!</definedName>
    <definedName name="FT2RB1">'[5]Rates-Meter Categories-Charges'!$E$53</definedName>
    <definedName name="FT2RB2">'[5]Rates-Meter Categories-Charges'!$E$54</definedName>
    <definedName name="FT2RB3">'[5]Rates-Meter Categories-Charges'!$E$55</definedName>
    <definedName name="FT2RB4">'[5]Rates-Meter Categories-Charges'!$E$56</definedName>
    <definedName name="GATHER">#REF!</definedName>
    <definedName name="GH">'[1]Capital Str'!#REF!</definedName>
    <definedName name="GS">'[1]Bill Factor Input'!#REF!</definedName>
    <definedName name="GTI_ADJ">#REF!</definedName>
    <definedName name="GTI_ADJ_UT">#REF!</definedName>
    <definedName name="GTI_ADJ_WY">#REF!</definedName>
    <definedName name="HIST_101_PROD">'[1]Rate Base'!#REF!</definedName>
    <definedName name="HIST_108_PROD">'[1]Rate Base'!#REF!</definedName>
    <definedName name="HIST_111_PROD">'[1]Rate Base'!#REF!</definedName>
    <definedName name="Home">'[1]Control Panel'!#REF!</definedName>
    <definedName name="IDGSDNG">'[4]CRITERIA'!$B$362:$D$363</definedName>
    <definedName name="IDGSDTH">'[4]CRITERIA'!$B$359:$D$360</definedName>
    <definedName name="IDGSGAS">'[4]CRITERIA'!$B$368:$D$369</definedName>
    <definedName name="IDGSSNG">'[4]CRITERIA'!$B$365:$D$366</definedName>
    <definedName name="IDIS2DNG">'[4]CRITERIA'!$B$376:$D$378</definedName>
    <definedName name="IDIS2DTH">'[4]CRITERIA'!$B$372:$D$374</definedName>
    <definedName name="IDIS2GAS">'[4]CRITERIA'!$B$384:$D$386</definedName>
    <definedName name="IDIS2SNG">'[4]CRITERIA'!$B$380:$D$382</definedName>
    <definedName name="INCENT_ADJ">'[1]Incentive'!#REF!</definedName>
    <definedName name="INCENT_ADJ_UT">'[1]Incentive'!#REF!</definedName>
    <definedName name="INCENT_ADJ_WY">'[1]Incentive'!#REF!</definedName>
    <definedName name="INFOCOM_CREDIT">#REF!</definedName>
    <definedName name="INFOCOM_CREDIT1">#REF!</definedName>
    <definedName name="INFOCOM_REFUND">#REF!</definedName>
    <definedName name="IT_FT2">#REF!</definedName>
    <definedName name="JJIONJI">'[6]Expenses'!$G$372</definedName>
    <definedName name="JurisCASEFormula">#REF!</definedName>
    <definedName name="JurisCASENumber">#REF!</definedName>
    <definedName name="LAB_UT">#REF!</definedName>
    <definedName name="LABADJ2">#REF!</definedName>
    <definedName name="LABOR_ADJ">#REF!</definedName>
    <definedName name="LABOR_ADJ_UT">#REF!</definedName>
    <definedName name="LABOR_ADJ_WY">#REF!</definedName>
    <definedName name="LABOR_SCENARIOS">#REF!</definedName>
    <definedName name="LABORADJ">#REF!</definedName>
    <definedName name="LABORSCENARIO">#REF!</definedName>
    <definedName name="MIN_FT2">#REF!</definedName>
    <definedName name="MIN_FTE">#REF!</definedName>
    <definedName name="MIN_IC_WY">#REF!</definedName>
    <definedName name="NGV_DATA">'[2]NGV REVENUES'!$BV$6:$IV$34</definedName>
    <definedName name="OAK_CITY">'[1]OakCity'!#REF!</definedName>
    <definedName name="pension">#REF!</definedName>
    <definedName name="PHANTOMQRS">'[1]Stock Incentives'!#REF!</definedName>
    <definedName name="PHTMSTK_ADJ">'[1]Stock Incentives'!#REF!</definedName>
    <definedName name="PHTMSTK_ADJ_UT">'[1]Stock Incentives'!#REF!</definedName>
    <definedName name="PHTMSTK_ADJ_WY">'[1]Stock Incentives'!#REF!</definedName>
    <definedName name="POST_ADJ">#REF!</definedName>
    <definedName name="POST_ADJ_UT">#REF!</definedName>
    <definedName name="POST_ADJ_WY">#REF!</definedName>
    <definedName name="_xlnm.Print_Area" localSheetId="0">'DPU Exhibit 7.1SR'!$A$1:$K$422</definedName>
    <definedName name="QES_ADJ">#REF!</definedName>
    <definedName name="QES_ADJ_UT">#REF!</definedName>
    <definedName name="QES_ADJ_WY">#REF!</definedName>
    <definedName name="QESDETAIL1">#REF!</definedName>
    <definedName name="QESSUMMARY">#REF!</definedName>
    <definedName name="QGCSUMMARY">#REF!</definedName>
    <definedName name="QPEC_UTAH">#REF!</definedName>
    <definedName name="QPEC_WYO">#REF!</definedName>
    <definedName name="QRS_ROI">#REF!</definedName>
    <definedName name="ratescurrent">'DPU Exhibit 7.1SR'!#REF!</definedName>
    <definedName name="ratesformulas">'DPU Exhibit 7.1SR'!#REF!</definedName>
    <definedName name="rateshardnumbers">'DPU Exhibit 7.1SR'!#REF!</definedName>
    <definedName name="REALLOCATION">#REF!</definedName>
    <definedName name="REALLOCATION2">#REF!</definedName>
    <definedName name="RES_ACC_ADJ">#REF!</definedName>
    <definedName name="RES_ACC_ADJ_UT">#REF!</definedName>
    <definedName name="RES_ACC_ADJ_WY">#REF!</definedName>
    <definedName name="REVSUMMARY1">#REF!</definedName>
    <definedName name="REVSUMMARY2">#REF!</definedName>
    <definedName name="RORAIRCRAFT">#REF!</definedName>
    <definedName name="RORCORP">#REF!</definedName>
    <definedName name="RORQIC">#REF!</definedName>
    <definedName name="RORQRS">#REF!</definedName>
    <definedName name="RORSUMMARY">#REF!</definedName>
    <definedName name="Season">'[1]Bill Factor Input'!#REF!</definedName>
    <definedName name="ST_TAX_ADJ">'[1]ST TAX'!#REF!</definedName>
    <definedName name="ST_TAX_ADJ_UT">'[1]FILED Adjustments'!#REF!</definedName>
    <definedName name="ST_TAX_ADJ_WY">'[1]ST TAX'!#REF!</definedName>
    <definedName name="summarieswyo">#REF!</definedName>
    <definedName name="Summer_UT_GSS">'[1]Criteria'!$A$18:$C$19</definedName>
    <definedName name="SYSCASEFormula">#REF!</definedName>
    <definedName name="SYSCASENumber">#REF!</definedName>
    <definedName name="TITLE">'[1]Control Panel'!#REF!</definedName>
    <definedName name="TITLE2">'[1]Control Panel'!#REF!</definedName>
    <definedName name="UT">'[1]Bill Factor Input'!#REF!</definedName>
    <definedName name="UT_E1">'[1]Criteria'!$H$27:$I$28</definedName>
    <definedName name="UT_F1_SUMMER">'[3]Criteria'!$E$10:$G$17</definedName>
    <definedName name="UT_F1_WINTER">'[3]Criteria'!$E$2:$G$7</definedName>
    <definedName name="UT_F1E_SUMMER">'[3]Criteria'!$E$28:$G$35</definedName>
    <definedName name="UT_F1E_WINTER">'[3]Criteria'!$E$20:$G$25</definedName>
    <definedName name="UT_F3">'[1]Criteria'!#REF!</definedName>
    <definedName name="UT_FT1L">'[1]Criteria'!$H$35:$I$36</definedName>
    <definedName name="UT_FT2C">'[1]Criteria'!$E$36:$F$37</definedName>
    <definedName name="UT_GS_SUMMER">'[3]Criteria'!$A$10:$C$17</definedName>
    <definedName name="UT_GS_WINTER">'[3]Criteria'!$A$2:$C$7</definedName>
    <definedName name="UT_GS_WINTER_BLK1">'[1]Criteria'!#REF!</definedName>
    <definedName name="UT_GSC">'[1]Criteria'!$A$42:$C$43</definedName>
    <definedName name="UT_GSC_SUMMER">'[7]Criteria'!$E$38:$G$45</definedName>
    <definedName name="UT_GSC_WINTER">'[7]Criteria'!$A$38:$C$43</definedName>
    <definedName name="UT_GSR">'[1]Criteria'!$A$10:$C$11</definedName>
    <definedName name="UT_GSR_SUMMER">'[7]Criteria'!$A$10:$C$17</definedName>
    <definedName name="UT_GSR_WINTER">'[7]Criteria'!$A$2:$C$7</definedName>
    <definedName name="UT_GSS">'[1]Criteria'!$H$31:$I$32</definedName>
    <definedName name="UT_GSS_SUMMER">'[3]Criteria'!$A$28:$C$35</definedName>
    <definedName name="UT_GSS_SUMMER_BLK1">'[1]Criteria'!#REF!</definedName>
    <definedName name="UT_GSS_WINTER">'[3]Criteria'!$A$20:$C$25</definedName>
    <definedName name="UT_GSS_WINTER_BLK1">'[1]Criteria'!#REF!</definedName>
    <definedName name="UT_I2">'[3]Criteria'!$L$2:$M$3</definedName>
    <definedName name="UT_I4">'[3]Criteria'!$L$6:$M$7</definedName>
    <definedName name="UT_IS2">'[3]Criteria'!$L$10:$M$11</definedName>
    <definedName name="UT_IS4">'[3]Criteria'!$L$14:$M$15</definedName>
    <definedName name="UT_IT2">'[3]Criteria'!$L$22:$M$23</definedName>
    <definedName name="UT_ITS">'[1]Criteria'!$H$18:$I$19</definedName>
    <definedName name="UT_MT">'[1]Criteria'!$H$6:$I$7</definedName>
    <definedName name="UT_NGV">'[1]Criteria'!$E$6:$F$7</definedName>
    <definedName name="UTCUSTOMERS">'[8]CRITERIA'!$B$447:$D$448</definedName>
    <definedName name="UTE1CUSTOMERS">'[8]CRITERIA'!$B$354:$D$355</definedName>
    <definedName name="UTE1DNG">'[4]CRITERIA'!$B$285:$D$286</definedName>
    <definedName name="UTE1DTH">'[4]CRITERIA'!$B$282:$D$283</definedName>
    <definedName name="UTE1GAS">'[4]CRITERIA'!$B$291:$D$292</definedName>
    <definedName name="UTE1SNG">'[4]CRITERIA'!$B$288:$D$289</definedName>
    <definedName name="UTF1CUSTOMERS">'[8]CRITERIA'!$B$61:$D$65</definedName>
    <definedName name="UTF1DNG">'[4]CRITERIA'!$B$71:$D$72</definedName>
    <definedName name="UTF1DTH">'[4]CRITERIA'!$B$68:$D$69</definedName>
    <definedName name="UTF1EDNG">'[4]CRITERIA'!$B$178:$D$179</definedName>
    <definedName name="UTF1EDTH">'[4]CRITERIA'!$B$175:$D$176</definedName>
    <definedName name="UTF1EGAS">'[4]CRITERIA'!$B$184:$D$185</definedName>
    <definedName name="UTF1ESNG">'[4]CRITERIA'!$B$181:$D$182</definedName>
    <definedName name="UTF1GAS">'[4]CRITERIA'!$B$77:$D$78</definedName>
    <definedName name="UTF1SNG">'[4]CRITERIA'!$B$74:$D$75</definedName>
    <definedName name="UTF3CUSTOMERS">'[8]CRITERIA'!$B$106:$D$107</definedName>
    <definedName name="UTF3DNG">'[4]CRITERIA'!$B$105:$D$106</definedName>
    <definedName name="UTF3DTH">'[4]CRITERIA'!$B$102:$D$103</definedName>
    <definedName name="UTF3GAS">'[4]CRITERIA'!$B$111:$D$112</definedName>
    <definedName name="UTF3SNG">'[4]CRITERIA'!$B$108:$D$109</definedName>
    <definedName name="UTF4CUSTOMERS">'[8]CRITERIA'!$B$122:$D$123</definedName>
    <definedName name="UTF4DNG">'[8]CRITERIA'!$B$125:$D$126</definedName>
    <definedName name="UTF4DTH">'[8]CRITERIA'!$B$119:$D$120</definedName>
    <definedName name="UTF4GAS">'[8]CRITERIA'!$B$131:$D$132</definedName>
    <definedName name="UTF4SNG">'[8]CRITERIA'!$B$128:$D$129</definedName>
    <definedName name="UTFT1CUSTOMERS">'[8]CRITERIA'!$B$254:$D$256</definedName>
    <definedName name="UTFT1DNG">'[4]CRITERIA'!$B$230:$D$232</definedName>
    <definedName name="UTFT1DTH">'[4]CRITERIA'!$B$226:$D$228</definedName>
    <definedName name="UTFT1GAS">'[4]CRITERIA'!$B$238:$D$240</definedName>
    <definedName name="UTFT1LDNG">'[8]CRITERIA'!$B$277:$D$278</definedName>
    <definedName name="UTFT1LDTH">'[8]CRITERIA'!$B$271:$D$272</definedName>
    <definedName name="UTFT1LGAS">'[8]CRITERIA'!$B$283:$D$284</definedName>
    <definedName name="UTFT1LSNG">'[8]CRITERIA'!$B$280:$D$281</definedName>
    <definedName name="UTFT1SNG">'[4]CRITERIA'!$B$234:$D$236</definedName>
    <definedName name="UTFT2CCUSTOMERS">'[8]CRITERIA'!$B$306:$D$307</definedName>
    <definedName name="UTFT2CDNG">'[8]CRITERIA'!$B$309:$D$310</definedName>
    <definedName name="UTFT2CDTH">'[8]CRITERIA'!$B$303:$D$304</definedName>
    <definedName name="UTFT2CGAS">'[8]CRITERIA'!$B$315:$D$316</definedName>
    <definedName name="UTFT2CSNG">'[8]CRITERIA'!$B$312:$D$313</definedName>
    <definedName name="UTFT2CUSTOMERS">'[8]CRITERIA'!$B$290:$D$291</definedName>
    <definedName name="UTFT2DNG">'[4]CRITERIA'!$B$246:$D$247</definedName>
    <definedName name="UTFT2DTH">'[4]CRITERIA'!$B$243:$D$244</definedName>
    <definedName name="UTFT2GAS">'[4]CRITERIA'!$B$252:$D$253</definedName>
    <definedName name="UTFT2SNG">'[4]CRITERIA'!$B$249:$D$250</definedName>
    <definedName name="UTFTECUSTOMERS">'[8]CRITERIA'!$B$322:$D$323</definedName>
    <definedName name="UTFTEDNG">'[4]CRITERIA'!$B$259:$D$260</definedName>
    <definedName name="UTFTEDTH">'[4]CRITERIA'!$B$256:$D$257</definedName>
    <definedName name="UTFTEGAS">'[4]CRITERIA'!$B$265:$D$266</definedName>
    <definedName name="UTFTESNG">'[4]CRITERIA'!$B$262:$D$263</definedName>
    <definedName name="UTGSCDNG">'[8]CRITERIA'!$B$29:$D$30</definedName>
    <definedName name="UTGSCDTH">'[8]CRITERIA'!$B$23:$D$24</definedName>
    <definedName name="UTGSCGAS">'[8]CRITERIA'!$B$35:$D$36</definedName>
    <definedName name="UTGSCSNG">'[8]CRITERIA'!$B$32:$D$33</definedName>
    <definedName name="UTGSCST">'[4]CRITERIA'!$B$10:$D$11</definedName>
    <definedName name="UTGSCUSTOMERS">'[8]CRITERIA'!$B$10:$D$11</definedName>
    <definedName name="UTGSDNG">'[4]CRITERIA'!$B$13:$D$14</definedName>
    <definedName name="UTGSDTH">'[4]CRITERIA'!$B$7:$D$8</definedName>
    <definedName name="UTGSECST">'[4]CRITERIA'!$B$31:$D$32</definedName>
    <definedName name="UTGSEDNG">'[4]CRITERIA'!$B$34:$D$35</definedName>
    <definedName name="UTGSEDTH">'[4]CRITERIA'!$B$28:$D$29</definedName>
    <definedName name="UTGSEGAS">'[4]CRITERIA'!$B$40:$D$41</definedName>
    <definedName name="UTGSESIF">'[4]CRITERIA'!$B$43:$D$44</definedName>
    <definedName name="UTGSESNG">'[4]CRITERIA'!$B$37:$D$38</definedName>
    <definedName name="UTGSGAS">'[4]CRITERIA'!$B$19:$D$20</definedName>
    <definedName name="UTGSRDNG">'[8]CRITERIA'!$F$13:$H$14</definedName>
    <definedName name="UTGSRDTH">'[8]CRITERIA'!$F$7:$H$8</definedName>
    <definedName name="UTGSRGAS">'[8]CRITERIA'!$F$19:$H$20</definedName>
    <definedName name="UTGSRSNG">'[8]CRITERIA'!$F$16:$H$17</definedName>
    <definedName name="UTGSSCST">'[4]CRITERIA'!$B$51:$D$52</definedName>
    <definedName name="UTGSSCUSTOMERS">'[8]CRITERIA'!$B$42:$D$43</definedName>
    <definedName name="UTGSSDNG">'[4]CRITERIA'!$B$54:$D$55</definedName>
    <definedName name="UTGSSDTH">'[4]CRITERIA'!$B$48:$D$49</definedName>
    <definedName name="UTGSSGAS">'[4]CRITERIA'!$B$60:$D$61</definedName>
    <definedName name="UTGSSIF">'[4]CRITERIA'!$B$23:$D$24</definedName>
    <definedName name="UTGSSNG">'[4]CRITERIA'!$B$16:$D$17</definedName>
    <definedName name="UTGSSSIF">'[4]CRITERIA'!$B$63:$D$64</definedName>
    <definedName name="UTGSSSNG">'[4]CRITERIA'!$B$57:$D$58</definedName>
    <definedName name="UTGSSSUMMER">'[1]Criteria'!#REF!</definedName>
    <definedName name="UTGSSUMMER">'[1]Criteria'!#REF!</definedName>
    <definedName name="UTGSSWINTER">'[1]Criteria'!#REF!</definedName>
    <definedName name="UTGSWINTER">'[1]Criteria'!#REF!</definedName>
    <definedName name="UTI2CUSTOMERS">'[8]CRITERIA'!$B$139:$D$140</definedName>
    <definedName name="UTI2DNG">'[4]CRITERIA'!$B$132:$D$134</definedName>
    <definedName name="UTI2DTH">'[4]CRITERIA'!$B$128:$D$130</definedName>
    <definedName name="UTI2GAS">'[4]CRITERIA'!$B$140:$D$142</definedName>
    <definedName name="UTI2SNG">'[4]CRITERIA'!$B$136:$D$138</definedName>
    <definedName name="UTI4CUSTOMERS">'[8]CRITERIA'!$B$420:$D$423</definedName>
    <definedName name="UTI4DNG">'[4]CRITERIA'!$B$342:$D$343</definedName>
    <definedName name="UTI4DTH">'[4]CRITERIA'!$B$339:$D$340</definedName>
    <definedName name="UTI4GAS">'[4]CRITERIA'!$B$348:$D$349</definedName>
    <definedName name="UTI4SNG">'[4]CRITERIA'!$B$345:$D$346</definedName>
    <definedName name="UTIS2CUSTOMERS">'[8]CRITERIA'!$B$159:$D$161</definedName>
    <definedName name="UTIS2DNG">'[4]CRITERIA'!$B$149:$D$151</definedName>
    <definedName name="UTIS2DTH">'[4]CRITERIA'!$B$145:$D$147</definedName>
    <definedName name="UTIS2GAS">'[4]CRITERIA'!$B$157:$D$159</definedName>
    <definedName name="UTIS2SNG">'[4]CRITERIA'!$B$153:$D$155</definedName>
    <definedName name="UTIS4CUSTOMERS">'[8]CRITERIA'!$B$179:$D$180</definedName>
    <definedName name="UTIS4DNG">'[4]CRITERIA'!$B$165:$D$166</definedName>
    <definedName name="UTIS4DTH">'[4]CRITERIA'!$B$162:$D$163</definedName>
    <definedName name="UTIS4GAS">'[4]CRITERIA'!$B$171:$D$172</definedName>
    <definedName name="UTIS4SNG">'[4]CRITERIA'!$B$168:$D$169</definedName>
    <definedName name="UTITCUSTOMERS">'[8]CRITERIA'!$B$213:$D$216</definedName>
    <definedName name="UTITDNG">'[4]CRITERIA'!$B$196:$D$198</definedName>
    <definedName name="UTITDTH">'[4]CRITERIA'!$B$192:$D$194</definedName>
    <definedName name="UTITGAS">'[4]CRITERIA'!$B$204:$D$206</definedName>
    <definedName name="UTITSCUSTOMERS">'[8]CRITERIA'!$B$237:$D$238</definedName>
    <definedName name="UTITSDNG">'[4]CRITERIA'!$B$213:$D$215</definedName>
    <definedName name="UTITSDTH">'[4]CRITERIA'!$B$209:$D$211</definedName>
    <definedName name="UTITSGAS">'[4]CRITERIA'!$B$221:$D$223</definedName>
    <definedName name="UTITSNG">'[4]CRITERIA'!$B$200:$D$202</definedName>
    <definedName name="UTITSSNG">'[4]CRITERIA'!$B$217:$D$219</definedName>
    <definedName name="UTMTCUSTOMERS">'[8]CRITERIA'!$B$338:$D$339</definedName>
    <definedName name="UTMTDNG">'[4]CRITERIA'!$B$272:$D$273</definedName>
    <definedName name="UTMTDTH">'[4]CRITERIA'!$B$269:$D$270</definedName>
    <definedName name="UTMTGAS">'[4]CRITERIA'!$B$278:$D$279</definedName>
    <definedName name="UTMTSNG">'[4]CRITERIA'!$B$275:$D$276</definedName>
    <definedName name="UTNGVCUSTOMERS">'[8]CRITERIA'!$B$90:$D$91</definedName>
    <definedName name="UTNGVDNG">'[4]CRITERIA'!$B$88:$D$89</definedName>
    <definedName name="UTNGVDTH">'[4]CRITERIA'!$B$85:$D$86</definedName>
    <definedName name="UTNGVGAS">'[4]CRITERIA'!$B$94:$D$95</definedName>
    <definedName name="UTNGVSNG">'[4]CRITERIA'!$B$91:$D$92</definedName>
    <definedName name="UTP1CUSTOMERS">'[8]CRITERIA'!$B$370:$D$371</definedName>
    <definedName name="UTP1DNG">'[4]CRITERIA'!$B$303:$D$304</definedName>
    <definedName name="UTP1DTH">'[4]CRITERIA'!$B$300:$D$301</definedName>
    <definedName name="UTP1GAS">'[4]CRITERIA'!$B$309:$D$310</definedName>
    <definedName name="UTP1SNG">'[4]CRITERIA'!$B$306:$D$307</definedName>
    <definedName name="Winter">'[1]Bill Factor Input'!#REF!</definedName>
    <definedName name="Winter_UT_GSS">'[1]Criteria'!$A$14:$C$15</definedName>
    <definedName name="WY_F1">'[3]Criteria'!$O$10:$P$11</definedName>
    <definedName name="WY_GS">'[3]Criteria'!$O$2:$P$3</definedName>
    <definedName name="WY_GSW">'[3]Criteria'!$O$14:$P$15</definedName>
    <definedName name="WY_I2">'[3]Criteria'!$Q$2:$R$3</definedName>
    <definedName name="WY_I4">'[3]Criteria'!$Q$6:$R$7</definedName>
    <definedName name="WY_IC">'[3]Criteria'!$Q$10:$R$11</definedName>
    <definedName name="WY_IC1">'[3]Criteria'!$Q$14:$R$15</definedName>
    <definedName name="WY_IC2">'[3]Criteria'!$Q$18:$R$19</definedName>
    <definedName name="WY_IC3">'[3]Criteria'!$Q$14:$R$15</definedName>
    <definedName name="WY_IC8">'[3]Criteria'!$Q$18:$R$19</definedName>
    <definedName name="WY_IT">'[3]Criteria'!$Q$22:$R$23</definedName>
    <definedName name="WY_NGV">'[3]Criteria'!$O$6:$P$7</definedName>
    <definedName name="WYCUSTOMERS">'[8]CRITERIA'!$B$677:$D$678</definedName>
    <definedName name="WYF1CUSTOMERS">'[8]CRITERIA'!$B$515:$D$519</definedName>
    <definedName name="WYF1DNG">'[4]CRITERIA'!$B$413:$D$414</definedName>
    <definedName name="WYF1DTH">'[4]CRITERIA'!$B$410:$D$411</definedName>
    <definedName name="WYF1GAS">'[4]CRITERIA'!$B$416:$D$417</definedName>
    <definedName name="WYGSCUSTOMERS">'[8]CRITERIA'!$B$499:$D$500</definedName>
    <definedName name="WYGSDNG">'[4]CRITERIA'!$B$400:$D$401</definedName>
    <definedName name="WYGSDTH">'[4]CRITERIA'!$B$397:$D$398</definedName>
    <definedName name="WYGSGAS">'[4]CRITERIA'!$B$403:$D$404</definedName>
    <definedName name="WYGSSIF">'[4]CRITERIA'!$B$406:$D$407</definedName>
    <definedName name="WYGSWCUSTOMERS">'[8]CRITERIA'!$B$550:$D$551</definedName>
    <definedName name="WYGSWDNG">'[4]CRITERIA'!$B$433:$D$434</definedName>
    <definedName name="WYGSWDTH">'[4]CRITERIA'!$B$430:$D$431</definedName>
    <definedName name="WYGSWGAS">'[4]CRITERIA'!$B$436:$D$437</definedName>
    <definedName name="WYI2CUSTOMERS">'[8]CRITERIA'!$B$589:$D$590</definedName>
    <definedName name="WYI2DNG">'[4]CRITERIA'!$B$463:$D$464</definedName>
    <definedName name="WYI2DTH">'[4]CRITERIA'!$B$460:$D$461</definedName>
    <definedName name="WYI2GAS">'[4]CRITERIA'!$B$469:$D$470</definedName>
    <definedName name="WYI2SNG">'[4]CRITERIA'!$B$466:$D$467</definedName>
    <definedName name="WYI4CUSTOMERS">'[8]CRITERIA'!$B$606:$D$608</definedName>
    <definedName name="WYI4DNG">'[4]CRITERIA'!$B$476:$D$477</definedName>
    <definedName name="WYI4DTH">'[4]CRITERIA'!$B$473:$D$474</definedName>
    <definedName name="WYI4GAS">'[4]CRITERIA'!$B$482:$D$483</definedName>
    <definedName name="WYI4SNG">'[4]CRITERIA'!$B$479:$D$480</definedName>
    <definedName name="WYICCUSTOMERS">'[8]CRITERIA'!$B$647:$D$652</definedName>
    <definedName name="WYICDNG">'[4]CRITERIA'!$B$506:$D$511</definedName>
    <definedName name="WYICDTH">'[4]CRITERIA'!$B$499:$D$504</definedName>
    <definedName name="WYICGAS">'[4]CRITERIA'!$B$513:$D$520</definedName>
    <definedName name="WYICSDNG">'[4]CRITERIA'!$B$453:$D$454</definedName>
    <definedName name="WYICSDTH">'[4]CRITERIA'!$B$450:$D$451</definedName>
    <definedName name="WYICSGAS">'[4]CRITERIA'!$B$456:$D$457</definedName>
    <definedName name="WYITCUSTOMERS">'[8]CRITERIA'!$B$627:$D$629</definedName>
    <definedName name="WYITDNG">'[4]CRITERIA'!$B$490:$D$492</definedName>
    <definedName name="WYITDTH">'[4]CRITERIA'!$B$486:$D$488</definedName>
    <definedName name="WYITGAS">'[4]CRITERIA'!$B$494:$D$496</definedName>
    <definedName name="WYNGVCUSTOMERS">'[8]CRITERIA'!$B$537:$D$538</definedName>
    <definedName name="WYNGVDNG">'[4]CRITERIA'!$B$423:$D$424</definedName>
    <definedName name="WYNGVDTH">'[4]CRITERIA'!$B$420:$D$421</definedName>
    <definedName name="WYNGVGAS">'[4]CRITERIA'!$B$426:$D$427</definedName>
  </definedNames>
  <calcPr fullCalcOnLoad="1"/>
</workbook>
</file>

<file path=xl/sharedStrings.xml><?xml version="1.0" encoding="utf-8"?>
<sst xmlns="http://schemas.openxmlformats.org/spreadsheetml/2006/main" count="948" uniqueCount="185">
  <si>
    <t xml:space="preserve">             Docket No. 07-057-13</t>
  </si>
  <si>
    <t>Calculation</t>
  </si>
  <si>
    <t>Proof of Revenue</t>
  </si>
  <si>
    <t>DPU Exhibit 7.1SR</t>
  </si>
  <si>
    <t xml:space="preserve"> </t>
  </si>
  <si>
    <t>Page 1 of 10</t>
  </si>
  <si>
    <t>Calculations</t>
  </si>
  <si>
    <t>Formulas</t>
  </si>
  <si>
    <t>Utah GSR</t>
  </si>
  <si>
    <t>Current Rates</t>
  </si>
  <si>
    <t>DPU Proposed Rates</t>
  </si>
  <si>
    <t>Proposed</t>
  </si>
  <si>
    <t>Current</t>
  </si>
  <si>
    <t>GSS to GSR</t>
  </si>
  <si>
    <t>Dth</t>
  </si>
  <si>
    <t>GSS</t>
  </si>
  <si>
    <t>GSR</t>
  </si>
  <si>
    <t>Volumetric Rates</t>
  </si>
  <si>
    <t>Curr. Rate</t>
  </si>
  <si>
    <t>Revenues</t>
  </si>
  <si>
    <t>Prop. Rate</t>
  </si>
  <si>
    <t>Rates</t>
  </si>
  <si>
    <t>Revenue</t>
  </si>
  <si>
    <t>Winter</t>
  </si>
  <si>
    <t>Block 1</t>
  </si>
  <si>
    <t>All Dth</t>
  </si>
  <si>
    <t>Rate</t>
  </si>
  <si>
    <t>Summer</t>
  </si>
  <si>
    <t>Total Volumetric Charges</t>
  </si>
  <si>
    <t>"</t>
  </si>
  <si>
    <t>Fixed Charges</t>
  </si>
  <si>
    <t>Customers</t>
  </si>
  <si>
    <t>&lt; Differential Summer</t>
  </si>
  <si>
    <t>BSF</t>
  </si>
  <si>
    <t>Avg customers</t>
  </si>
  <si>
    <t>Annual customers</t>
  </si>
  <si>
    <t>% getting BSF</t>
  </si>
  <si>
    <t>Target</t>
  </si>
  <si>
    <t>Adjusted customers</t>
  </si>
  <si>
    <t>Fixed</t>
  </si>
  <si>
    <t>%</t>
  </si>
  <si>
    <t>Volumetric</t>
  </si>
  <si>
    <t>BSF #1</t>
  </si>
  <si>
    <t>BSF #2</t>
  </si>
  <si>
    <t>BSF #3</t>
  </si>
  <si>
    <t>BSF #4</t>
  </si>
  <si>
    <t>Total BSF Revenues</t>
  </si>
  <si>
    <t>EAC</t>
  </si>
  <si>
    <t>% getting EAC</t>
  </si>
  <si>
    <t>Avg Rate</t>
  </si>
  <si>
    <t>Total EAC</t>
  </si>
  <si>
    <t>GSS Cust &gt;</t>
  </si>
  <si>
    <t>Monthly Base Rev</t>
  </si>
  <si>
    <t>Total Fixed Charges</t>
  </si>
  <si>
    <t>CET Estimate</t>
  </si>
  <si>
    <t>GSS Current &gt;</t>
  </si>
  <si>
    <t>Utah GSR Total</t>
  </si>
  <si>
    <t>Current Revenue &gt;</t>
  </si>
  <si>
    <t>Increase $ &gt;</t>
  </si>
  <si>
    <t>&lt; Includes CET Estimate</t>
  </si>
  <si>
    <t>Increase % &gt;</t>
  </si>
  <si>
    <t>Page of 2 of 10</t>
  </si>
  <si>
    <t>GSC</t>
  </si>
  <si>
    <t>Utah GSC</t>
  </si>
  <si>
    <t>Difference</t>
  </si>
  <si>
    <t>First 45 Dth</t>
  </si>
  <si>
    <t>Block 2</t>
  </si>
  <si>
    <t>Next 155 DTH</t>
  </si>
  <si>
    <t>Block 3</t>
  </si>
  <si>
    <t>All Over 200 Dth</t>
  </si>
  <si>
    <t>Existing Blocks</t>
  </si>
  <si>
    <t>GSS to GSC</t>
  </si>
  <si>
    <t>BSF #5</t>
  </si>
  <si>
    <t>Utah GSC Total</t>
  </si>
  <si>
    <t>Commercial Estimate</t>
  </si>
  <si>
    <t>Page 3 of 10</t>
  </si>
  <si>
    <t>Utah GSS</t>
  </si>
  <si>
    <t>DTH</t>
  </si>
  <si>
    <t>Resid</t>
  </si>
  <si>
    <t>% getting Min Bill or BSF</t>
  </si>
  <si>
    <t>Comm</t>
  </si>
  <si>
    <t>Min Bill</t>
  </si>
  <si>
    <t>Total Min Bill Revenues</t>
  </si>
  <si>
    <t>CET</t>
  </si>
  <si>
    <t>Utah GSS Total</t>
  </si>
  <si>
    <t>Utah NGV</t>
  </si>
  <si>
    <t>All Usage</t>
  </si>
  <si>
    <t>Utah NGV Total</t>
  </si>
  <si>
    <t>Page 4 of 10</t>
  </si>
  <si>
    <t>Utah FS</t>
  </si>
  <si>
    <t>Utah F-1 Total</t>
  </si>
  <si>
    <t>Utah I-4</t>
  </si>
  <si>
    <t>Page 5  of 10</t>
  </si>
  <si>
    <t>IS-4</t>
  </si>
  <si>
    <t>Annual</t>
  </si>
  <si>
    <t>Customer</t>
  </si>
  <si>
    <t>Utah I-4 Total</t>
  </si>
  <si>
    <t>I-4 Current Rev.</t>
  </si>
  <si>
    <t>IS-4 Current Rev.</t>
  </si>
  <si>
    <t>Utah IS-4</t>
  </si>
  <si>
    <t>New Rate</t>
  </si>
  <si>
    <t>Expansion BSF</t>
  </si>
  <si>
    <t>Utah IS-4 Total</t>
  </si>
  <si>
    <t>IS-4 Revenue</t>
  </si>
  <si>
    <t>Utah FT-1</t>
  </si>
  <si>
    <t>Increase Block Rates</t>
  </si>
  <si>
    <t>To Get an Overall</t>
  </si>
  <si>
    <t>Increase in Total FT-1</t>
  </si>
  <si>
    <t>Revenues by Overall</t>
  </si>
  <si>
    <t>COS Increase</t>
  </si>
  <si>
    <t>Block 4</t>
  </si>
  <si>
    <t>Overall COS Increase</t>
  </si>
  <si>
    <t>FT-1 Revenue Diff</t>
  </si>
  <si>
    <t>Administrative Fee</t>
  </si>
  <si>
    <t>Primary</t>
  </si>
  <si>
    <t>Secondary</t>
  </si>
  <si>
    <t>Target Rate % chg</t>
  </si>
  <si>
    <t>Rate Difference</t>
  </si>
  <si>
    <t>Target &gt;</t>
  </si>
  <si>
    <t>Fixed &amp; Min</t>
  </si>
  <si>
    <t>Minimum Bills</t>
  </si>
  <si>
    <t>Utah FT-1 Total</t>
  </si>
  <si>
    <t>Page of 6 of 10</t>
  </si>
  <si>
    <t>Utah FT-1L (Lakeside)</t>
  </si>
  <si>
    <t>Minimum Monthly Contract</t>
  </si>
  <si>
    <t>Minimum</t>
  </si>
  <si>
    <t>Utah FT-2C</t>
  </si>
  <si>
    <t>Utah FT-2C Total</t>
  </si>
  <si>
    <t>Page of 7 of 10</t>
  </si>
  <si>
    <t>Utah MT</t>
  </si>
  <si>
    <t>Increase in Total MT</t>
  </si>
  <si>
    <t>Target Revenue Diff</t>
  </si>
  <si>
    <t>Utah MT Total</t>
  </si>
  <si>
    <t>not</t>
  </si>
  <si>
    <t>rounded</t>
  </si>
  <si>
    <t>Page of  8 of 10</t>
  </si>
  <si>
    <t>Utah TS</t>
  </si>
  <si>
    <t>TSE Dth</t>
  </si>
  <si>
    <t>F3</t>
  </si>
  <si>
    <t xml:space="preserve">  </t>
  </si>
  <si>
    <t>F4</t>
  </si>
  <si>
    <t>FT2</t>
  </si>
  <si>
    <t>TSE Customer</t>
  </si>
  <si>
    <t>IT</t>
  </si>
  <si>
    <t xml:space="preserve">Annual Demand Charges per Dth of </t>
  </si>
  <si>
    <t>Contract Dth</t>
  </si>
  <si>
    <t>Contract Firm Transportation</t>
  </si>
  <si>
    <t>Utah TS Total</t>
  </si>
  <si>
    <t>TSE</t>
  </si>
  <si>
    <t>Page 9 of 10</t>
  </si>
  <si>
    <t>Utah TSE</t>
  </si>
  <si>
    <t>Utah TSE Total</t>
  </si>
  <si>
    <t>Page 10 of 10</t>
  </si>
  <si>
    <t>Utah E-1</t>
  </si>
  <si>
    <t>Utah E-1 Total</t>
  </si>
  <si>
    <t>UTAH</t>
  </si>
  <si>
    <t>@ Current Rates</t>
  </si>
  <si>
    <t>@ Proposed Rates</t>
  </si>
  <si>
    <t>Firm</t>
  </si>
  <si>
    <t>Increase</t>
  </si>
  <si>
    <t>GSR Plus GSS Resid.</t>
  </si>
  <si>
    <t>GSC Plus GSS Comm.</t>
  </si>
  <si>
    <t>GSS  Deleted</t>
  </si>
  <si>
    <t>NGV</t>
  </si>
  <si>
    <t>F-1</t>
  </si>
  <si>
    <t>Total Utah Firm</t>
  </si>
  <si>
    <t>Interruptible</t>
  </si>
  <si>
    <t>I-4 Plus IS-4</t>
  </si>
  <si>
    <t>IS-4 Deleted</t>
  </si>
  <si>
    <t>E-1</t>
  </si>
  <si>
    <t>Total Utah Interruptible</t>
  </si>
  <si>
    <t>Total Utah Sales</t>
  </si>
  <si>
    <t>Transportation</t>
  </si>
  <si>
    <t>FT-1</t>
  </si>
  <si>
    <t>FT-1L</t>
  </si>
  <si>
    <t>FT-2C</t>
  </si>
  <si>
    <t>MT</t>
  </si>
  <si>
    <t xml:space="preserve">IT, FT-2 &amp; IT-S New TS </t>
  </si>
  <si>
    <t>IT-S Deleted</t>
  </si>
  <si>
    <t>Total Utah Transportation</t>
  </si>
  <si>
    <t>Utah Total Tariff DNG Revenues</t>
  </si>
  <si>
    <t>Utah Other DNG Revenues</t>
  </si>
  <si>
    <t>Utah Total DNG Revenues</t>
  </si>
  <si>
    <t>New Revenue &gt;</t>
  </si>
  <si>
    <t>Total Utah Cost of Service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</si>
</sst>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#,##0.000_);\(#,##0.000\)"/>
    <numFmt numFmtId="171" formatCode="0.000_);\(0.000\)"/>
    <numFmt numFmtId="172" formatCode="0_);\(0\)"/>
    <numFmt numFmtId="173" formatCode="mmm\-yy_)"/>
    <numFmt numFmtId="174" formatCode="#,##0.0000000_);\(#,##0.0000000\)"/>
    <numFmt numFmtId="175" formatCode="#,##0.0000_);\(#,##0.0000\)"/>
    <numFmt numFmtId="176" formatCode="mmmm\-yy"/>
    <numFmt numFmtId="177" formatCode="dd\-mmm\-yy"/>
    <numFmt numFmtId="178" formatCode="#,##0.00000_);\(#,##0.00000\)"/>
    <numFmt numFmtId="179" formatCode="#,##0.000000_);\(#,##0.000000\)"/>
    <numFmt numFmtId="180" formatCode="0.0000"/>
    <numFmt numFmtId="181" formatCode="_(&quot;$&quot;* #,##0_);_(&quot;$&quot;* \(#,##0\);_(&quot;$&quot;* &quot;-&quot;??_);_(@_)"/>
    <numFmt numFmtId="182" formatCode="&quot;$&quot;#,##0"/>
    <numFmt numFmtId="183" formatCode="mmmm\ d\,\ yyyy\ \ \ h:mm\ AM/PM"/>
    <numFmt numFmtId="184" formatCode="0.0000000%"/>
    <numFmt numFmtId="185" formatCode="[$-409]mmm\-yy;@"/>
    <numFmt numFmtId="186" formatCode="mm/dd/yy"/>
    <numFmt numFmtId="187" formatCode="_(* #,##0.0_);_(* \(#,##0.0\);_(* &quot;-&quot;??_);_(@_)"/>
    <numFmt numFmtId="188" formatCode="_(* #,##0.000_);_(* \(#,##0.000\);_(* &quot;-&quot;??_);_(@_)"/>
    <numFmt numFmtId="189" formatCode="#,##0.0_);\(#,##0.0\)"/>
    <numFmt numFmtId="190" formatCode="0.0"/>
    <numFmt numFmtId="191" formatCode="0.00000"/>
    <numFmt numFmtId="192" formatCode="&quot;$&quot;#,##0.00000_);\(&quot;$&quot;#,##0.00000\)"/>
    <numFmt numFmtId="193" formatCode="&quot;$&quot;#,##0.0000_);\(&quot;$&quot;#,##0.0000\)"/>
    <numFmt numFmtId="194" formatCode="mmmm\ d\,\ yyyy"/>
    <numFmt numFmtId="195" formatCode="0.0000000_)"/>
    <numFmt numFmtId="196" formatCode="0.00000_);\(0.00000\)"/>
    <numFmt numFmtId="197" formatCode="0.000000_);\(0.000000\)"/>
    <numFmt numFmtId="198" formatCode="_(&quot;$&quot;* #,##0.0000_);_(&quot;$&quot;* \(#,##0.0000\);_(&quot;$&quot;* &quot;-&quot;??_);_(@_)"/>
    <numFmt numFmtId="199" formatCode="\$#,##0_);\(\$#,##0\)"/>
    <numFmt numFmtId="200" formatCode="[$-409]dddd\,\ mmmm\ dd\,\ yyyy"/>
    <numFmt numFmtId="201" formatCode="mmm\-yyyy"/>
    <numFmt numFmtId="202" formatCode="&quot;$&quot;#,##0.00000"/>
    <numFmt numFmtId="203" formatCode="&quot;$&quot;#,##0.00"/>
    <numFmt numFmtId="204" formatCode="_(&quot;$&quot;* #,##0.00000_);_(&quot;$&quot;* \(#,##0.00000\);_(&quot;$&quot;* &quot;-&quot;??_);_(@_)"/>
    <numFmt numFmtId="205" formatCode="_(* #,##0.0000_);_(* \(#,##0.0000\);_(* &quot;-&quot;??_);_(@_)"/>
    <numFmt numFmtId="206" formatCode="[$-409]d\-mmm\-yyyy;@"/>
    <numFmt numFmtId="207" formatCode="0.0000000000%"/>
    <numFmt numFmtId="208" formatCode="#,##0.000"/>
    <numFmt numFmtId="209" formatCode="0.000000000000000%"/>
    <numFmt numFmtId="210" formatCode="0.00_);\(0.00\)"/>
    <numFmt numFmtId="211" formatCode="0.0_);\(0.0\)"/>
    <numFmt numFmtId="212" formatCode="0.00000000%"/>
    <numFmt numFmtId="213" formatCode="0.000000000%"/>
    <numFmt numFmtId="214" formatCode="0.000000"/>
    <numFmt numFmtId="215" formatCode="&quot;$&quot;#,##0.000_);\(&quot;$&quot;#,##0.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>
        <color indexed="63"/>
      </right>
      <top/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double"/>
    </border>
    <border>
      <left>
        <color indexed="63"/>
      </left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3" fillId="0" borderId="9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23" fillId="0" borderId="9" xfId="0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214" fontId="0" fillId="0" borderId="0" xfId="0" applyNumberFormat="1" applyFont="1" applyAlignment="1">
      <alignment/>
    </xf>
    <xf numFmtId="0" fontId="23" fillId="25" borderId="0" xfId="0" applyFont="1" applyFill="1" applyBorder="1" applyAlignment="1" applyProtection="1" quotePrefix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23" fillId="26" borderId="0" xfId="0" applyFont="1" applyFill="1" applyAlignment="1">
      <alignment horizontal="center"/>
    </xf>
    <xf numFmtId="0" fontId="23" fillId="0" borderId="9" xfId="0" applyFont="1" applyFill="1" applyBorder="1" applyAlignment="1">
      <alignment/>
    </xf>
    <xf numFmtId="3" fontId="23" fillId="0" borderId="9" xfId="0" applyNumberFormat="1" applyFont="1" applyFill="1" applyBorder="1" applyAlignment="1" applyProtection="1">
      <alignment horizontal="center"/>
      <protection/>
    </xf>
    <xf numFmtId="0" fontId="23" fillId="0" borderId="9" xfId="0" applyFont="1" applyFill="1" applyBorder="1" applyAlignment="1" applyProtection="1" quotePrefix="1">
      <alignment horizontal="center"/>
      <protection/>
    </xf>
    <xf numFmtId="0" fontId="23" fillId="26" borderId="9" xfId="0" applyFont="1" applyFill="1" applyBorder="1" applyAlignment="1" applyProtection="1">
      <alignment horizontal="center"/>
      <protection/>
    </xf>
    <xf numFmtId="37" fontId="0" fillId="0" borderId="18" xfId="0" applyNumberFormat="1" applyFont="1" applyBorder="1" applyAlignment="1">
      <alignment/>
    </xf>
    <xf numFmtId="0" fontId="25" fillId="0" borderId="0" xfId="0" applyFont="1" applyFill="1" applyBorder="1" applyAlignment="1" applyProtection="1" quotePrefix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 quotePrefix="1">
      <alignment horizontal="center"/>
      <protection/>
    </xf>
    <xf numFmtId="37" fontId="25" fillId="0" borderId="0" xfId="0" applyNumberFormat="1" applyFont="1" applyFill="1" applyAlignment="1">
      <alignment/>
    </xf>
    <xf numFmtId="178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 applyProtection="1">
      <alignment/>
      <protection/>
    </xf>
    <xf numFmtId="195" fontId="0" fillId="0" borderId="0" xfId="0" applyNumberFormat="1" applyFont="1" applyFill="1" applyBorder="1" applyAlignment="1" applyProtection="1">
      <alignment/>
      <protection/>
    </xf>
    <xf numFmtId="178" fontId="25" fillId="26" borderId="0" xfId="0" applyNumberFormat="1" applyFont="1" applyFill="1" applyAlignment="1">
      <alignment/>
    </xf>
    <xf numFmtId="178" fontId="0" fillId="0" borderId="18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 applyProtection="1" quotePrefix="1">
      <alignment horizontal="center"/>
      <protection/>
    </xf>
    <xf numFmtId="191" fontId="0" fillId="0" borderId="0" xfId="0" applyNumberFormat="1" applyFont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Fill="1" applyBorder="1" applyAlignment="1" applyProtection="1" quotePrefix="1">
      <alignment horizontal="left"/>
      <protection/>
    </xf>
    <xf numFmtId="37" fontId="25" fillId="25" borderId="19" xfId="0" applyNumberFormat="1" applyFont="1" applyFill="1" applyBorder="1" applyAlignment="1">
      <alignment/>
    </xf>
    <xf numFmtId="192" fontId="25" fillId="0" borderId="19" xfId="0" applyNumberFormat="1" applyFont="1" applyFill="1" applyBorder="1" applyAlignment="1">
      <alignment/>
    </xf>
    <xf numFmtId="37" fontId="25" fillId="0" borderId="19" xfId="0" applyNumberFormat="1" applyFont="1" applyFill="1" applyBorder="1" applyAlignment="1">
      <alignment/>
    </xf>
    <xf numFmtId="37" fontId="0" fillId="0" borderId="19" xfId="0" applyNumberFormat="1" applyFont="1" applyBorder="1" applyAlignment="1">
      <alignment/>
    </xf>
    <xf numFmtId="10" fontId="25" fillId="26" borderId="19" xfId="59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3" fontId="0" fillId="0" borderId="0" xfId="0" applyNumberFormat="1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right"/>
      <protection/>
    </xf>
    <xf numFmtId="192" fontId="0" fillId="26" borderId="0" xfId="0" applyNumberFormat="1" applyFont="1" applyFill="1" applyAlignment="1">
      <alignment/>
    </xf>
    <xf numFmtId="0" fontId="23" fillId="0" borderId="9" xfId="0" applyFont="1" applyFill="1" applyBorder="1" applyAlignment="1">
      <alignment horizontal="left"/>
    </xf>
    <xf numFmtId="0" fontId="27" fillId="0" borderId="9" xfId="0" applyFont="1" applyFill="1" applyBorder="1" applyAlignment="1" applyProtection="1">
      <alignment/>
      <protection/>
    </xf>
    <xf numFmtId="3" fontId="27" fillId="0" borderId="9" xfId="0" applyNumberFormat="1" applyFont="1" applyFill="1" applyBorder="1" applyAlignment="1" applyProtection="1">
      <alignment horizontal="center"/>
      <protection/>
    </xf>
    <xf numFmtId="0" fontId="23" fillId="26" borderId="9" xfId="0" applyFont="1" applyFill="1" applyBorder="1" applyAlignment="1" applyProtection="1" quotePrefix="1">
      <alignment horizontal="center"/>
      <protection/>
    </xf>
    <xf numFmtId="16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37" fontId="0" fillId="0" borderId="19" xfId="0" applyNumberFormat="1" applyFont="1" applyFill="1" applyBorder="1" applyAlignment="1" applyProtection="1">
      <alignment/>
      <protection/>
    </xf>
    <xf numFmtId="166" fontId="0" fillId="0" borderId="0" xfId="59" applyNumberFormat="1" applyFont="1" applyFill="1" applyAlignment="1" applyProtection="1">
      <alignment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7" fontId="2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39" fontId="0" fillId="26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10" fontId="27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189" fontId="25" fillId="0" borderId="19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26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37" fontId="0" fillId="0" borderId="22" xfId="0" applyNumberFormat="1" applyFont="1" applyFill="1" applyBorder="1" applyAlignment="1" applyProtection="1">
      <alignment/>
      <protection/>
    </xf>
    <xf numFmtId="166" fontId="0" fillId="26" borderId="0" xfId="59" applyNumberFormat="1" applyFont="1" applyFill="1" applyBorder="1" applyAlignment="1" applyProtection="1">
      <alignment/>
      <protection/>
    </xf>
    <xf numFmtId="166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/>
    </xf>
    <xf numFmtId="39" fontId="0" fillId="0" borderId="19" xfId="0" applyNumberFormat="1" applyFont="1" applyFill="1" applyBorder="1" applyAlignment="1">
      <alignment/>
    </xf>
    <xf numFmtId="39" fontId="0" fillId="26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 applyProtection="1">
      <alignment/>
      <protection/>
    </xf>
    <xf numFmtId="5" fontId="25" fillId="0" borderId="0" xfId="0" applyNumberFormat="1" applyFont="1" applyFill="1" applyAlignment="1" applyProtection="1">
      <alignment/>
      <protection/>
    </xf>
    <xf numFmtId="37" fontId="0" fillId="0" borderId="9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5" fontId="23" fillId="0" borderId="23" xfId="0" applyNumberFormat="1" applyFont="1" applyFill="1" applyBorder="1" applyAlignment="1" applyProtection="1">
      <alignment/>
      <protection/>
    </xf>
    <xf numFmtId="5" fontId="0" fillId="0" borderId="23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5" fontId="0" fillId="25" borderId="0" xfId="0" applyNumberFormat="1" applyFont="1" applyFill="1" applyBorder="1" applyAlignment="1" applyProtection="1">
      <alignment/>
      <protection/>
    </xf>
    <xf numFmtId="10" fontId="25" fillId="26" borderId="0" xfId="59" applyNumberFormat="1" applyFont="1" applyFill="1" applyBorder="1" applyAlignment="1">
      <alignment/>
    </xf>
    <xf numFmtId="0" fontId="23" fillId="0" borderId="0" xfId="0" applyFont="1" applyFill="1" applyAlignment="1" applyProtection="1" quotePrefix="1">
      <alignment horizontal="left"/>
      <protection/>
    </xf>
    <xf numFmtId="0" fontId="23" fillId="0" borderId="0" xfId="0" applyFont="1" applyFill="1" applyBorder="1" applyAlignment="1">
      <alignment horizontal="right"/>
    </xf>
    <xf numFmtId="0" fontId="23" fillId="0" borderId="24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 quotePrefix="1">
      <alignment horizontal="center"/>
      <protection/>
    </xf>
    <xf numFmtId="37" fontId="25" fillId="0" borderId="25" xfId="0" applyNumberFormat="1" applyFont="1" applyFill="1" applyBorder="1" applyAlignment="1">
      <alignment/>
    </xf>
    <xf numFmtId="37" fontId="25" fillId="0" borderId="26" xfId="0" applyNumberFormat="1" applyFont="1" applyFill="1" applyBorder="1" applyAlignment="1">
      <alignment/>
    </xf>
    <xf numFmtId="37" fontId="25" fillId="0" borderId="27" xfId="0" applyNumberFormat="1" applyFont="1" applyFill="1" applyBorder="1" applyAlignment="1">
      <alignment/>
    </xf>
    <xf numFmtId="37" fontId="25" fillId="25" borderId="0" xfId="0" applyNumberFormat="1" applyFont="1" applyFill="1" applyBorder="1" applyAlignment="1">
      <alignment/>
    </xf>
    <xf numFmtId="178" fontId="25" fillId="0" borderId="19" xfId="0" applyNumberFormat="1" applyFont="1" applyFill="1" applyBorder="1" applyAlignment="1">
      <alignment/>
    </xf>
    <xf numFmtId="167" fontId="0" fillId="0" borderId="0" xfId="59" applyNumberFormat="1" applyFont="1" applyFill="1" applyAlignment="1" applyProtection="1">
      <alignment/>
      <protection/>
    </xf>
    <xf numFmtId="166" fontId="0" fillId="26" borderId="0" xfId="59" applyNumberFormat="1" applyFont="1" applyFill="1" applyAlignment="1" applyProtection="1">
      <alignment/>
      <protection/>
    </xf>
    <xf numFmtId="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9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0" fontId="0" fillId="0" borderId="20" xfId="0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3" fillId="4" borderId="9" xfId="0" applyFont="1" applyFill="1" applyBorder="1" applyAlignment="1" applyProtection="1">
      <alignment horizontal="center"/>
      <protection/>
    </xf>
    <xf numFmtId="178" fontId="25" fillId="4" borderId="0" xfId="0" applyNumberFormat="1" applyFont="1" applyFill="1" applyAlignment="1">
      <alignment/>
    </xf>
    <xf numFmtId="192" fontId="25" fillId="4" borderId="19" xfId="0" applyNumberFormat="1" applyFont="1" applyFill="1" applyBorder="1" applyAlignment="1">
      <alignment/>
    </xf>
    <xf numFmtId="192" fontId="0" fillId="4" borderId="0" xfId="0" applyNumberFormat="1" applyFont="1" applyFill="1" applyAlignment="1">
      <alignment/>
    </xf>
    <xf numFmtId="0" fontId="23" fillId="4" borderId="9" xfId="0" applyFont="1" applyFill="1" applyBorder="1" applyAlignment="1" applyProtection="1" quotePrefix="1">
      <alignment horizontal="center"/>
      <protection/>
    </xf>
    <xf numFmtId="0" fontId="0" fillId="4" borderId="0" xfId="0" applyFont="1" applyFill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10" fontId="25" fillId="0" borderId="0" xfId="0" applyNumberFormat="1" applyFont="1" applyFill="1" applyBorder="1" applyAlignment="1" applyProtection="1">
      <alignment/>
      <protection/>
    </xf>
    <xf numFmtId="39" fontId="0" fillId="4" borderId="0" xfId="0" applyNumberFormat="1" applyFont="1" applyFill="1" applyAlignment="1">
      <alignment/>
    </xf>
    <xf numFmtId="0" fontId="23" fillId="0" borderId="0" xfId="0" applyFont="1" applyFill="1" applyBorder="1" applyAlignment="1" applyProtection="1" quotePrefix="1">
      <alignment horizontal="left"/>
      <protection/>
    </xf>
    <xf numFmtId="37" fontId="25" fillId="25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37" fontId="25" fillId="25" borderId="29" xfId="0" applyNumberFormat="1" applyFont="1" applyFill="1" applyBorder="1" applyAlignment="1">
      <alignment/>
    </xf>
    <xf numFmtId="192" fontId="25" fillId="0" borderId="30" xfId="0" applyNumberFormat="1" applyFont="1" applyFill="1" applyBorder="1" applyAlignment="1">
      <alignment/>
    </xf>
    <xf numFmtId="37" fontId="23" fillId="0" borderId="26" xfId="0" applyNumberFormat="1" applyFont="1" applyFill="1" applyBorder="1" applyAlignment="1">
      <alignment/>
    </xf>
    <xf numFmtId="37" fontId="23" fillId="0" borderId="27" xfId="0" applyNumberFormat="1" applyFont="1" applyFill="1" applyBorder="1" applyAlignment="1">
      <alignment horizontal="center"/>
    </xf>
    <xf numFmtId="10" fontId="0" fillId="0" borderId="9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37" fontId="25" fillId="0" borderId="0" xfId="0" applyNumberFormat="1" applyFont="1" applyFill="1" applyAlignment="1">
      <alignment horizontal="center"/>
    </xf>
    <xf numFmtId="37" fontId="25" fillId="0" borderId="29" xfId="0" applyNumberFormat="1" applyFont="1" applyFill="1" applyBorder="1" applyAlignment="1">
      <alignment/>
    </xf>
    <xf numFmtId="37" fontId="0" fillId="0" borderId="27" xfId="0" applyNumberFormat="1" applyFont="1" applyFill="1" applyBorder="1" applyAlignment="1">
      <alignment/>
    </xf>
    <xf numFmtId="37" fontId="23" fillId="0" borderId="0" xfId="0" applyNumberFormat="1" applyFont="1" applyFill="1" applyAlignment="1">
      <alignment horizontal="center"/>
    </xf>
    <xf numFmtId="5" fontId="0" fillId="26" borderId="0" xfId="0" applyNumberFormat="1" applyFont="1" applyFill="1" applyAlignment="1" applyProtection="1">
      <alignment/>
      <protection/>
    </xf>
    <xf numFmtId="37" fontId="25" fillId="0" borderId="31" xfId="0" applyNumberFormat="1" applyFont="1" applyFill="1" applyBorder="1" applyAlignment="1">
      <alignment/>
    </xf>
    <xf numFmtId="37" fontId="0" fillId="0" borderId="24" xfId="0" applyNumberFormat="1" applyFont="1" applyFill="1" applyBorder="1" applyAlignment="1" applyProtection="1">
      <alignment/>
      <protection/>
    </xf>
    <xf numFmtId="0" fontId="0" fillId="26" borderId="9" xfId="0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5" fontId="2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0" fillId="0" borderId="32" xfId="0" applyFont="1" applyBorder="1" applyAlignment="1">
      <alignment/>
    </xf>
    <xf numFmtId="39" fontId="0" fillId="4" borderId="0" xfId="0" applyNumberFormat="1" applyFont="1" applyFill="1" applyAlignment="1" applyProtection="1">
      <alignment/>
      <protection/>
    </xf>
    <xf numFmtId="7" fontId="0" fillId="4" borderId="19" xfId="0" applyNumberFormat="1" applyFont="1" applyFill="1" applyBorder="1" applyAlignment="1" applyProtection="1">
      <alignment/>
      <protection/>
    </xf>
    <xf numFmtId="7" fontId="0" fillId="0" borderId="19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 quotePrefix="1">
      <alignment horizontal="center"/>
      <protection/>
    </xf>
    <xf numFmtId="0" fontId="23" fillId="4" borderId="0" xfId="0" applyFont="1" applyFill="1" applyBorder="1" applyAlignment="1" applyProtection="1" quotePrefix="1">
      <alignment horizontal="center"/>
      <protection/>
    </xf>
    <xf numFmtId="0" fontId="0" fillId="0" borderId="9" xfId="0" applyFont="1" applyBorder="1" applyAlignment="1">
      <alignment/>
    </xf>
    <xf numFmtId="37" fontId="25" fillId="0" borderId="0" xfId="0" applyNumberFormat="1" applyFont="1" applyFill="1" applyBorder="1" applyAlignment="1">
      <alignment/>
    </xf>
    <xf numFmtId="192" fontId="25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 applyProtection="1">
      <alignment horizontal="right"/>
      <protection/>
    </xf>
    <xf numFmtId="10" fontId="0" fillId="0" borderId="9" xfId="0" applyNumberFormat="1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37" fontId="25" fillId="4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39" fontId="0" fillId="26" borderId="0" xfId="0" applyNumberFormat="1" applyFont="1" applyFill="1" applyAlignment="1" applyProtection="1">
      <alignment/>
      <protection/>
    </xf>
    <xf numFmtId="7" fontId="0" fillId="26" borderId="19" xfId="0" applyNumberFormat="1" applyFont="1" applyFill="1" applyBorder="1" applyAlignment="1" applyProtection="1">
      <alignment/>
      <protection/>
    </xf>
    <xf numFmtId="0" fontId="23" fillId="26" borderId="0" xfId="0" applyFont="1" applyFill="1" applyBorder="1" applyAlignment="1" applyProtection="1" quotePrefix="1">
      <alignment horizontal="center"/>
      <protection/>
    </xf>
    <xf numFmtId="182" fontId="25" fillId="0" borderId="0" xfId="0" applyNumberFormat="1" applyFont="1" applyFill="1" applyAlignment="1">
      <alignment/>
    </xf>
    <xf numFmtId="182" fontId="25" fillId="0" borderId="3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7" fontId="0" fillId="26" borderId="0" xfId="0" applyNumberFormat="1" applyFont="1" applyFill="1" applyBorder="1" applyAlignment="1" applyProtection="1">
      <alignment/>
      <protection/>
    </xf>
    <xf numFmtId="37" fontId="25" fillId="0" borderId="9" xfId="0" applyNumberFormat="1" applyFont="1" applyFill="1" applyBorder="1" applyAlignment="1">
      <alignment/>
    </xf>
    <xf numFmtId="7" fontId="0" fillId="26" borderId="0" xfId="0" applyNumberFormat="1" applyFont="1" applyFill="1" applyAlignment="1" applyProtection="1">
      <alignment/>
      <protection/>
    </xf>
    <xf numFmtId="37" fontId="0" fillId="0" borderId="31" xfId="0" applyNumberFormat="1" applyFont="1" applyFill="1" applyBorder="1" applyAlignment="1">
      <alignment/>
    </xf>
    <xf numFmtId="37" fontId="0" fillId="25" borderId="24" xfId="0" applyNumberFormat="1" applyFont="1" applyFill="1" applyBorder="1" applyAlignment="1" applyProtection="1">
      <alignment/>
      <protection/>
    </xf>
    <xf numFmtId="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7" fontId="12" fillId="0" borderId="0" xfId="53" applyNumberFormat="1" applyAlignment="1">
      <alignment/>
    </xf>
    <xf numFmtId="0" fontId="0" fillId="26" borderId="11" xfId="0" applyFont="1" applyFill="1" applyBorder="1" applyAlignment="1">
      <alignment/>
    </xf>
    <xf numFmtId="0" fontId="0" fillId="26" borderId="32" xfId="0" applyFont="1" applyFill="1" applyBorder="1" applyAlignment="1">
      <alignment/>
    </xf>
    <xf numFmtId="3" fontId="0" fillId="26" borderId="32" xfId="0" applyNumberFormat="1" applyFont="1" applyFill="1" applyBorder="1" applyAlignment="1">
      <alignment horizontal="center"/>
    </xf>
    <xf numFmtId="0" fontId="23" fillId="26" borderId="32" xfId="0" applyFont="1" applyFill="1" applyBorder="1" applyAlignment="1" applyProtection="1">
      <alignment horizontal="center"/>
      <protection/>
    </xf>
    <xf numFmtId="0" fontId="23" fillId="26" borderId="12" xfId="0" applyFont="1" applyFill="1" applyBorder="1" applyAlignment="1" applyProtection="1">
      <alignment horizontal="center"/>
      <protection/>
    </xf>
    <xf numFmtId="0" fontId="0" fillId="26" borderId="11" xfId="0" applyFont="1" applyFill="1" applyBorder="1" applyAlignment="1" applyProtection="1">
      <alignment/>
      <protection/>
    </xf>
    <xf numFmtId="0" fontId="0" fillId="26" borderId="12" xfId="0" applyFont="1" applyFill="1" applyBorder="1" applyAlignment="1">
      <alignment/>
    </xf>
    <xf numFmtId="0" fontId="23" fillId="26" borderId="17" xfId="0" applyFont="1" applyFill="1" applyBorder="1" applyAlignment="1" applyProtection="1" quotePrefix="1">
      <alignment horizontal="left"/>
      <protection/>
    </xf>
    <xf numFmtId="0" fontId="0" fillId="26" borderId="0" xfId="0" applyFont="1" applyFill="1" applyBorder="1" applyAlignment="1" applyProtection="1">
      <alignment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/>
    </xf>
    <xf numFmtId="0" fontId="23" fillId="26" borderId="18" xfId="0" applyFont="1" applyFill="1" applyBorder="1" applyAlignment="1" applyProtection="1">
      <alignment horizontal="center"/>
      <protection/>
    </xf>
    <xf numFmtId="0" fontId="0" fillId="26" borderId="17" xfId="0" applyFont="1" applyFill="1" applyBorder="1" applyAlignment="1">
      <alignment/>
    </xf>
    <xf numFmtId="3" fontId="0" fillId="26" borderId="0" xfId="0" applyNumberFormat="1" applyFont="1" applyFill="1" applyBorder="1" applyAlignment="1">
      <alignment horizontal="center"/>
    </xf>
    <xf numFmtId="0" fontId="0" fillId="26" borderId="9" xfId="0" applyFont="1" applyFill="1" applyBorder="1" applyAlignment="1">
      <alignment/>
    </xf>
    <xf numFmtId="0" fontId="0" fillId="26" borderId="9" xfId="0" applyFont="1" applyFill="1" applyBorder="1" applyAlignment="1" applyProtection="1" quotePrefix="1">
      <alignment horizontal="center"/>
      <protection/>
    </xf>
    <xf numFmtId="0" fontId="0" fillId="26" borderId="9" xfId="0" applyFont="1" applyFill="1" applyBorder="1" applyAlignment="1">
      <alignment horizontal="center"/>
    </xf>
    <xf numFmtId="0" fontId="23" fillId="26" borderId="21" xfId="0" applyFont="1" applyFill="1" applyBorder="1" applyAlignment="1" applyProtection="1" quotePrefix="1">
      <alignment horizontal="center"/>
      <protection/>
    </xf>
    <xf numFmtId="0" fontId="0" fillId="26" borderId="0" xfId="0" applyFont="1" applyFill="1" applyBorder="1" applyAlignment="1">
      <alignment horizontal="left"/>
    </xf>
    <xf numFmtId="37" fontId="0" fillId="26" borderId="0" xfId="0" applyNumberFormat="1" applyFont="1" applyFill="1" applyBorder="1" applyAlignment="1">
      <alignment/>
    </xf>
    <xf numFmtId="5" fontId="0" fillId="26" borderId="0" xfId="0" applyNumberFormat="1" applyFont="1" applyFill="1" applyBorder="1" applyAlignment="1">
      <alignment/>
    </xf>
    <xf numFmtId="5" fontId="0" fillId="26" borderId="18" xfId="0" applyNumberFormat="1" applyFont="1" applyFill="1" applyBorder="1" applyAlignment="1">
      <alignment/>
    </xf>
    <xf numFmtId="37" fontId="0" fillId="26" borderId="17" xfId="0" applyNumberFormat="1" applyFont="1" applyFill="1" applyBorder="1" applyAlignment="1">
      <alignment/>
    </xf>
    <xf numFmtId="5" fontId="0" fillId="26" borderId="18" xfId="0" applyNumberFormat="1" applyFont="1" applyFill="1" applyBorder="1" applyAlignment="1">
      <alignment/>
    </xf>
    <xf numFmtId="37" fontId="0" fillId="26" borderId="18" xfId="0" applyNumberFormat="1" applyFont="1" applyFill="1" applyBorder="1" applyAlignment="1">
      <alignment/>
    </xf>
    <xf numFmtId="5" fontId="0" fillId="26" borderId="31" xfId="0" applyNumberFormat="1" applyFont="1" applyFill="1" applyBorder="1" applyAlignment="1">
      <alignment/>
    </xf>
    <xf numFmtId="37" fontId="0" fillId="26" borderId="33" xfId="0" applyNumberFormat="1" applyFont="1" applyFill="1" applyBorder="1" applyAlignment="1">
      <alignment/>
    </xf>
    <xf numFmtId="37" fontId="0" fillId="26" borderId="34" xfId="0" applyNumberFormat="1" applyFont="1" applyFill="1" applyBorder="1" applyAlignment="1">
      <alignment/>
    </xf>
    <xf numFmtId="5" fontId="0" fillId="26" borderId="35" xfId="0" applyNumberFormat="1" applyFont="1" applyFill="1" applyBorder="1" applyAlignment="1">
      <alignment/>
    </xf>
    <xf numFmtId="37" fontId="0" fillId="26" borderId="19" xfId="0" applyNumberFormat="1" applyFont="1" applyFill="1" applyBorder="1" applyAlignment="1">
      <alignment/>
    </xf>
    <xf numFmtId="0" fontId="0" fillId="26" borderId="19" xfId="0" applyFont="1" applyFill="1" applyBorder="1" applyAlignment="1">
      <alignment/>
    </xf>
    <xf numFmtId="5" fontId="0" fillId="26" borderId="19" xfId="0" applyNumberFormat="1" applyFont="1" applyFill="1" applyBorder="1" applyAlignment="1">
      <alignment/>
    </xf>
    <xf numFmtId="5" fontId="0" fillId="26" borderId="36" xfId="0" applyNumberFormat="1" applyFont="1" applyFill="1" applyBorder="1" applyAlignment="1">
      <alignment/>
    </xf>
    <xf numFmtId="37" fontId="0" fillId="26" borderId="37" xfId="0" applyNumberFormat="1" applyFont="1" applyFill="1" applyBorder="1" applyAlignment="1" applyProtection="1">
      <alignment/>
      <protection/>
    </xf>
    <xf numFmtId="5" fontId="0" fillId="26" borderId="36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26" borderId="17" xfId="0" applyFont="1" applyFill="1" applyBorder="1" applyAlignment="1" applyProtection="1">
      <alignment/>
      <protection/>
    </xf>
    <xf numFmtId="0" fontId="0" fillId="26" borderId="18" xfId="0" applyFont="1" applyFill="1" applyBorder="1" applyAlignment="1">
      <alignment/>
    </xf>
    <xf numFmtId="37" fontId="0" fillId="26" borderId="37" xfId="0" applyNumberFormat="1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0" fillId="26" borderId="0" xfId="0" applyFont="1" applyFill="1" applyBorder="1" applyAlignment="1" quotePrefix="1">
      <alignment horizontal="left"/>
    </xf>
    <xf numFmtId="37" fontId="0" fillId="26" borderId="38" xfId="0" applyNumberFormat="1" applyFont="1" applyFill="1" applyBorder="1" applyAlignment="1" applyProtection="1">
      <alignment/>
      <protection/>
    </xf>
    <xf numFmtId="5" fontId="0" fillId="26" borderId="39" xfId="0" applyNumberFormat="1" applyFont="1" applyFill="1" applyBorder="1" applyAlignment="1">
      <alignment/>
    </xf>
    <xf numFmtId="0" fontId="0" fillId="26" borderId="23" xfId="0" applyFont="1" applyFill="1" applyBorder="1" applyAlignment="1">
      <alignment/>
    </xf>
    <xf numFmtId="0" fontId="0" fillId="26" borderId="40" xfId="0" applyFont="1" applyFill="1" applyBorder="1" applyAlignment="1">
      <alignment/>
    </xf>
    <xf numFmtId="0" fontId="0" fillId="0" borderId="0" xfId="0" applyFont="1" applyBorder="1" applyAlignment="1">
      <alignment/>
    </xf>
    <xf numFmtId="37" fontId="0" fillId="26" borderId="36" xfId="0" applyNumberFormat="1" applyFont="1" applyFill="1" applyBorder="1" applyAlignment="1">
      <alignment/>
    </xf>
    <xf numFmtId="0" fontId="0" fillId="26" borderId="20" xfId="0" applyFont="1" applyFill="1" applyBorder="1" applyAlignment="1">
      <alignment/>
    </xf>
    <xf numFmtId="5" fontId="0" fillId="26" borderId="21" xfId="0" applyNumberFormat="1" applyFont="1" applyFill="1" applyBorder="1" applyAlignment="1">
      <alignment/>
    </xf>
    <xf numFmtId="5" fontId="0" fillId="0" borderId="0" xfId="0" applyNumberFormat="1" applyFont="1" applyAlignment="1">
      <alignment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41" xfId="0" applyFont="1" applyFill="1" applyBorder="1" applyAlignment="1" applyProtection="1">
      <alignment horizontal="center"/>
      <protection/>
    </xf>
    <xf numFmtId="178" fontId="25" fillId="0" borderId="17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5" fontId="0" fillId="0" borderId="17" xfId="0" applyNumberFormat="1" applyFont="1" applyFill="1" applyBorder="1" applyAlignment="1" applyProtection="1">
      <alignment horizontal="center"/>
      <protection/>
    </xf>
    <xf numFmtId="5" fontId="0" fillId="0" borderId="0" xfId="0" applyNumberFormat="1" applyFont="1" applyFill="1" applyBorder="1" applyAlignment="1" applyProtection="1">
      <alignment horizontal="center"/>
      <protection/>
    </xf>
    <xf numFmtId="0" fontId="23" fillId="0" borderId="1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26" borderId="44" xfId="0" applyFont="1" applyFill="1" applyBorder="1" applyAlignment="1" applyProtection="1">
      <alignment horizontal="center"/>
      <protection/>
    </xf>
    <xf numFmtId="0" fontId="23" fillId="26" borderId="45" xfId="0" applyFont="1" applyFill="1" applyBorder="1" applyAlignment="1" applyProtection="1">
      <alignment horizontal="center"/>
      <protection/>
    </xf>
    <xf numFmtId="0" fontId="23" fillId="26" borderId="46" xfId="0" applyFont="1" applyFill="1" applyBorder="1" applyAlignment="1" applyProtection="1">
      <alignment horizontal="center"/>
      <protection/>
    </xf>
    <xf numFmtId="0" fontId="23" fillId="26" borderId="33" xfId="0" applyFont="1" applyFill="1" applyBorder="1" applyAlignment="1" applyProtection="1">
      <alignment horizontal="center"/>
      <protection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0" xfId="0" applyFont="1" applyFill="1" applyAlignment="1" applyProtection="1" quotePrefix="1">
      <alignment horizontal="center"/>
      <protection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center"/>
    </xf>
    <xf numFmtId="0" fontId="23" fillId="0" borderId="9" xfId="0" applyFont="1" applyFill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Barrow\LOCALS~1\Temp\XPgrpwise\DPU%20CCOS%20&amp;%20Rate%20De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compare\UT\2002RESUL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ingFiles\2008\Utah%20Queststar\Rev%20Req\My%20Proof%20of%20Revenue%20QGC%20Aug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Taxes"/>
      <sheetName val="Compare"/>
      <sheetName val="FILED Adjustments"/>
      <sheetName val="Settlement 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Bank PTO"/>
      <sheetName val="Donations"/>
      <sheetName val="19-Advertising"/>
      <sheetName val="Incentive"/>
      <sheetName val="Stock Incentives"/>
      <sheetName val="ST TAX"/>
      <sheetName val="R&amp;D FUNDS"/>
      <sheetName val="Sporting Events"/>
      <sheetName val="Other Rev"/>
      <sheetName val="Revenue"/>
      <sheetName val="BOOKED DEC 07 REV"/>
      <sheetName val="cet rev with new normals"/>
      <sheetName val="FORCST WITH CET REV DEC 2008 "/>
      <sheetName val="REV SUMMARY"/>
      <sheetName val="Rev by Component"/>
      <sheetName val="Industrial Cust"/>
      <sheetName val="AIRCRAFT"/>
      <sheetName val="IT REV"/>
      <sheetName val="OakCity"/>
      <sheetName val="Lab Adj"/>
      <sheetName val="Utah Bad Debt"/>
      <sheetName val="Capital Str"/>
      <sheetName val="Utah Allocation"/>
      <sheetName val="ALLOCATIONS&amp;PRETAX"/>
      <sheetName val="PRINT MACRO"/>
      <sheetName val="Checks"/>
      <sheetName val="Revenue Class"/>
      <sheetName val="COS Input"/>
      <sheetName val="Dist Plant"/>
      <sheetName val="Dist Throughput"/>
      <sheetName val="COS REVRUN"/>
      <sheetName val="COS Alloc Factors"/>
      <sheetName val="COS Detail"/>
      <sheetName val="IMPACT"/>
      <sheetName val="Table"/>
      <sheetName val="Taxes by Class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urrent Rev"/>
      <sheetName val="Cur Bill Fctr Inp"/>
      <sheetName val="Criteria"/>
      <sheetName val="Checks-2"/>
    </sheetNames>
    <definedNames>
      <definedName name="FSItterate"/>
      <definedName name="FSRevert"/>
      <definedName name="FT1Itterate"/>
      <definedName name="FT1Revert"/>
      <definedName name="GSCItterate"/>
      <definedName name="GSCRevert"/>
      <definedName name="GSRItterate"/>
      <definedName name="GSRRevert"/>
      <definedName name="ISItterate"/>
      <definedName name="ISRevert"/>
      <definedName name="MTItterate"/>
      <definedName name="MTRevert"/>
      <definedName name="TSItterate"/>
      <definedName name="TSRevert"/>
    </definedNames>
    <sheetDataSet>
      <sheetData sheetId="51">
        <row r="85">
          <cell r="F85">
            <v>251104535.8750561</v>
          </cell>
        </row>
      </sheetData>
      <sheetData sheetId="52">
        <row r="102">
          <cell r="G102">
            <v>0.08183558410477158</v>
          </cell>
        </row>
        <row r="164">
          <cell r="G164">
            <v>5974098.95366651</v>
          </cell>
        </row>
      </sheetData>
      <sheetData sheetId="54">
        <row r="8">
          <cell r="M8">
            <v>5</v>
          </cell>
          <cell r="O8">
            <v>5</v>
          </cell>
        </row>
        <row r="9">
          <cell r="M9">
            <v>5</v>
          </cell>
          <cell r="O9">
            <v>6</v>
          </cell>
        </row>
        <row r="10">
          <cell r="M10">
            <v>21</v>
          </cell>
          <cell r="O10">
            <v>36</v>
          </cell>
        </row>
        <row r="11">
          <cell r="M11">
            <v>55</v>
          </cell>
          <cell r="O11">
            <v>135</v>
          </cell>
        </row>
        <row r="12">
          <cell r="M12">
            <v>244</v>
          </cell>
          <cell r="O12">
            <v>416</v>
          </cell>
        </row>
        <row r="13">
          <cell r="M13">
            <v>55</v>
          </cell>
          <cell r="O13">
            <v>135</v>
          </cell>
        </row>
        <row r="14">
          <cell r="M14">
            <v>244</v>
          </cell>
          <cell r="O14">
            <v>416</v>
          </cell>
        </row>
        <row r="16">
          <cell r="M16">
            <v>5</v>
          </cell>
          <cell r="O16">
            <v>5</v>
          </cell>
        </row>
        <row r="17">
          <cell r="M17">
            <v>5</v>
          </cell>
          <cell r="O17">
            <v>6</v>
          </cell>
        </row>
        <row r="18">
          <cell r="M18">
            <v>21</v>
          </cell>
          <cell r="O18">
            <v>36</v>
          </cell>
        </row>
        <row r="19">
          <cell r="M19">
            <v>55</v>
          </cell>
          <cell r="O19">
            <v>135</v>
          </cell>
        </row>
        <row r="20">
          <cell r="M20">
            <v>244</v>
          </cell>
          <cell r="O20">
            <v>416</v>
          </cell>
        </row>
        <row r="21">
          <cell r="M21">
            <v>55</v>
          </cell>
          <cell r="O21">
            <v>135</v>
          </cell>
        </row>
        <row r="22">
          <cell r="M22">
            <v>244</v>
          </cell>
          <cell r="O22">
            <v>416</v>
          </cell>
        </row>
        <row r="24">
          <cell r="M24">
            <v>67</v>
          </cell>
          <cell r="O24">
            <v>135</v>
          </cell>
        </row>
        <row r="26">
          <cell r="M26">
            <v>566.67</v>
          </cell>
          <cell r="O26">
            <v>375</v>
          </cell>
        </row>
        <row r="27">
          <cell r="M27">
            <v>212.5</v>
          </cell>
          <cell r="O27">
            <v>187.5</v>
          </cell>
        </row>
        <row r="29">
          <cell r="M29">
            <v>666.67</v>
          </cell>
          <cell r="O29">
            <v>375</v>
          </cell>
        </row>
        <row r="30">
          <cell r="M30">
            <v>250</v>
          </cell>
          <cell r="O30">
            <v>187.5</v>
          </cell>
        </row>
        <row r="36">
          <cell r="M36">
            <v>22.16</v>
          </cell>
          <cell r="O36">
            <v>22.16</v>
          </cell>
        </row>
        <row r="42">
          <cell r="M42">
            <v>0.9923865</v>
          </cell>
          <cell r="O42">
            <v>0.9923865</v>
          </cell>
        </row>
        <row r="43">
          <cell r="M43">
            <v>0.989895</v>
          </cell>
          <cell r="O43">
            <v>0.989895</v>
          </cell>
        </row>
        <row r="62">
          <cell r="M62">
            <v>7.5</v>
          </cell>
          <cell r="O62">
            <v>7.5</v>
          </cell>
        </row>
        <row r="65">
          <cell r="M65">
            <v>0.0018524</v>
          </cell>
          <cell r="O65">
            <v>0.0018524</v>
          </cell>
        </row>
        <row r="66">
          <cell r="M66">
            <v>27.61</v>
          </cell>
          <cell r="O66">
            <v>27.61</v>
          </cell>
        </row>
        <row r="78">
          <cell r="M78">
            <v>0</v>
          </cell>
          <cell r="O78">
            <v>0</v>
          </cell>
        </row>
        <row r="79">
          <cell r="M79">
            <v>0</v>
          </cell>
          <cell r="O79">
            <v>0</v>
          </cell>
        </row>
        <row r="84">
          <cell r="M84">
            <v>1.65073</v>
          </cell>
        </row>
        <row r="85">
          <cell r="H85">
            <v>0</v>
          </cell>
          <cell r="M85">
            <v>1.95993</v>
          </cell>
        </row>
        <row r="97">
          <cell r="M97">
            <v>1.65073</v>
          </cell>
        </row>
        <row r="98">
          <cell r="M98">
            <v>0.61279</v>
          </cell>
        </row>
        <row r="99">
          <cell r="M99">
            <v>0.61279</v>
          </cell>
        </row>
        <row r="100">
          <cell r="G100" t="str">
            <v>First</v>
          </cell>
          <cell r="H100">
            <v>45</v>
          </cell>
          <cell r="M100">
            <v>1.95993</v>
          </cell>
        </row>
        <row r="101">
          <cell r="G101" t="str">
            <v>Next</v>
          </cell>
          <cell r="H101">
            <v>155</v>
          </cell>
          <cell r="M101">
            <v>0.8137</v>
          </cell>
        </row>
        <row r="102">
          <cell r="G102" t="str">
            <v>All Over</v>
          </cell>
          <cell r="H102">
            <v>200</v>
          </cell>
          <cell r="M102">
            <v>0.8137</v>
          </cell>
        </row>
        <row r="126">
          <cell r="G126" t="str">
            <v>All Over</v>
          </cell>
          <cell r="H126">
            <v>0</v>
          </cell>
          <cell r="M126">
            <v>3.73844</v>
          </cell>
        </row>
        <row r="127">
          <cell r="M127">
            <v>3.84905</v>
          </cell>
        </row>
        <row r="139">
          <cell r="G139" t="str">
            <v>First</v>
          </cell>
          <cell r="M139">
            <v>0.49677</v>
          </cell>
        </row>
        <row r="140">
          <cell r="G140" t="str">
            <v>Next</v>
          </cell>
          <cell r="M140">
            <v>0.43927</v>
          </cell>
        </row>
        <row r="141">
          <cell r="G141" t="str">
            <v>All Over</v>
          </cell>
          <cell r="M141">
            <v>0.35787</v>
          </cell>
        </row>
        <row r="142">
          <cell r="M142">
            <v>0.55552</v>
          </cell>
        </row>
        <row r="143">
          <cell r="M143">
            <v>0.50247</v>
          </cell>
        </row>
        <row r="144">
          <cell r="M144">
            <v>0.424</v>
          </cell>
        </row>
        <row r="197">
          <cell r="G197" t="str">
            <v>All Over</v>
          </cell>
          <cell r="H197">
            <v>0</v>
          </cell>
          <cell r="M197">
            <v>2.5567</v>
          </cell>
        </row>
        <row r="203">
          <cell r="G203" t="str">
            <v>First</v>
          </cell>
          <cell r="H203">
            <v>2000</v>
          </cell>
          <cell r="M203">
            <v>0.14506</v>
          </cell>
        </row>
        <row r="204">
          <cell r="G204" t="str">
            <v>Next</v>
          </cell>
          <cell r="H204">
            <v>18000</v>
          </cell>
          <cell r="M204">
            <v>0.13083</v>
          </cell>
        </row>
        <row r="205">
          <cell r="G205" t="str">
            <v>All Over</v>
          </cell>
          <cell r="H205">
            <v>20000</v>
          </cell>
          <cell r="M205">
            <v>0.12053</v>
          </cell>
        </row>
        <row r="220">
          <cell r="G220" t="str">
            <v>First</v>
          </cell>
          <cell r="H220">
            <v>875</v>
          </cell>
          <cell r="M220">
            <v>2.76273</v>
          </cell>
        </row>
        <row r="221">
          <cell r="G221" t="str">
            <v>Next</v>
          </cell>
          <cell r="H221">
            <v>19125</v>
          </cell>
          <cell r="M221">
            <v>0.13826</v>
          </cell>
        </row>
        <row r="222">
          <cell r="G222" t="str">
            <v>All Over</v>
          </cell>
          <cell r="H222">
            <v>20000</v>
          </cell>
          <cell r="M222">
            <v>0.1277</v>
          </cell>
        </row>
        <row r="243">
          <cell r="G243" t="str">
            <v>All Over</v>
          </cell>
          <cell r="H243">
            <v>0</v>
          </cell>
          <cell r="M243">
            <v>1.66829</v>
          </cell>
        </row>
        <row r="249">
          <cell r="G249" t="str">
            <v>First</v>
          </cell>
          <cell r="H249">
            <v>10000</v>
          </cell>
          <cell r="M249">
            <v>0.17345</v>
          </cell>
        </row>
        <row r="250">
          <cell r="G250" t="str">
            <v>Next</v>
          </cell>
          <cell r="H250">
            <v>112500</v>
          </cell>
          <cell r="M250">
            <v>0.16086</v>
          </cell>
        </row>
        <row r="251">
          <cell r="G251" t="str">
            <v>Next</v>
          </cell>
          <cell r="H251">
            <v>477500</v>
          </cell>
          <cell r="M251">
            <v>0.10696</v>
          </cell>
        </row>
        <row r="252">
          <cell r="G252" t="str">
            <v>All Over</v>
          </cell>
          <cell r="H252">
            <v>600000</v>
          </cell>
          <cell r="M252">
            <v>0.02363</v>
          </cell>
        </row>
        <row r="257">
          <cell r="H257">
            <v>10000</v>
          </cell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2">
          <cell r="M262">
            <v>200000</v>
          </cell>
        </row>
        <row r="283">
          <cell r="G283" t="str">
            <v>First</v>
          </cell>
          <cell r="H283">
            <v>100000</v>
          </cell>
          <cell r="M283">
            <v>0.1</v>
          </cell>
        </row>
        <row r="284">
          <cell r="G284" t="str">
            <v>All Over</v>
          </cell>
          <cell r="H284">
            <v>100000</v>
          </cell>
          <cell r="M284">
            <v>0.02</v>
          </cell>
        </row>
        <row r="289">
          <cell r="G289" t="str">
            <v>All Over</v>
          </cell>
          <cell r="H289">
            <v>0</v>
          </cell>
          <cell r="M289">
            <v>0.29777</v>
          </cell>
        </row>
        <row r="293">
          <cell r="G293" t="str">
            <v>First</v>
          </cell>
          <cell r="H293">
            <v>20000</v>
          </cell>
          <cell r="M293">
            <v>0.12059</v>
          </cell>
        </row>
        <row r="294">
          <cell r="G294" t="str">
            <v>Next</v>
          </cell>
          <cell r="H294">
            <v>80000</v>
          </cell>
          <cell r="M294">
            <v>0.11152</v>
          </cell>
        </row>
        <row r="295">
          <cell r="G295" t="str">
            <v>Next</v>
          </cell>
          <cell r="H295">
            <v>400000</v>
          </cell>
          <cell r="M295">
            <v>0.02465</v>
          </cell>
        </row>
        <row r="296">
          <cell r="G296" t="str">
            <v>All Over</v>
          </cell>
          <cell r="H296">
            <v>500000</v>
          </cell>
          <cell r="M296">
            <v>0.02465</v>
          </cell>
        </row>
        <row r="309">
          <cell r="G309" t="str">
            <v>First</v>
          </cell>
          <cell r="H309">
            <v>875</v>
          </cell>
          <cell r="M309">
            <v>2.71593</v>
          </cell>
        </row>
        <row r="310">
          <cell r="G310" t="str">
            <v>Next</v>
          </cell>
          <cell r="H310">
            <v>99125</v>
          </cell>
          <cell r="M310">
            <v>0.11653</v>
          </cell>
        </row>
        <row r="311">
          <cell r="G311" t="str">
            <v>Next</v>
          </cell>
          <cell r="H311">
            <v>400000</v>
          </cell>
          <cell r="M311">
            <v>0.10777</v>
          </cell>
        </row>
        <row r="312">
          <cell r="G312" t="str">
            <v>All Over</v>
          </cell>
          <cell r="H312">
            <v>500000</v>
          </cell>
          <cell r="M312">
            <v>0.10777</v>
          </cell>
        </row>
      </sheetData>
      <sheetData sheetId="59">
        <row r="3">
          <cell r="F3">
            <v>0.79796</v>
          </cell>
        </row>
        <row r="5">
          <cell r="F5">
            <v>0.6</v>
          </cell>
        </row>
        <row r="7">
          <cell r="F7">
            <v>0.79796</v>
          </cell>
        </row>
        <row r="9">
          <cell r="F9">
            <v>2</v>
          </cell>
        </row>
        <row r="11">
          <cell r="F11">
            <v>0.8</v>
          </cell>
        </row>
        <row r="13">
          <cell r="F13">
            <v>0.9</v>
          </cell>
        </row>
        <row r="15">
          <cell r="F15">
            <v>0.35911</v>
          </cell>
        </row>
        <row r="17">
          <cell r="F17">
            <v>0.08183558410477158</v>
          </cell>
        </row>
        <row r="19">
          <cell r="F19">
            <v>0.92</v>
          </cell>
        </row>
        <row r="21">
          <cell r="F21">
            <v>0.92</v>
          </cell>
        </row>
        <row r="25">
          <cell r="F25">
            <v>1</v>
          </cell>
        </row>
        <row r="27">
          <cell r="F27">
            <v>1</v>
          </cell>
        </row>
        <row r="29">
          <cell r="F29">
            <v>0.1</v>
          </cell>
        </row>
        <row r="31">
          <cell r="F31">
            <v>0.02</v>
          </cell>
        </row>
        <row r="33">
          <cell r="F33">
            <v>200000</v>
          </cell>
        </row>
        <row r="37">
          <cell r="F37">
            <v>0.75</v>
          </cell>
        </row>
        <row r="39">
          <cell r="F39">
            <v>0.8</v>
          </cell>
        </row>
        <row r="41">
          <cell r="F41">
            <v>0.4</v>
          </cell>
        </row>
        <row r="43">
          <cell r="F43">
            <v>1</v>
          </cell>
        </row>
        <row r="45">
          <cell r="F45">
            <v>1</v>
          </cell>
        </row>
        <row r="47">
          <cell r="F47">
            <v>1</v>
          </cell>
        </row>
        <row r="49">
          <cell r="F49">
            <v>0.08183558410477158</v>
          </cell>
        </row>
      </sheetData>
      <sheetData sheetId="60">
        <row r="2">
          <cell r="E2">
            <v>5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Z2">
            <v>26</v>
          </cell>
          <cell r="AA2">
            <v>27</v>
          </cell>
          <cell r="AB2">
            <v>28</v>
          </cell>
        </row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330318.0833333333</v>
          </cell>
          <cell r="F6">
            <v>45014059</v>
          </cell>
          <cell r="G6">
            <v>0</v>
          </cell>
          <cell r="H6">
            <v>0</v>
          </cell>
          <cell r="I6">
            <v>19904482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45014059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462023.5</v>
          </cell>
          <cell r="F7">
            <v>18138684</v>
          </cell>
          <cell r="G7">
            <v>0</v>
          </cell>
          <cell r="H7">
            <v>0</v>
          </cell>
          <cell r="I7">
            <v>27840857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18138684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24396</v>
          </cell>
          <cell r="F8">
            <v>19088866</v>
          </cell>
          <cell r="G8">
            <v>0</v>
          </cell>
          <cell r="H8">
            <v>0</v>
          </cell>
          <cell r="I8">
            <v>2473216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6156441</v>
          </cell>
          <cell r="U8">
            <v>5745480</v>
          </cell>
          <cell r="V8">
            <v>7186943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33781.166666666664</v>
          </cell>
          <cell r="F9">
            <v>6760296</v>
          </cell>
          <cell r="G9">
            <v>0</v>
          </cell>
          <cell r="H9">
            <v>0</v>
          </cell>
          <cell r="I9">
            <v>3424664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3023839</v>
          </cell>
          <cell r="U9">
            <v>2040891</v>
          </cell>
          <cell r="V9">
            <v>1695564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2971.3333333333335</v>
          </cell>
          <cell r="F10">
            <v>459961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459961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4126.583333333333</v>
          </cell>
          <cell r="F11">
            <v>184143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184143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285</v>
          </cell>
          <cell r="F13">
            <v>3543097</v>
          </cell>
          <cell r="G13">
            <v>0</v>
          </cell>
          <cell r="H13">
            <v>0</v>
          </cell>
          <cell r="I13">
            <v>114695</v>
          </cell>
          <cell r="J13">
            <v>0</v>
          </cell>
          <cell r="K13">
            <v>495</v>
          </cell>
          <cell r="L13">
            <v>2630</v>
          </cell>
          <cell r="M13">
            <v>200</v>
          </cell>
          <cell r="N13">
            <v>0</v>
          </cell>
          <cell r="O13">
            <v>570</v>
          </cell>
          <cell r="P13">
            <v>60</v>
          </cell>
          <cell r="Q13">
            <v>0</v>
          </cell>
          <cell r="R13">
            <v>0</v>
          </cell>
          <cell r="S13">
            <v>0</v>
          </cell>
          <cell r="T13">
            <v>403738</v>
          </cell>
          <cell r="U13">
            <v>266885</v>
          </cell>
          <cell r="V13">
            <v>2872474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399</v>
          </cell>
          <cell r="F14">
            <v>3615096</v>
          </cell>
          <cell r="G14">
            <v>0</v>
          </cell>
          <cell r="H14">
            <v>0</v>
          </cell>
          <cell r="I14">
            <v>160573</v>
          </cell>
          <cell r="J14">
            <v>0</v>
          </cell>
          <cell r="K14">
            <v>693</v>
          </cell>
          <cell r="L14">
            <v>3682</v>
          </cell>
          <cell r="M14">
            <v>280</v>
          </cell>
          <cell r="N14">
            <v>0</v>
          </cell>
          <cell r="O14">
            <v>798</v>
          </cell>
          <cell r="P14">
            <v>84</v>
          </cell>
          <cell r="Q14">
            <v>0</v>
          </cell>
          <cell r="R14">
            <v>0</v>
          </cell>
          <cell r="S14">
            <v>0</v>
          </cell>
          <cell r="T14">
            <v>544134</v>
          </cell>
          <cell r="U14">
            <v>309764</v>
          </cell>
          <cell r="V14">
            <v>2761198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13</v>
          </cell>
          <cell r="F19">
            <v>8268846</v>
          </cell>
          <cell r="G19">
            <v>0</v>
          </cell>
          <cell r="H19">
            <v>73152</v>
          </cell>
          <cell r="I19">
            <v>55968</v>
          </cell>
          <cell r="J19">
            <v>0</v>
          </cell>
          <cell r="K19">
            <v>24</v>
          </cell>
          <cell r="L19">
            <v>24</v>
          </cell>
          <cell r="M19">
            <v>36</v>
          </cell>
          <cell r="N19">
            <v>48</v>
          </cell>
          <cell r="O19">
            <v>12</v>
          </cell>
          <cell r="P19">
            <v>168</v>
          </cell>
          <cell r="Q19">
            <v>0</v>
          </cell>
          <cell r="R19">
            <v>0</v>
          </cell>
          <cell r="S19">
            <v>0</v>
          </cell>
          <cell r="T19">
            <v>1256634</v>
          </cell>
          <cell r="U19">
            <v>4295681</v>
          </cell>
          <cell r="V19">
            <v>2556239</v>
          </cell>
          <cell r="W19">
            <v>160292</v>
          </cell>
          <cell r="X19">
            <v>0</v>
          </cell>
          <cell r="Y19">
            <v>0</v>
          </cell>
          <cell r="Z19">
            <v>120</v>
          </cell>
          <cell r="AA19">
            <v>24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0</v>
          </cell>
          <cell r="AA20">
            <v>12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150704</v>
          </cell>
          <cell r="G22">
            <v>0</v>
          </cell>
          <cell r="H22">
            <v>6804</v>
          </cell>
          <cell r="I22">
            <v>2928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12</v>
          </cell>
          <cell r="Q22">
            <v>0</v>
          </cell>
          <cell r="R22">
            <v>0</v>
          </cell>
          <cell r="S22">
            <v>0</v>
          </cell>
          <cell r="T22">
            <v>150704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68</v>
          </cell>
          <cell r="F24">
            <v>1370445</v>
          </cell>
          <cell r="G24">
            <v>0</v>
          </cell>
          <cell r="H24">
            <v>0</v>
          </cell>
          <cell r="I24">
            <v>80628</v>
          </cell>
          <cell r="J24">
            <v>0</v>
          </cell>
          <cell r="K24">
            <v>12</v>
          </cell>
          <cell r="L24">
            <v>264</v>
          </cell>
          <cell r="M24">
            <v>36</v>
          </cell>
          <cell r="N24">
            <v>24</v>
          </cell>
          <cell r="O24">
            <v>636</v>
          </cell>
          <cell r="P24">
            <v>132</v>
          </cell>
          <cell r="Q24">
            <v>0</v>
          </cell>
          <cell r="R24">
            <v>0</v>
          </cell>
          <cell r="S24">
            <v>0</v>
          </cell>
          <cell r="T24">
            <v>116844</v>
          </cell>
          <cell r="U24">
            <v>1253601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316974</v>
          </cell>
          <cell r="G26">
            <v>0</v>
          </cell>
          <cell r="H26">
            <v>4020</v>
          </cell>
          <cell r="I26">
            <v>0</v>
          </cell>
          <cell r="J26">
            <v>12</v>
          </cell>
          <cell r="K26">
            <v>0</v>
          </cell>
          <cell r="L26">
            <v>60</v>
          </cell>
          <cell r="M26">
            <v>12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44916</v>
          </cell>
          <cell r="U26">
            <v>272058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111</v>
          </cell>
          <cell r="F27">
            <v>27434587</v>
          </cell>
          <cell r="G27">
            <v>0</v>
          </cell>
          <cell r="H27">
            <v>531252</v>
          </cell>
          <cell r="I27">
            <v>231768</v>
          </cell>
          <cell r="J27">
            <v>0</v>
          </cell>
          <cell r="K27">
            <v>0</v>
          </cell>
          <cell r="L27">
            <v>84</v>
          </cell>
          <cell r="M27">
            <v>168</v>
          </cell>
          <cell r="N27">
            <v>120</v>
          </cell>
          <cell r="O27">
            <v>660</v>
          </cell>
          <cell r="P27">
            <v>636</v>
          </cell>
          <cell r="Q27">
            <v>0</v>
          </cell>
          <cell r="R27">
            <v>0</v>
          </cell>
          <cell r="S27">
            <v>0</v>
          </cell>
          <cell r="T27">
            <v>7497410</v>
          </cell>
          <cell r="U27">
            <v>18217177</v>
          </cell>
          <cell r="V27">
            <v>1720000</v>
          </cell>
          <cell r="W27">
            <v>0</v>
          </cell>
          <cell r="X27">
            <v>0</v>
          </cell>
          <cell r="Y27">
            <v>0</v>
          </cell>
          <cell r="Z27">
            <v>744</v>
          </cell>
          <cell r="AA27">
            <v>516</v>
          </cell>
          <cell r="AB27">
            <v>42127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36423</v>
          </cell>
          <cell r="G29">
            <v>0</v>
          </cell>
          <cell r="H29">
            <v>6804</v>
          </cell>
          <cell r="I29">
            <v>660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25923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21216</v>
          </cell>
          <cell r="G30">
            <v>0</v>
          </cell>
          <cell r="H30">
            <v>8004</v>
          </cell>
          <cell r="I30">
            <v>3588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0</v>
          </cell>
          <cell r="R30">
            <v>0</v>
          </cell>
          <cell r="S30">
            <v>0</v>
          </cell>
          <cell r="T30">
            <v>21216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12</v>
          </cell>
          <cell r="AA30">
            <v>0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24063.166666666668</v>
          </cell>
          <cell r="F31">
            <v>3476418</v>
          </cell>
          <cell r="G31">
            <v>0</v>
          </cell>
          <cell r="H31">
            <v>2502458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2680414</v>
          </cell>
          <cell r="U31">
            <v>796003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250063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250063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1110.5833333333333</v>
          </cell>
          <cell r="F34">
            <v>162356</v>
          </cell>
          <cell r="G34">
            <v>0</v>
          </cell>
          <cell r="H34">
            <v>66429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162356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175285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175285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30505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30505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164558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12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115890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108824</v>
          </cell>
          <cell r="U39">
            <v>7066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55471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55471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883732.4166666666</v>
          </cell>
          <cell r="F42">
            <v>165484664</v>
          </cell>
          <cell r="G42">
            <v>0</v>
          </cell>
          <cell r="H42">
            <v>3213731</v>
          </cell>
          <cell r="I42">
            <v>56743791</v>
          </cell>
          <cell r="J42">
            <v>36</v>
          </cell>
          <cell r="K42">
            <v>1380</v>
          </cell>
          <cell r="L42">
            <v>7284</v>
          </cell>
          <cell r="M42">
            <v>816</v>
          </cell>
          <cell r="N42">
            <v>192</v>
          </cell>
          <cell r="O42">
            <v>2688</v>
          </cell>
          <cell r="P42">
            <v>1104</v>
          </cell>
          <cell r="Q42">
            <v>0</v>
          </cell>
          <cell r="R42">
            <v>0</v>
          </cell>
          <cell r="S42">
            <v>0</v>
          </cell>
          <cell r="T42">
            <v>86912714</v>
          </cell>
          <cell r="U42">
            <v>34610929</v>
          </cell>
          <cell r="V42">
            <v>24538224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42127</v>
          </cell>
        </row>
      </sheetData>
      <sheetData sheetId="62"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330318.0833333333</v>
          </cell>
          <cell r="F6">
            <v>45014059</v>
          </cell>
          <cell r="G6">
            <v>0</v>
          </cell>
          <cell r="H6">
            <v>0</v>
          </cell>
          <cell r="I6">
            <v>20523483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43750063</v>
          </cell>
          <cell r="U6">
            <v>1263996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462023.5</v>
          </cell>
          <cell r="F7">
            <v>18138684</v>
          </cell>
          <cell r="G7">
            <v>0</v>
          </cell>
          <cell r="H7">
            <v>0</v>
          </cell>
          <cell r="I7">
            <v>28706667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17988828</v>
          </cell>
          <cell r="U7">
            <v>149856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24396</v>
          </cell>
          <cell r="F8">
            <v>19088866</v>
          </cell>
          <cell r="G8">
            <v>0</v>
          </cell>
          <cell r="H8">
            <v>0</v>
          </cell>
          <cell r="I8">
            <v>3895523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6143236</v>
          </cell>
          <cell r="U8">
            <v>12945630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33781.166666666664</v>
          </cell>
          <cell r="F9">
            <v>6760296</v>
          </cell>
          <cell r="G9">
            <v>0</v>
          </cell>
          <cell r="H9">
            <v>0</v>
          </cell>
          <cell r="I9">
            <v>5394136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3018632</v>
          </cell>
          <cell r="U9">
            <v>3741664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2971.3333333333335</v>
          </cell>
          <cell r="F10">
            <v>459961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459961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4126.583333333333</v>
          </cell>
          <cell r="F11">
            <v>184143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184143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277.9166666666667</v>
          </cell>
          <cell r="F13">
            <v>3755205</v>
          </cell>
          <cell r="G13">
            <v>0</v>
          </cell>
          <cell r="H13">
            <v>0</v>
          </cell>
          <cell r="I13">
            <v>220175</v>
          </cell>
          <cell r="J13">
            <v>270</v>
          </cell>
          <cell r="K13">
            <v>0</v>
          </cell>
          <cell r="L13">
            <v>750</v>
          </cell>
          <cell r="M13">
            <v>2805</v>
          </cell>
          <cell r="N13">
            <v>200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553237</v>
          </cell>
          <cell r="U13">
            <v>1105419</v>
          </cell>
          <cell r="V13">
            <v>2096549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389.0833333333333</v>
          </cell>
          <cell r="F14">
            <v>3852679</v>
          </cell>
          <cell r="G14">
            <v>0</v>
          </cell>
          <cell r="H14">
            <v>0</v>
          </cell>
          <cell r="I14">
            <v>308245</v>
          </cell>
          <cell r="J14">
            <v>378</v>
          </cell>
          <cell r="K14">
            <v>0</v>
          </cell>
          <cell r="L14">
            <v>1050</v>
          </cell>
          <cell r="M14">
            <v>3927</v>
          </cell>
          <cell r="N14">
            <v>280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752323</v>
          </cell>
          <cell r="U14">
            <v>1185494</v>
          </cell>
          <cell r="V14">
            <v>1914862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7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40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12</v>
          </cell>
          <cell r="AA17">
            <v>0</v>
          </cell>
          <cell r="AB17">
            <v>2112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1</v>
          </cell>
          <cell r="F18">
            <v>340475</v>
          </cell>
          <cell r="G18">
            <v>0</v>
          </cell>
          <cell r="H18">
            <v>0</v>
          </cell>
          <cell r="I18">
            <v>60</v>
          </cell>
          <cell r="J18">
            <v>12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120000</v>
          </cell>
          <cell r="U18">
            <v>220475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12</v>
          </cell>
          <cell r="F19">
            <v>8268846</v>
          </cell>
          <cell r="G19">
            <v>0</v>
          </cell>
          <cell r="H19">
            <v>73152</v>
          </cell>
          <cell r="I19">
            <v>46044</v>
          </cell>
          <cell r="J19">
            <v>0</v>
          </cell>
          <cell r="K19">
            <v>36</v>
          </cell>
          <cell r="L19">
            <v>13</v>
          </cell>
          <cell r="M19">
            <v>86</v>
          </cell>
          <cell r="N19">
            <v>170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1256634</v>
          </cell>
          <cell r="U19">
            <v>4485681</v>
          </cell>
          <cell r="V19">
            <v>2366239</v>
          </cell>
          <cell r="W19">
            <v>160292</v>
          </cell>
          <cell r="X19">
            <v>0</v>
          </cell>
          <cell r="Y19">
            <v>0</v>
          </cell>
          <cell r="Z19">
            <v>110</v>
          </cell>
          <cell r="AA19">
            <v>48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12</v>
          </cell>
          <cell r="AA20">
            <v>0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 </v>
          </cell>
          <cell r="E21">
            <v>31</v>
          </cell>
          <cell r="F21">
            <v>9527302</v>
          </cell>
          <cell r="G21">
            <v>0</v>
          </cell>
          <cell r="H21">
            <v>198180</v>
          </cell>
          <cell r="I21">
            <v>67932</v>
          </cell>
          <cell r="J21">
            <v>84</v>
          </cell>
          <cell r="K21">
            <v>0</v>
          </cell>
          <cell r="L21">
            <v>0</v>
          </cell>
          <cell r="M21">
            <v>216</v>
          </cell>
          <cell r="N21">
            <v>228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3078617</v>
          </cell>
          <cell r="U21">
            <v>4408066</v>
          </cell>
          <cell r="V21">
            <v>2040619</v>
          </cell>
          <cell r="W21">
            <v>0</v>
          </cell>
          <cell r="X21">
            <v>0</v>
          </cell>
          <cell r="Y21">
            <v>0</v>
          </cell>
          <cell r="Z21">
            <v>336</v>
          </cell>
          <cell r="AA21">
            <v>36</v>
          </cell>
          <cell r="AB21">
            <v>43344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150704</v>
          </cell>
          <cell r="G22">
            <v>0</v>
          </cell>
          <cell r="H22">
            <v>6804</v>
          </cell>
          <cell r="I22">
            <v>660</v>
          </cell>
          <cell r="J22">
            <v>0</v>
          </cell>
          <cell r="K22">
            <v>0</v>
          </cell>
          <cell r="L22">
            <v>0</v>
          </cell>
          <cell r="M22">
            <v>12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150704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70</v>
          </cell>
          <cell r="F24">
            <v>1510068</v>
          </cell>
          <cell r="G24">
            <v>0</v>
          </cell>
          <cell r="H24">
            <v>0</v>
          </cell>
          <cell r="I24">
            <v>139740</v>
          </cell>
          <cell r="J24">
            <v>0</v>
          </cell>
          <cell r="K24">
            <v>0</v>
          </cell>
          <cell r="L24">
            <v>36</v>
          </cell>
          <cell r="M24">
            <v>696</v>
          </cell>
          <cell r="N24">
            <v>336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531958</v>
          </cell>
          <cell r="U24">
            <v>978110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316974</v>
          </cell>
          <cell r="G26">
            <v>0</v>
          </cell>
          <cell r="H26">
            <v>4020</v>
          </cell>
          <cell r="I26">
            <v>0</v>
          </cell>
          <cell r="J26">
            <v>12</v>
          </cell>
          <cell r="K26">
            <v>0</v>
          </cell>
          <cell r="L26">
            <v>60</v>
          </cell>
          <cell r="M26">
            <v>12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44916</v>
          </cell>
          <cell r="U26">
            <v>272058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78</v>
          </cell>
          <cell r="F27">
            <v>16966861</v>
          </cell>
          <cell r="G27">
            <v>0</v>
          </cell>
          <cell r="H27">
            <v>328956</v>
          </cell>
          <cell r="I27">
            <v>239724</v>
          </cell>
          <cell r="J27">
            <v>0</v>
          </cell>
          <cell r="K27">
            <v>84</v>
          </cell>
          <cell r="L27">
            <v>0</v>
          </cell>
          <cell r="M27">
            <v>480</v>
          </cell>
          <cell r="N27">
            <v>756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14445854</v>
          </cell>
          <cell r="U27">
            <v>2521007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396</v>
          </cell>
          <cell r="AA27">
            <v>492</v>
          </cell>
          <cell r="AB27">
            <v>0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36423</v>
          </cell>
          <cell r="G29">
            <v>0</v>
          </cell>
          <cell r="H29">
            <v>0</v>
          </cell>
          <cell r="I29">
            <v>804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25923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21216</v>
          </cell>
          <cell r="G30">
            <v>0</v>
          </cell>
          <cell r="H30">
            <v>3000</v>
          </cell>
          <cell r="I30">
            <v>5856</v>
          </cell>
          <cell r="J30">
            <v>0</v>
          </cell>
          <cell r="K30">
            <v>0</v>
          </cell>
          <cell r="L30">
            <v>12</v>
          </cell>
          <cell r="M30">
            <v>12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21216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12</v>
          </cell>
          <cell r="AA30">
            <v>0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24063.166666666668</v>
          </cell>
          <cell r="F31">
            <v>3484317</v>
          </cell>
          <cell r="G31">
            <v>0</v>
          </cell>
          <cell r="H31">
            <v>2502458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2685164</v>
          </cell>
          <cell r="U31">
            <v>799152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250563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250563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1110.5833333333333</v>
          </cell>
          <cell r="F34">
            <v>162725</v>
          </cell>
          <cell r="G34">
            <v>0</v>
          </cell>
          <cell r="H34">
            <v>66429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162725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175285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175285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30505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30505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164558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115890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108824</v>
          </cell>
          <cell r="U39">
            <v>7066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55471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55471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883755.4166666666</v>
          </cell>
          <cell r="F42">
            <v>165482797</v>
          </cell>
          <cell r="G42">
            <v>0</v>
          </cell>
          <cell r="H42">
            <v>3197807</v>
          </cell>
          <cell r="I42">
            <v>61998813</v>
          </cell>
          <cell r="J42">
            <v>900</v>
          </cell>
          <cell r="K42">
            <v>2004</v>
          </cell>
          <cell r="L42">
            <v>8832</v>
          </cell>
          <cell r="M42">
            <v>2076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96405932</v>
          </cell>
          <cell r="U42">
            <v>35489997</v>
          </cell>
          <cell r="V42">
            <v>14164075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43344</v>
          </cell>
        </row>
      </sheetData>
      <sheetData sheetId="63">
        <row r="6"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</row>
        <row r="11">
          <cell r="A11" t="str">
            <v>UT</v>
          </cell>
          <cell r="B11" t="str">
            <v>GSR </v>
          </cell>
        </row>
        <row r="14">
          <cell r="A14" t="str">
            <v>Season</v>
          </cell>
          <cell r="B14" t="str">
            <v>St</v>
          </cell>
          <cell r="C14" t="str">
            <v>Rate</v>
          </cell>
        </row>
        <row r="15">
          <cell r="A15" t="str">
            <v>Winter</v>
          </cell>
          <cell r="B15" t="str">
            <v>UT</v>
          </cell>
          <cell r="C15" t="str">
            <v>GSS</v>
          </cell>
        </row>
        <row r="18">
          <cell r="A18" t="str">
            <v>Season</v>
          </cell>
          <cell r="B18" t="str">
            <v>St</v>
          </cell>
          <cell r="C18" t="str">
            <v>Rate</v>
          </cell>
          <cell r="H18" t="str">
            <v>St</v>
          </cell>
          <cell r="I18" t="str">
            <v>Rate</v>
          </cell>
        </row>
        <row r="19">
          <cell r="A19" t="str">
            <v>Summer</v>
          </cell>
          <cell r="B19" t="str">
            <v>UT</v>
          </cell>
          <cell r="C19" t="str">
            <v>GSS</v>
          </cell>
          <cell r="H19" t="str">
            <v>UT</v>
          </cell>
          <cell r="I19" t="str">
            <v>ITS</v>
          </cell>
        </row>
        <row r="27"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1">
          <cell r="H31" t="str">
            <v>St</v>
          </cell>
          <cell r="I31" t="str">
            <v>Rate</v>
          </cell>
        </row>
        <row r="32">
          <cell r="H32" t="str">
            <v>UT</v>
          </cell>
          <cell r="I32" t="str">
            <v>GSS</v>
          </cell>
        </row>
        <row r="35">
          <cell r="H35" t="str">
            <v>St</v>
          </cell>
          <cell r="I35" t="str">
            <v>Rate</v>
          </cell>
        </row>
        <row r="36">
          <cell r="E36" t="str">
            <v>St</v>
          </cell>
          <cell r="F36" t="str">
            <v>Rate</v>
          </cell>
          <cell r="H36" t="str">
            <v>UT</v>
          </cell>
          <cell r="I36" t="str">
            <v>FT1L</v>
          </cell>
        </row>
        <row r="37">
          <cell r="E37" t="str">
            <v>UT</v>
          </cell>
          <cell r="F37" t="str">
            <v>FT2C</v>
          </cell>
        </row>
        <row r="42">
          <cell r="A42" t="str">
            <v>St</v>
          </cell>
          <cell r="B42" t="str">
            <v>Rate</v>
          </cell>
        </row>
        <row r="43">
          <cell r="A43" t="str">
            <v>UT</v>
          </cell>
          <cell r="B43" t="str">
            <v>GSC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4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2.3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1277.36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-1277.36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-37880.45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4309030.77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-6249136.05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-76.74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-8821.47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-70820.18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-20791.01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-17054.92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-657732.19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-38932.09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-34125.45</v>
          </cell>
          <cell r="D241" t="str">
            <v>202</v>
          </cell>
          <cell r="E241" t="str">
            <v>402</v>
          </cell>
          <cell r="F241">
            <v>-62649.12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-4386.44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-2437461.26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-9025647.2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-72971.9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1261.84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-39.55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-28731.12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-22174.8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-2271.95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-260.53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0.29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-20470.76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-68.85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-289.84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536.93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-8202.88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-153584.83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-18116.76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-19280.67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-17177.6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-262.71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-2108.49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77113.79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-290381.91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-667826.7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-617.56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-19335.17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32469.28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-4269.23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-134.95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-151.73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137.2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-276372.35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-68993.76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-78566.29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-4716987.35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-4681547.77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-7243514.81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-7913602.68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-6743159.84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-634.18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-86979.84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-10135.97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-19967.42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-1100.12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-39778.52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-132392.96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</v>
          </cell>
          <cell r="D956" t="str">
            <v>202</v>
          </cell>
          <cell r="E956" t="str">
            <v>402</v>
          </cell>
          <cell r="F956">
            <v>-30555.12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-1102719.4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-2332464.32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-134123.36</v>
          </cell>
          <cell r="D1018" t="str">
            <v>202</v>
          </cell>
          <cell r="E1018" t="str">
            <v>408</v>
          </cell>
          <cell r="F1018">
            <v>-33122.8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-154.7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-156.92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-36624.45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-2598.7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-266.21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-4441.48</v>
          </cell>
          <cell r="D1084" t="str">
            <v>202</v>
          </cell>
          <cell r="E1084" t="str">
            <v>451</v>
          </cell>
          <cell r="F1084">
            <v>-5240.39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</v>
          </cell>
          <cell r="D1087" t="str">
            <v>202</v>
          </cell>
          <cell r="E1087" t="str">
            <v>451</v>
          </cell>
          <cell r="F1087">
            <v>-1204.84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0.29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-2462.74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-1093.62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-33856.34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-63559.2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-38937.09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-2227.95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-33528.95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-18.74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-20750.19</v>
          </cell>
          <cell r="D1135" t="str">
            <v>202</v>
          </cell>
          <cell r="E1135" t="str">
            <v>455</v>
          </cell>
          <cell r="F1135">
            <v>-8468.47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-1135.35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2540.22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-9586.22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-1052.12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-258.78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-1187.37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-621.67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-80232.65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-77581.28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-19.31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4.14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-1229.87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-9121973.92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591950.69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-10196.88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-70373.51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-6490458.55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-167234.58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6703900.17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-19045148.95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-35574.64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-19739.94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-4264.4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-30533.92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2081.2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1234518.66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-2224341.76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71533.68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-20378.51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-272.34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</v>
          </cell>
          <cell r="D1838" t="str">
            <v>202</v>
          </cell>
          <cell r="E1838" t="str">
            <v>453</v>
          </cell>
          <cell r="F1838">
            <v>-77604.18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-76342.18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-37617.6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-7804307.55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158105.3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-10376.13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-27380.8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-74930.56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-34445.52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-2553.2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2429.2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-9290.46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-2499.49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-1094.86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</v>
          </cell>
          <cell r="D2118" t="str">
            <v>210</v>
          </cell>
          <cell r="E2118" t="str">
            <v>407</v>
          </cell>
          <cell r="F2118">
            <v>4790.6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-40308.63</v>
          </cell>
          <cell r="D2133" t="str">
            <v>202</v>
          </cell>
          <cell r="E2133" t="str">
            <v>408</v>
          </cell>
          <cell r="F2133">
            <v>-8511.95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-5239.36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-40.48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-2579.43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-2414.72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-588.67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-24482.64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-4728.44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-166748.27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-1238.1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-8923.63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-17919.44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-19363936.86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-7023263.93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-38865.28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-32148.64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-4866.94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-543.67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-2521.43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-20736.44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-34946.95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-20867.35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-74930.65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39942.13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-35173.13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583120.08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-5390864.1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-1183511.91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-527.18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72.35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-79.71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-8201.22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26928.53351669153</v>
          </cell>
          <cell r="BX12">
            <v>22855.654717162717</v>
          </cell>
          <cell r="BY12">
            <v>27096.62550472404</v>
          </cell>
          <cell r="BZ12">
            <v>26880.16298793431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24388.30078379516</v>
          </cell>
          <cell r="CK12">
            <v>25731.11269501109</v>
          </cell>
          <cell r="CL12">
            <v>25199.406848555445</v>
          </cell>
          <cell r="CM12">
            <v>29471.297811261997</v>
          </cell>
          <cell r="CN12">
            <v>27550.52926034722</v>
          </cell>
          <cell r="CO12">
            <v>26611.89422142292</v>
          </cell>
          <cell r="CP12">
            <v>28864.343958420963</v>
          </cell>
          <cell r="CQ12">
            <v>26354.985924203425</v>
          </cell>
          <cell r="CR12">
            <v>34282.02096972975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</v>
          </cell>
          <cell r="BW14">
            <v>7821.448459987636</v>
          </cell>
          <cell r="BX14">
            <v>6852.460526434088</v>
          </cell>
          <cell r="BY14">
            <v>7954.994841550952</v>
          </cell>
          <cell r="BZ14">
            <v>7946.39241844184</v>
          </cell>
          <cell r="CA14">
            <v>7062.458481041937</v>
          </cell>
          <cell r="CB14">
            <v>7539.128879276526</v>
          </cell>
          <cell r="CC14">
            <v>6457.353487465559</v>
          </cell>
          <cell r="CD14">
            <v>9748.402189012311</v>
          </cell>
          <cell r="CE14">
            <v>8799.185285490845</v>
          </cell>
          <cell r="CF14">
            <v>7153.887913972818</v>
          </cell>
          <cell r="CG14">
            <v>8059.917276499532</v>
          </cell>
          <cell r="CH14">
            <v>6687.297012277974</v>
          </cell>
          <cell r="CI14">
            <v>9519.452798157901</v>
          </cell>
          <cell r="CJ14">
            <v>8014.937750008767</v>
          </cell>
          <cell r="CK14">
            <v>8368.675865929545</v>
          </cell>
          <cell r="CL14">
            <v>8307.003679199357</v>
          </cell>
          <cell r="CM14">
            <v>10011.873151627771</v>
          </cell>
          <cell r="CN14">
            <v>9359.880525363234</v>
          </cell>
          <cell r="CO14">
            <v>9246.9855341547</v>
          </cell>
          <cell r="CP14">
            <v>9853.393777963991</v>
          </cell>
          <cell r="CQ14">
            <v>9220.360473660225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</v>
          </cell>
          <cell r="BW16">
            <v>47874.74802332082</v>
          </cell>
          <cell r="BX16">
            <v>41943.614756403185</v>
          </cell>
          <cell r="BY16">
            <v>48692.17965372501</v>
          </cell>
          <cell r="BZ16">
            <v>48639.52459362386</v>
          </cell>
          <cell r="CA16">
            <v>57048.16111780971</v>
          </cell>
          <cell r="CB16">
            <v>60898.5440618756</v>
          </cell>
          <cell r="CC16">
            <v>52160.3267667264</v>
          </cell>
          <cell r="CD16">
            <v>78744.30981970695</v>
          </cell>
          <cell r="CE16">
            <v>71076.85534996369</v>
          </cell>
          <cell r="CF16">
            <v>72536.06863280952</v>
          </cell>
          <cell r="CG16">
            <v>81722.65483794364</v>
          </cell>
          <cell r="CH16">
            <v>67805.12091937427</v>
          </cell>
          <cell r="CI16">
            <v>85579.72755153979</v>
          </cell>
          <cell r="CJ16">
            <v>72054.16146619608</v>
          </cell>
          <cell r="CK16">
            <v>75234.26143905937</v>
          </cell>
          <cell r="CL16">
            <v>74679.8294722452</v>
          </cell>
          <cell r="CM16">
            <v>85019.55903711023</v>
          </cell>
          <cell r="CN16">
            <v>79482.92021428955</v>
          </cell>
          <cell r="CO16">
            <v>78524.23024442238</v>
          </cell>
          <cell r="CP16">
            <v>83673.77226361504</v>
          </cell>
          <cell r="CQ16">
            <v>78298.13360213634</v>
          </cell>
          <cell r="CR16">
            <v>80943.6015273879</v>
          </cell>
          <cell r="CS16">
            <v>68901.00882567423</v>
          </cell>
          <cell r="CT16">
            <v>64418.59142320586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80109.54000000001</v>
          </cell>
          <cell r="BW17">
            <v>82624.72999999998</v>
          </cell>
          <cell r="BX17">
            <v>71651.72999999998</v>
          </cell>
          <cell r="BY17">
            <v>83743.8</v>
          </cell>
          <cell r="BZ17">
            <v>83466.08000000002</v>
          </cell>
          <cell r="CA17">
            <v>89344.68</v>
          </cell>
          <cell r="CB17">
            <v>95499.95000000001</v>
          </cell>
          <cell r="CC17">
            <v>80761.95000000001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4276.703690952267</v>
          </cell>
          <cell r="CP26">
            <v>1290.496929989097</v>
          </cell>
          <cell r="CQ26">
            <v>939.1915584702924</v>
          </cell>
          <cell r="CR26">
            <v>1212.429335516349</v>
          </cell>
          <cell r="CS26">
            <v>931.8075566273965</v>
          </cell>
          <cell r="CT26">
            <v>917.2190627038885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2938.978717815378</v>
          </cell>
          <cell r="BX30">
            <v>2821.523721552346</v>
          </cell>
          <cell r="BY30">
            <v>1634.1507828653807</v>
          </cell>
          <cell r="BZ30">
            <v>5709.689685417086</v>
          </cell>
          <cell r="CA30">
            <v>3657.8397702888096</v>
          </cell>
          <cell r="CB30">
            <v>4166.5201012734715</v>
          </cell>
          <cell r="CC30">
            <v>5665.327356842825</v>
          </cell>
          <cell r="CD30">
            <v>3709.9907552432173</v>
          </cell>
          <cell r="CE30">
            <v>8500.99782087164</v>
          </cell>
          <cell r="CF30">
            <v>9316.858058893715</v>
          </cell>
          <cell r="CG30">
            <v>-2996.1953151143484</v>
          </cell>
          <cell r="CH30">
            <v>3217.5433926981764</v>
          </cell>
          <cell r="CI30">
            <v>325.3689004576004</v>
          </cell>
          <cell r="CJ30">
            <v>2458.5314717535525</v>
          </cell>
          <cell r="CK30">
            <v>3180.730523497127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2538.258441529708</v>
          </cell>
          <cell r="CR30">
            <v>3276.710664483651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4201.98</v>
          </cell>
          <cell r="BY31">
            <v>2392.67</v>
          </cell>
          <cell r="BZ31">
            <v>8661.990000000002</v>
          </cell>
          <cell r="CA31">
            <v>5215.82</v>
          </cell>
          <cell r="CB31">
            <v>5970.260000000001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</v>
          </cell>
          <cell r="CQ31">
            <v>3477.4500000000003</v>
          </cell>
          <cell r="CR31">
            <v>4489.139999999999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4201.98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</v>
          </cell>
          <cell r="CQ32">
            <v>3477.45</v>
          </cell>
          <cell r="CR32">
            <v>4489.14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</v>
          </cell>
          <cell r="BX34">
            <v>75853.70999999999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6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>I  </v>
          </cell>
          <cell r="D137" t="str">
            <v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>IS  </v>
          </cell>
          <cell r="D373" t="str">
            <v>Dth      </v>
          </cell>
        </row>
        <row r="374">
          <cell r="B374" t="str">
            <v>ID</v>
          </cell>
          <cell r="C374" t="str">
            <v>IS2 </v>
          </cell>
          <cell r="D374" t="str">
            <v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>IS  </v>
          </cell>
          <cell r="D377" t="str">
            <v>DNG      </v>
          </cell>
        </row>
        <row r="378">
          <cell r="B378" t="str">
            <v>ID</v>
          </cell>
          <cell r="C378" t="str">
            <v>IS2 </v>
          </cell>
          <cell r="D378" t="str">
            <v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>IS  </v>
          </cell>
          <cell r="D381" t="str">
            <v>SNG      </v>
          </cell>
        </row>
        <row r="382">
          <cell r="B382" t="str">
            <v>ID</v>
          </cell>
          <cell r="C382" t="str">
            <v>IS2 </v>
          </cell>
          <cell r="D382" t="str">
            <v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>IS  </v>
          </cell>
          <cell r="D385" t="str">
            <v>Commodity</v>
          </cell>
        </row>
        <row r="386">
          <cell r="B386" t="str">
            <v>ID</v>
          </cell>
          <cell r="C386" t="str">
            <v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>IT2 </v>
          </cell>
          <cell r="D491" t="str">
            <v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IC2 </v>
          </cell>
          <cell r="D500" t="str">
            <v>Dth      </v>
          </cell>
        </row>
        <row r="501">
          <cell r="B501" t="str">
            <v>WY</v>
          </cell>
          <cell r="C501" t="str">
            <v>IC3 </v>
          </cell>
          <cell r="D501" t="str">
            <v>Dth      </v>
          </cell>
        </row>
        <row r="502">
          <cell r="B502" t="str">
            <v>WY</v>
          </cell>
          <cell r="C502" t="str">
            <v>IC7 </v>
          </cell>
          <cell r="D502" t="str">
            <v>Dth      </v>
          </cell>
        </row>
        <row r="503">
          <cell r="B503" t="str">
            <v>WY</v>
          </cell>
          <cell r="C503" t="str">
            <v>IC8 </v>
          </cell>
          <cell r="D503" t="str">
            <v>Dth      </v>
          </cell>
        </row>
        <row r="504">
          <cell r="B504" t="str">
            <v>WY</v>
          </cell>
          <cell r="C504" t="str">
            <v>IC9 </v>
          </cell>
          <cell r="D504" t="str">
            <v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>IC2 </v>
          </cell>
          <cell r="D507" t="str">
            <v>DNG      </v>
          </cell>
        </row>
        <row r="508">
          <cell r="B508" t="str">
            <v>WY</v>
          </cell>
          <cell r="C508" t="str">
            <v>IC3 </v>
          </cell>
          <cell r="D508" t="str">
            <v>DNG      </v>
          </cell>
        </row>
        <row r="509">
          <cell r="B509" t="str">
            <v>WY</v>
          </cell>
          <cell r="C509" t="str">
            <v>IC7 </v>
          </cell>
          <cell r="D509" t="str">
            <v>DNG      </v>
          </cell>
        </row>
        <row r="510">
          <cell r="B510" t="str">
            <v>WY</v>
          </cell>
          <cell r="C510" t="str">
            <v>IC8 </v>
          </cell>
          <cell r="D510" t="str">
            <v>DNG      </v>
          </cell>
        </row>
        <row r="511">
          <cell r="B511" t="str">
            <v>WY</v>
          </cell>
          <cell r="C511" t="str">
            <v>IC9 </v>
          </cell>
          <cell r="D511" t="str">
            <v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9">
        <row r="372">
          <cell r="G372">
            <v>1785903.15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5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>GSR </v>
          </cell>
          <cell r="H8" t="str">
            <v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>GSR </v>
          </cell>
          <cell r="H14" t="str">
            <v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>GSR </v>
          </cell>
          <cell r="H17" t="str">
            <v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GSC </v>
          </cell>
          <cell r="D24" t="str">
            <v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>GSC </v>
          </cell>
          <cell r="D30" t="str">
            <v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>GSC </v>
          </cell>
          <cell r="D33" t="str">
            <v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>FS  </v>
          </cell>
          <cell r="D62" t="str">
            <v>Customers</v>
          </cell>
        </row>
        <row r="63">
          <cell r="B63" t="str">
            <v>UT</v>
          </cell>
          <cell r="C63" t="str">
            <v>F1  </v>
          </cell>
          <cell r="D63" t="str">
            <v>Customers</v>
          </cell>
        </row>
        <row r="64">
          <cell r="B64" t="str">
            <v>UT</v>
          </cell>
          <cell r="C64" t="str">
            <v>F1B </v>
          </cell>
          <cell r="D64" t="str">
            <v>Customers</v>
          </cell>
        </row>
        <row r="65">
          <cell r="B65" t="str">
            <v>UT</v>
          </cell>
          <cell r="C65" t="str">
            <v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>F4  </v>
          </cell>
          <cell r="D120" t="str">
            <v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>F4  </v>
          </cell>
          <cell r="D126" t="str">
            <v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F4  </v>
          </cell>
          <cell r="D129" t="str">
            <v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>IS2 </v>
          </cell>
          <cell r="D160" t="str">
            <v>Customers</v>
          </cell>
        </row>
        <row r="161">
          <cell r="B161" t="str">
            <v>UT</v>
          </cell>
          <cell r="C161" t="str">
            <v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  </v>
          </cell>
          <cell r="D214" t="str">
            <v>Customers</v>
          </cell>
        </row>
        <row r="215">
          <cell r="B215" t="str">
            <v>UT</v>
          </cell>
          <cell r="C215" t="str">
            <v>TS  </v>
          </cell>
          <cell r="D215" t="str">
            <v>Customers</v>
          </cell>
        </row>
        <row r="216">
          <cell r="B216" t="str">
            <v>UT</v>
          </cell>
          <cell r="C216" t="str">
            <v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>I4  </v>
          </cell>
          <cell r="D421" t="str">
            <v>Customers</v>
          </cell>
        </row>
        <row r="422">
          <cell r="B422" t="str">
            <v>UT</v>
          </cell>
          <cell r="C422" t="str">
            <v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>F1  </v>
          </cell>
          <cell r="D516" t="str">
            <v>Customers</v>
          </cell>
        </row>
        <row r="517">
          <cell r="B517" t="str">
            <v>WY</v>
          </cell>
          <cell r="C517" t="str">
            <v>F1A </v>
          </cell>
          <cell r="D517" t="str">
            <v>Customers</v>
          </cell>
        </row>
        <row r="518">
          <cell r="B518" t="str">
            <v>WY</v>
          </cell>
          <cell r="C518" t="str">
            <v>F1B </v>
          </cell>
          <cell r="D518" t="str">
            <v>Customers</v>
          </cell>
        </row>
        <row r="519">
          <cell r="B519" t="str">
            <v>WY</v>
          </cell>
          <cell r="C519" t="str">
            <v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>I4  </v>
          </cell>
          <cell r="D607" t="str">
            <v>Customers</v>
          </cell>
        </row>
        <row r="608">
          <cell r="B608" t="str">
            <v>WY</v>
          </cell>
          <cell r="C608" t="str">
            <v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>IC  </v>
          </cell>
          <cell r="D648" t="str">
            <v>Customers</v>
          </cell>
        </row>
        <row r="649">
          <cell r="B649" t="str">
            <v>WY</v>
          </cell>
          <cell r="C649" t="str">
            <v>IC1 </v>
          </cell>
          <cell r="D649" t="str">
            <v>Customers</v>
          </cell>
        </row>
        <row r="650">
          <cell r="B650" t="str">
            <v>WY</v>
          </cell>
          <cell r="C650" t="str">
            <v>IC2 </v>
          </cell>
          <cell r="D650" t="str">
            <v>Customers</v>
          </cell>
        </row>
        <row r="651">
          <cell r="B651" t="str">
            <v>WY</v>
          </cell>
          <cell r="C651" t="str">
            <v>IC8 </v>
          </cell>
          <cell r="D651" t="str">
            <v>Customers</v>
          </cell>
        </row>
        <row r="652">
          <cell r="B652" t="str">
            <v>WY</v>
          </cell>
          <cell r="C652" t="str">
            <v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Taxes"/>
      <sheetName val="FILED Adjustments"/>
      <sheetName val="Settlement 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Bank PTO"/>
      <sheetName val="Donations"/>
      <sheetName val="19-Advertising"/>
      <sheetName val="Incentive"/>
      <sheetName val="Stock Incentives"/>
      <sheetName val="ST TAX"/>
      <sheetName val="R&amp;D FUNDS"/>
      <sheetName val="Sporting Events"/>
      <sheetName val="Other Rev"/>
      <sheetName val="Revenue"/>
      <sheetName val="BOOKED DEC 07 REV"/>
      <sheetName val="cet rev with new normals"/>
      <sheetName val="FORCST WITH CET REV DEC 2008 "/>
      <sheetName val="REV SUMMARY"/>
      <sheetName val="Rev by Component"/>
      <sheetName val="Industrial Cust"/>
      <sheetName val="AIRCRAFT"/>
      <sheetName val="IT REV"/>
      <sheetName val="OakCity"/>
      <sheetName val="Lab Adj"/>
      <sheetName val="Utah Bad Debt"/>
      <sheetName val="Capital Str"/>
      <sheetName val="Utah Allocation"/>
      <sheetName val="ALLOCATIONS&amp;PRETAX"/>
      <sheetName val="PRINT MACRO"/>
      <sheetName val="Checks"/>
      <sheetName val="COS Input"/>
      <sheetName val="Dist Plant"/>
      <sheetName val="Dist Throughput"/>
      <sheetName val="COS REVRUN"/>
      <sheetName val="COS Alloc Factors"/>
      <sheetName val="COS Detail"/>
      <sheetName val="Taxes by Class"/>
      <sheetName val="COS Sum"/>
      <sheetName val="COS Summary"/>
      <sheetName val="Rate Design"/>
      <sheetName val="Sheet1"/>
      <sheetName val="Current Rev"/>
      <sheetName val="Rates"/>
      <sheetName val="Blocks"/>
      <sheetName val="Cost Curves"/>
      <sheetName val="Graphs"/>
      <sheetName val="Sum-Wint"/>
      <sheetName val="Rules"/>
      <sheetName val="Bill Factor Input"/>
      <sheetName val="Cur Bill Fctr Inp"/>
      <sheetName val="Criteria"/>
      <sheetName val="Checks-2"/>
    </sheetNames>
    <sheetDataSet>
      <sheetData sheetId="58">
        <row r="2">
          <cell r="L2">
            <v>12</v>
          </cell>
          <cell r="M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S342:S361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tabColor indexed="11"/>
    <pageSetUpPr fitToPage="1"/>
  </sheetPr>
  <dimension ref="A1:AJ436"/>
  <sheetViews>
    <sheetView tabSelected="1" workbookViewId="0" topLeftCell="A1">
      <selection activeCell="V46" sqref="V46"/>
    </sheetView>
  </sheetViews>
  <sheetFormatPr defaultColWidth="9.140625" defaultRowHeight="12.75"/>
  <cols>
    <col min="1" max="1" width="9.28125" style="1" customWidth="1"/>
    <col min="2" max="2" width="9.00390625" style="1" customWidth="1"/>
    <col min="3" max="3" width="10.421875" style="1" bestFit="1" customWidth="1"/>
    <col min="4" max="4" width="10.140625" style="83" customWidth="1"/>
    <col min="5" max="5" width="25.57421875" style="1" bestFit="1" customWidth="1"/>
    <col min="6" max="6" width="15.8515625" style="1" customWidth="1"/>
    <col min="7" max="7" width="12.7109375" style="1" bestFit="1" customWidth="1"/>
    <col min="8" max="8" width="8.140625" style="86" hidden="1" customWidth="1"/>
    <col min="9" max="9" width="12.7109375" style="52" customWidth="1"/>
    <col min="10" max="10" width="12.421875" style="52" customWidth="1"/>
    <col min="11" max="11" width="14.140625" style="52" customWidth="1"/>
    <col min="12" max="12" width="1.7109375" style="248" customWidth="1"/>
    <col min="13" max="13" width="13.140625" style="52" bestFit="1" customWidth="1"/>
    <col min="14" max="14" width="12.7109375" style="52" bestFit="1" customWidth="1"/>
    <col min="15" max="15" width="1.57421875" style="8" customWidth="1"/>
    <col min="16" max="16" width="12.7109375" style="1" bestFit="1" customWidth="1"/>
    <col min="17" max="17" width="1.421875" style="8" customWidth="1"/>
    <col min="18" max="18" width="1.57421875" style="8" customWidth="1"/>
    <col min="19" max="19" width="10.7109375" style="8" customWidth="1"/>
    <col min="20" max="20" width="12.421875" style="8" customWidth="1"/>
    <col min="21" max="21" width="11.8515625" style="8" customWidth="1"/>
    <col min="22" max="22" width="12.00390625" style="8" customWidth="1"/>
    <col min="23" max="23" width="11.7109375" style="8" bestFit="1" customWidth="1"/>
    <col min="24" max="24" width="10.28125" style="8" bestFit="1" customWidth="1"/>
    <col min="25" max="25" width="14.7109375" style="8" customWidth="1"/>
    <col min="26" max="27" width="9.140625" style="8" customWidth="1"/>
    <col min="28" max="28" width="15.7109375" style="8" customWidth="1"/>
    <col min="29" max="30" width="9.140625" style="8" customWidth="1"/>
    <col min="31" max="31" width="10.57421875" style="8" customWidth="1"/>
    <col min="32" max="32" width="10.8515625" style="8" customWidth="1"/>
    <col min="33" max="33" width="12.00390625" style="8" customWidth="1"/>
    <col min="34" max="34" width="13.8515625" style="8" bestFit="1" customWidth="1"/>
    <col min="35" max="16384" width="9.140625" style="8" customWidth="1"/>
  </cols>
  <sheetData>
    <row r="1" spans="2:20" ht="12.75">
      <c r="B1" s="2"/>
      <c r="C1" s="2"/>
      <c r="D1" s="3"/>
      <c r="E1" s="4"/>
      <c r="F1" s="4"/>
      <c r="G1" s="4"/>
      <c r="H1" s="5"/>
      <c r="I1" s="6"/>
      <c r="J1" s="275" t="s">
        <v>0</v>
      </c>
      <c r="K1" s="275"/>
      <c r="L1" s="275"/>
      <c r="M1" s="4"/>
      <c r="N1" s="4"/>
      <c r="P1" s="9" t="s">
        <v>1</v>
      </c>
      <c r="S1" s="10"/>
      <c r="T1" s="11"/>
    </row>
    <row r="2" spans="1:20" ht="15.75">
      <c r="A2" s="12" t="s">
        <v>2</v>
      </c>
      <c r="B2" s="2"/>
      <c r="C2" s="2"/>
      <c r="D2" s="3"/>
      <c r="E2" s="8"/>
      <c r="F2" s="4"/>
      <c r="G2" s="4"/>
      <c r="H2" s="5"/>
      <c r="I2" s="273" t="s">
        <v>3</v>
      </c>
      <c r="J2" s="273"/>
      <c r="K2" s="273"/>
      <c r="L2" s="7"/>
      <c r="M2" s="4"/>
      <c r="N2" s="4"/>
      <c r="P2" s="9"/>
      <c r="S2" s="13"/>
      <c r="T2" s="14"/>
    </row>
    <row r="3" spans="1:20" ht="13.5" thickBot="1">
      <c r="A3" s="15"/>
      <c r="B3" s="15"/>
      <c r="C3" s="15"/>
      <c r="D3" s="15"/>
      <c r="E3" s="276" t="s">
        <v>4</v>
      </c>
      <c r="F3" s="277"/>
      <c r="G3" s="277"/>
      <c r="H3" s="16"/>
      <c r="I3" s="15"/>
      <c r="J3" s="15"/>
      <c r="K3" s="17" t="s">
        <v>5</v>
      </c>
      <c r="L3" s="18"/>
      <c r="M3" s="253" t="s">
        <v>6</v>
      </c>
      <c r="N3" s="254"/>
      <c r="P3" s="19" t="s">
        <v>7</v>
      </c>
      <c r="S3" s="20"/>
      <c r="T3" s="21"/>
    </row>
    <row r="4" spans="1:22" ht="12.75">
      <c r="A4" s="4"/>
      <c r="B4" s="4"/>
      <c r="C4" s="4"/>
      <c r="D4" s="22"/>
      <c r="E4" s="23"/>
      <c r="F4" s="24"/>
      <c r="G4" s="24"/>
      <c r="H4" s="5"/>
      <c r="I4" s="23"/>
      <c r="J4" s="24"/>
      <c r="K4" s="24"/>
      <c r="L4" s="4"/>
      <c r="M4" s="9"/>
      <c r="N4" s="24"/>
      <c r="P4" s="9"/>
      <c r="S4" s="20"/>
      <c r="T4" s="21"/>
      <c r="U4" s="25">
        <f>K421</f>
        <v>-124.4770619571209</v>
      </c>
      <c r="V4" s="26">
        <v>0</v>
      </c>
    </row>
    <row r="5" spans="1:33" ht="12.75">
      <c r="A5" s="27" t="s">
        <v>8</v>
      </c>
      <c r="B5" s="5"/>
      <c r="C5" s="5"/>
      <c r="D5" s="28"/>
      <c r="E5" s="9" t="s">
        <v>9</v>
      </c>
      <c r="F5" s="9"/>
      <c r="G5" s="9"/>
      <c r="H5" s="5"/>
      <c r="I5" s="274" t="s">
        <v>10</v>
      </c>
      <c r="J5" s="272"/>
      <c r="K5" s="272"/>
      <c r="L5" s="1"/>
      <c r="M5" s="29" t="s">
        <v>11</v>
      </c>
      <c r="N5" s="9" t="s">
        <v>12</v>
      </c>
      <c r="P5" s="29" t="s">
        <v>11</v>
      </c>
      <c r="S5" s="20"/>
      <c r="T5" s="21"/>
      <c r="AB5" s="8" t="s">
        <v>13</v>
      </c>
      <c r="AD5" s="8" t="s">
        <v>14</v>
      </c>
      <c r="AF5" s="8" t="s">
        <v>15</v>
      </c>
      <c r="AG5" s="8" t="s">
        <v>16</v>
      </c>
    </row>
    <row r="6" spans="1:20" ht="13.5" thickBot="1">
      <c r="A6" s="30" t="s">
        <v>17</v>
      </c>
      <c r="B6" s="17"/>
      <c r="C6" s="17"/>
      <c r="D6" s="31" t="s">
        <v>14</v>
      </c>
      <c r="E6" s="19" t="s">
        <v>14</v>
      </c>
      <c r="F6" s="19" t="s">
        <v>18</v>
      </c>
      <c r="G6" s="32" t="s">
        <v>19</v>
      </c>
      <c r="H6" s="5"/>
      <c r="I6" s="19" t="s">
        <v>14</v>
      </c>
      <c r="J6" s="19" t="s">
        <v>20</v>
      </c>
      <c r="K6" s="32" t="s">
        <v>19</v>
      </c>
      <c r="L6" s="5"/>
      <c r="M6" s="33" t="s">
        <v>21</v>
      </c>
      <c r="N6" s="32" t="s">
        <v>21</v>
      </c>
      <c r="P6" s="33" t="s">
        <v>21</v>
      </c>
      <c r="S6" s="20" t="s">
        <v>22</v>
      </c>
      <c r="T6" s="34" t="s">
        <v>4</v>
      </c>
    </row>
    <row r="7" spans="1:36" ht="12.75">
      <c r="A7" s="35" t="s">
        <v>23</v>
      </c>
      <c r="B7" s="35" t="s">
        <v>24</v>
      </c>
      <c r="C7" s="36" t="s">
        <v>25</v>
      </c>
      <c r="D7" s="37">
        <f>'[1]Rates'!H85</f>
        <v>0</v>
      </c>
      <c r="E7" s="38">
        <v>43750063</v>
      </c>
      <c r="F7" s="39">
        <v>1.95993</v>
      </c>
      <c r="G7" s="40">
        <f>ROUND(E7*F7,0)</f>
        <v>85747061</v>
      </c>
      <c r="H7" s="41"/>
      <c r="I7" s="38">
        <f>E7+E8+AD7</f>
        <v>45339824.35031691</v>
      </c>
      <c r="J7" s="39">
        <f>V8</f>
        <v>2.2700945974366573</v>
      </c>
      <c r="K7" s="40">
        <f>ROUND(I7*J7,0)</f>
        <v>102925690</v>
      </c>
      <c r="L7" s="5"/>
      <c r="M7" s="42">
        <v>2.02627</v>
      </c>
      <c r="N7" s="39">
        <f>'[1]Rates'!$M$85</f>
        <v>1.95993</v>
      </c>
      <c r="P7" s="42" t="s">
        <v>4</v>
      </c>
      <c r="R7" s="39"/>
      <c r="S7" s="20" t="s">
        <v>26</v>
      </c>
      <c r="T7" s="43" t="s">
        <v>4</v>
      </c>
      <c r="U7" s="39">
        <v>2.3</v>
      </c>
      <c r="V7" s="25">
        <f>I7</f>
        <v>45339824.35031691</v>
      </c>
      <c r="W7" s="40">
        <f>U7*V7</f>
        <v>104281596.00572889</v>
      </c>
      <c r="X7" s="44">
        <f>W7/$W12</f>
        <v>0.7552204071172615</v>
      </c>
      <c r="Y7" s="40">
        <f>X7*T18</f>
        <v>102925690.30638142</v>
      </c>
      <c r="AB7" s="8">
        <v>45014059</v>
      </c>
      <c r="AC7" s="8">
        <f>AB7/AB12</f>
        <v>0.7127807417644552</v>
      </c>
      <c r="AD7" s="45">
        <f>$V$82*AC7</f>
        <v>325765.35031691066</v>
      </c>
      <c r="AE7" s="8">
        <v>3.848905</v>
      </c>
      <c r="AF7" s="8">
        <f>AD7*AE7</f>
        <v>1253839.885661509</v>
      </c>
      <c r="AG7" s="8">
        <f>J7*AD7</f>
        <v>739518.161786479</v>
      </c>
      <c r="AH7" s="46">
        <f>J7-F7</f>
        <v>0.31016459743665736</v>
      </c>
      <c r="AI7" s="46">
        <f>F7</f>
        <v>1.95993</v>
      </c>
      <c r="AJ7" s="47">
        <f>AH7/AI7</f>
        <v>0.15825289547925558</v>
      </c>
    </row>
    <row r="8" spans="1:36" ht="12.75">
      <c r="A8" s="48"/>
      <c r="B8" s="36" t="s">
        <v>4</v>
      </c>
      <c r="C8" s="36" t="s">
        <v>4</v>
      </c>
      <c r="D8" s="49"/>
      <c r="E8" s="38">
        <v>1263996</v>
      </c>
      <c r="F8" s="39">
        <v>0.8137</v>
      </c>
      <c r="G8" s="40">
        <f>ROUND(E8*F8,0)</f>
        <v>1028514</v>
      </c>
      <c r="H8" s="41"/>
      <c r="I8" s="38"/>
      <c r="J8" s="39"/>
      <c r="K8" s="40"/>
      <c r="L8" s="5"/>
      <c r="M8" s="42"/>
      <c r="N8" s="39"/>
      <c r="P8" s="42"/>
      <c r="R8" s="39"/>
      <c r="S8" s="20"/>
      <c r="T8" s="21"/>
      <c r="U8" s="39"/>
      <c r="V8" s="50">
        <f>Y7/V7</f>
        <v>2.2700945974366573</v>
      </c>
      <c r="AH8" s="46">
        <f>J7-F8</f>
        <v>1.4563945974366574</v>
      </c>
      <c r="AI8" s="46">
        <f>F8</f>
        <v>0.8137</v>
      </c>
      <c r="AJ8" s="47">
        <f>AH8/AI8</f>
        <v>1.7898421991356244</v>
      </c>
    </row>
    <row r="9" spans="1:36" ht="12.75">
      <c r="A9" s="48"/>
      <c r="B9" s="35"/>
      <c r="C9" s="35"/>
      <c r="D9" s="49"/>
      <c r="E9" s="38">
        <v>17988828</v>
      </c>
      <c r="F9" s="39">
        <v>1.65073</v>
      </c>
      <c r="G9" s="40">
        <f>ROUND(E9*F9,0)</f>
        <v>29694698</v>
      </c>
      <c r="H9" s="41"/>
      <c r="I9" s="38">
        <f>E9+E10+AD10</f>
        <v>18269953.094118968</v>
      </c>
      <c r="J9" s="39">
        <f>V11</f>
        <v>1.8259456544599204</v>
      </c>
      <c r="K9" s="38">
        <f>ROUND(I9*J9,0)</f>
        <v>33359941</v>
      </c>
      <c r="L9" s="5"/>
      <c r="M9" s="42"/>
      <c r="N9" s="39"/>
      <c r="P9" s="42"/>
      <c r="R9" s="39"/>
      <c r="S9" s="20"/>
      <c r="T9" s="21"/>
      <c r="U9" s="39"/>
      <c r="V9" s="50"/>
      <c r="AH9" s="46">
        <f>J9-F9</f>
        <v>0.17521565445992038</v>
      </c>
      <c r="AI9" s="46">
        <f>F9</f>
        <v>1.65073</v>
      </c>
      <c r="AJ9" s="47">
        <f>AH9/AI9</f>
        <v>0.10614434490190423</v>
      </c>
    </row>
    <row r="10" spans="1:36" ht="12.75">
      <c r="A10" s="51" t="s">
        <v>27</v>
      </c>
      <c r="B10" s="35" t="s">
        <v>24</v>
      </c>
      <c r="C10" s="36" t="s">
        <v>25</v>
      </c>
      <c r="D10" s="49">
        <f>D7</f>
        <v>0</v>
      </c>
      <c r="E10" s="38">
        <v>149856</v>
      </c>
      <c r="F10" s="39">
        <v>0.61279</v>
      </c>
      <c r="G10" s="40">
        <f>ROUND(E10*F10,0)</f>
        <v>91830</v>
      </c>
      <c r="H10" s="41"/>
      <c r="L10" s="5"/>
      <c r="M10" s="42">
        <v>1.41025</v>
      </c>
      <c r="N10" s="39">
        <f>'[1]Rates'!$M$84</f>
        <v>1.65073</v>
      </c>
      <c r="P10" s="42">
        <f>ROUND($M$7-'[1]Rules'!$F$3,5)</f>
        <v>1.22831</v>
      </c>
      <c r="R10" s="39"/>
      <c r="S10" s="20"/>
      <c r="T10" s="21"/>
      <c r="U10" s="39">
        <v>1.85</v>
      </c>
      <c r="V10" s="25">
        <f>I9</f>
        <v>18269953.094118968</v>
      </c>
      <c r="W10" s="40">
        <f>U10*V10</f>
        <v>33799413.224120095</v>
      </c>
      <c r="X10" s="44">
        <f>W10/$W$12</f>
        <v>0.24477959288273854</v>
      </c>
      <c r="Y10" s="40">
        <f>X10*T18</f>
        <v>33359941.459393106</v>
      </c>
      <c r="AB10" s="8">
        <v>18138684</v>
      </c>
      <c r="AC10" s="8">
        <f>1-AC7</f>
        <v>0.28721925823554484</v>
      </c>
      <c r="AD10" s="45">
        <f>$V$82*AC10</f>
        <v>131269.09411896716</v>
      </c>
      <c r="AE10" s="8">
        <v>3.73844</v>
      </c>
      <c r="AF10" s="8">
        <f>AD10*AE10</f>
        <v>490741.6322181116</v>
      </c>
      <c r="AG10" s="8">
        <f>J9*AD10</f>
        <v>239690.23197141837</v>
      </c>
      <c r="AH10" s="46">
        <f>J9-F10</f>
        <v>1.2131556544599205</v>
      </c>
      <c r="AI10" s="46">
        <f>F10</f>
        <v>0.61279</v>
      </c>
      <c r="AJ10" s="47">
        <f>AH10/AI10</f>
        <v>1.9797249538339734</v>
      </c>
    </row>
    <row r="11" spans="1:36" ht="13.5" thickBot="1">
      <c r="A11" s="53" t="s">
        <v>28</v>
      </c>
      <c r="B11" s="1" t="s">
        <v>4</v>
      </c>
      <c r="C11" s="36" t="s">
        <v>4</v>
      </c>
      <c r="D11" s="49"/>
      <c r="E11" s="54">
        <f>SUM(E7:E10)</f>
        <v>63152743</v>
      </c>
      <c r="F11" s="55"/>
      <c r="G11" s="56">
        <f>SUM(G7:G10)</f>
        <v>116562103</v>
      </c>
      <c r="H11" s="41"/>
      <c r="I11" s="56">
        <f>SUM(I7:I9)</f>
        <v>63609777.44443588</v>
      </c>
      <c r="J11" s="55"/>
      <c r="K11" s="57">
        <f>SUM(K7:K9)</f>
        <v>136285631</v>
      </c>
      <c r="L11" s="5"/>
      <c r="M11" s="58">
        <v>-0.011642549208648222</v>
      </c>
      <c r="N11" s="55"/>
      <c r="P11" s="58">
        <f>($K11-$G11)/$G11</f>
        <v>0.16921046800262346</v>
      </c>
      <c r="R11" s="39"/>
      <c r="S11" s="59"/>
      <c r="T11" s="60"/>
      <c r="V11" s="50">
        <f>Y10/V10</f>
        <v>1.8259456544599204</v>
      </c>
      <c r="AH11" s="46" t="s">
        <v>4</v>
      </c>
      <c r="AI11" s="46" t="s">
        <v>4</v>
      </c>
      <c r="AJ11" s="47" t="s">
        <v>4</v>
      </c>
    </row>
    <row r="12" spans="1:30" ht="12.75">
      <c r="A12" s="61"/>
      <c r="B12" s="62"/>
      <c r="C12" s="62"/>
      <c r="D12" s="63"/>
      <c r="E12" s="64"/>
      <c r="F12" s="65"/>
      <c r="G12" s="66"/>
      <c r="H12" s="41"/>
      <c r="I12" s="64" t="s">
        <v>29</v>
      </c>
      <c r="J12" s="65"/>
      <c r="K12" s="67" t="s">
        <v>4</v>
      </c>
      <c r="L12" s="5"/>
      <c r="M12" s="68">
        <v>0.6160199999999998</v>
      </c>
      <c r="N12" s="65">
        <f>N7-N10</f>
        <v>0.3091999999999999</v>
      </c>
      <c r="P12" s="68" t="s">
        <v>4</v>
      </c>
      <c r="W12" s="25">
        <f>W7+W10</f>
        <v>138081009.22984898</v>
      </c>
      <c r="X12" s="47">
        <f>X7+X10</f>
        <v>1</v>
      </c>
      <c r="Y12" s="25">
        <f>Y7+Y10</f>
        <v>136285631.76577452</v>
      </c>
      <c r="AB12" s="8">
        <f>AB7+AB10</f>
        <v>63152743</v>
      </c>
      <c r="AD12" s="8">
        <f>AD7+AD10</f>
        <v>457034.44443587784</v>
      </c>
    </row>
    <row r="13" spans="1:23" ht="13.5" thickBot="1">
      <c r="A13" s="69" t="s">
        <v>30</v>
      </c>
      <c r="B13" s="70"/>
      <c r="C13" s="70"/>
      <c r="D13" s="71"/>
      <c r="E13" s="19" t="s">
        <v>31</v>
      </c>
      <c r="F13" s="19" t="s">
        <v>18</v>
      </c>
      <c r="G13" s="32" t="s">
        <v>19</v>
      </c>
      <c r="H13" s="5"/>
      <c r="I13" s="19" t="s">
        <v>31</v>
      </c>
      <c r="J13" s="19" t="s">
        <v>20</v>
      </c>
      <c r="K13" s="32" t="s">
        <v>19</v>
      </c>
      <c r="L13" s="5"/>
      <c r="M13" s="72"/>
      <c r="N13" s="32"/>
      <c r="P13" s="72"/>
      <c r="T13" s="73">
        <v>0.04554</v>
      </c>
      <c r="V13" s="50">
        <f>V8-V11</f>
        <v>0.4441489429767369</v>
      </c>
      <c r="W13" s="8" t="s">
        <v>32</v>
      </c>
    </row>
    <row r="14" spans="1:20" ht="12.75">
      <c r="A14" s="74" t="s">
        <v>33</v>
      </c>
      <c r="B14" s="35" t="s">
        <v>34</v>
      </c>
      <c r="C14" s="51"/>
      <c r="D14" s="75"/>
      <c r="E14" s="38">
        <f>DSUM(billfactors,'[1]Bill Factor Input'!E$2,UT_GSR)</f>
        <v>792341.5833333333</v>
      </c>
      <c r="F14" s="4"/>
      <c r="G14" s="66"/>
      <c r="H14" s="5"/>
      <c r="I14" s="66">
        <f>E14</f>
        <v>792341.5833333333</v>
      </c>
      <c r="J14" s="4"/>
      <c r="K14" s="66"/>
      <c r="L14" s="5"/>
      <c r="M14" s="76"/>
      <c r="N14" s="4"/>
      <c r="P14" s="76"/>
      <c r="T14" s="77">
        <f>G36*T13</f>
        <v>8025372.011650908</v>
      </c>
    </row>
    <row r="15" spans="1:22" ht="12.75">
      <c r="A15" s="61"/>
      <c r="B15" s="35" t="s">
        <v>35</v>
      </c>
      <c r="C15" s="51"/>
      <c r="D15" s="75"/>
      <c r="E15" s="78">
        <f>E14*12</f>
        <v>9508099</v>
      </c>
      <c r="F15" s="4"/>
      <c r="G15" s="66"/>
      <c r="H15" s="5"/>
      <c r="I15" s="78">
        <f>I14*12</f>
        <v>9508099</v>
      </c>
      <c r="J15" s="4"/>
      <c r="K15" s="66"/>
      <c r="L15" s="5"/>
      <c r="M15" s="76"/>
      <c r="N15" s="4"/>
      <c r="P15" s="76"/>
      <c r="T15" s="77">
        <f>G36+G37</f>
        <v>178006777.41797873</v>
      </c>
      <c r="V15" s="8" t="s">
        <v>4</v>
      </c>
    </row>
    <row r="16" spans="1:20" ht="12.75">
      <c r="A16" s="61"/>
      <c r="B16" s="35" t="s">
        <v>36</v>
      </c>
      <c r="C16" s="51"/>
      <c r="D16" s="75"/>
      <c r="E16" s="79">
        <f>'[1]Rates'!M42</f>
        <v>0.9923865</v>
      </c>
      <c r="F16" s="4"/>
      <c r="G16" s="66"/>
      <c r="H16" s="5"/>
      <c r="I16" s="79">
        <f>'[1]Rates'!O42</f>
        <v>0.9923865</v>
      </c>
      <c r="J16" s="4"/>
      <c r="K16" s="66"/>
      <c r="L16" s="5"/>
      <c r="M16" s="76"/>
      <c r="N16" s="4"/>
      <c r="P16" s="76"/>
      <c r="S16" s="8" t="s">
        <v>37</v>
      </c>
      <c r="T16" s="77">
        <f>T14+T15</f>
        <v>186032149.42962965</v>
      </c>
    </row>
    <row r="17" spans="1:30" ht="12.75">
      <c r="A17" s="61"/>
      <c r="B17" s="35" t="s">
        <v>38</v>
      </c>
      <c r="C17" s="51"/>
      <c r="D17" s="75"/>
      <c r="E17" s="78">
        <f>E15*E16</f>
        <v>9435709.088263499</v>
      </c>
      <c r="F17" s="4"/>
      <c r="G17" s="66"/>
      <c r="H17" s="5"/>
      <c r="I17" s="78">
        <f>I15*I16</f>
        <v>9435709.088263499</v>
      </c>
      <c r="J17" s="4"/>
      <c r="K17" s="66"/>
      <c r="L17" s="5"/>
      <c r="M17" s="76"/>
      <c r="N17" s="4"/>
      <c r="P17" s="76"/>
      <c r="S17" s="8" t="s">
        <v>39</v>
      </c>
      <c r="T17" s="25">
        <f>-K34</f>
        <v>-49746517.66385513</v>
      </c>
      <c r="AB17" s="8" t="s">
        <v>13</v>
      </c>
      <c r="AD17" s="8" t="s">
        <v>31</v>
      </c>
    </row>
    <row r="18" spans="1:20" ht="12.75">
      <c r="A18" s="61"/>
      <c r="B18" s="35"/>
      <c r="C18" s="80" t="s">
        <v>40</v>
      </c>
      <c r="D18" s="75"/>
      <c r="E18" s="66"/>
      <c r="F18" s="4"/>
      <c r="G18" s="66"/>
      <c r="H18" s="5"/>
      <c r="I18" s="66"/>
      <c r="J18" s="4"/>
      <c r="K18" s="66"/>
      <c r="L18" s="5"/>
      <c r="M18" s="76"/>
      <c r="N18" s="4"/>
      <c r="P18" s="76"/>
      <c r="R18" s="81"/>
      <c r="S18" s="8" t="s">
        <v>41</v>
      </c>
      <c r="T18" s="77">
        <f>T16+T17</f>
        <v>136285631.76577452</v>
      </c>
    </row>
    <row r="19" spans="1:18" ht="12.75">
      <c r="A19" s="61"/>
      <c r="B19" s="36" t="s">
        <v>4</v>
      </c>
      <c r="C19" s="82" t="s">
        <v>4</v>
      </c>
      <c r="E19" s="66" t="s">
        <v>4</v>
      </c>
      <c r="F19" s="84" t="s">
        <v>4</v>
      </c>
      <c r="G19" s="66" t="s">
        <v>4</v>
      </c>
      <c r="H19" s="5"/>
      <c r="I19" s="66" t="s">
        <v>4</v>
      </c>
      <c r="J19" s="84" t="s">
        <v>4</v>
      </c>
      <c r="K19" s="66" t="s">
        <v>4</v>
      </c>
      <c r="L19" s="5"/>
      <c r="M19" s="85">
        <v>5</v>
      </c>
      <c r="N19" s="84">
        <f>'[1]Rates'!$M$8</f>
        <v>5</v>
      </c>
      <c r="P19" s="85">
        <f>'[1]Rates'!$O$8</f>
        <v>5</v>
      </c>
      <c r="R19" s="82"/>
    </row>
    <row r="20" spans="1:30" ht="12.75">
      <c r="A20" s="61"/>
      <c r="B20" s="35" t="s">
        <v>42</v>
      </c>
      <c r="C20" s="82">
        <v>0.989013</v>
      </c>
      <c r="E20" s="66">
        <v>9335024.60615217</v>
      </c>
      <c r="F20" s="84">
        <v>5</v>
      </c>
      <c r="G20" s="66">
        <f>E20*F20</f>
        <v>46675123.03076085</v>
      </c>
      <c r="H20" s="5"/>
      <c r="I20" s="66">
        <f>E20+AD20</f>
        <v>9341119.60615217</v>
      </c>
      <c r="J20" s="84">
        <f>F20</f>
        <v>5</v>
      </c>
      <c r="K20" s="66">
        <f>I20*J20</f>
        <v>46705598.03076085</v>
      </c>
      <c r="L20" s="5"/>
      <c r="M20" s="85">
        <v>6</v>
      </c>
      <c r="N20" s="84">
        <f>'[1]Rates'!$M$9</f>
        <v>5</v>
      </c>
      <c r="P20" s="85">
        <f>'[1]Rates'!$O$9</f>
        <v>6</v>
      </c>
      <c r="R20" s="82"/>
      <c r="AB20" s="66">
        <f>E20</f>
        <v>9335024.60615217</v>
      </c>
      <c r="AC20" s="8">
        <f>AB20/$AB$27</f>
        <v>0.9890129999999999</v>
      </c>
      <c r="AD20" s="45">
        <f>ROUND(AC20*$AD$29,0)</f>
        <v>6095</v>
      </c>
    </row>
    <row r="21" spans="1:30" ht="12.75">
      <c r="A21" s="61"/>
      <c r="B21" s="35" t="s">
        <v>43</v>
      </c>
      <c r="C21" s="82">
        <v>0.009817</v>
      </c>
      <c r="E21" s="66">
        <v>92659.99188948562</v>
      </c>
      <c r="F21" s="84">
        <v>21</v>
      </c>
      <c r="G21" s="66">
        <f>E21*F21</f>
        <v>1945859.829679198</v>
      </c>
      <c r="H21" s="5"/>
      <c r="I21" s="66">
        <f>E21+AD21</f>
        <v>92720.99188948562</v>
      </c>
      <c r="J21" s="84">
        <f>F21</f>
        <v>21</v>
      </c>
      <c r="K21" s="66">
        <f>I21*J21</f>
        <v>1947140.829679198</v>
      </c>
      <c r="L21" s="5"/>
      <c r="M21" s="85">
        <v>36</v>
      </c>
      <c r="N21" s="84">
        <f>'[1]Rates'!$M$10</f>
        <v>21</v>
      </c>
      <c r="P21" s="85">
        <f>'[1]Rates'!$O$10</f>
        <v>36</v>
      </c>
      <c r="R21" s="82"/>
      <c r="AB21" s="66">
        <f>E21</f>
        <v>92659.99188948562</v>
      </c>
      <c r="AC21" s="8">
        <f>AB21/$AB$27</f>
        <v>0.009817</v>
      </c>
      <c r="AD21" s="45">
        <f>ROUND(AC21*$AD$29,0)</f>
        <v>61</v>
      </c>
    </row>
    <row r="22" spans="1:30" ht="12.75">
      <c r="A22" s="61"/>
      <c r="B22" s="35" t="s">
        <v>44</v>
      </c>
      <c r="C22" s="82">
        <v>0.001169</v>
      </c>
      <c r="E22" s="66">
        <v>11033.872926434622</v>
      </c>
      <c r="F22" s="84">
        <v>55</v>
      </c>
      <c r="G22" s="66">
        <f>E22*F22</f>
        <v>606863.0109539042</v>
      </c>
      <c r="H22" s="5"/>
      <c r="I22" s="66">
        <f>E22+AD22</f>
        <v>11040.872926434622</v>
      </c>
      <c r="J22" s="84">
        <f>F22</f>
        <v>55</v>
      </c>
      <c r="K22" s="66">
        <f>I22*J22</f>
        <v>607248.0109539042</v>
      </c>
      <c r="L22" s="5"/>
      <c r="M22" s="85">
        <v>135</v>
      </c>
      <c r="N22" s="84">
        <f>'[1]Rates'!$M$11</f>
        <v>55</v>
      </c>
      <c r="P22" s="85">
        <f>'[1]Rates'!$O$11</f>
        <v>135</v>
      </c>
      <c r="R22" s="82"/>
      <c r="AB22" s="66">
        <f>E22</f>
        <v>11033.872926434622</v>
      </c>
      <c r="AC22" s="8">
        <f>AB22/$AB$27</f>
        <v>0.001169</v>
      </c>
      <c r="AD22" s="45">
        <f>ROUND(AC22*$AD$29,0)</f>
        <v>7</v>
      </c>
    </row>
    <row r="23" spans="1:30" ht="12.75">
      <c r="A23" s="61"/>
      <c r="B23" s="35" t="s">
        <v>45</v>
      </c>
      <c r="C23" s="82">
        <v>1E-06</v>
      </c>
      <c r="E23" s="66">
        <v>9.438727909695999</v>
      </c>
      <c r="F23" s="84">
        <v>244</v>
      </c>
      <c r="G23" s="66">
        <f>E23*F23</f>
        <v>2303.0496099658235</v>
      </c>
      <c r="H23" s="5"/>
      <c r="I23" s="66">
        <f>$I$17*C23</f>
        <v>9.435709088263499</v>
      </c>
      <c r="J23" s="84">
        <f>F23</f>
        <v>244</v>
      </c>
      <c r="K23" s="66">
        <f>I23*J23</f>
        <v>2302.3130175362935</v>
      </c>
      <c r="L23" s="5"/>
      <c r="M23" s="85">
        <v>416</v>
      </c>
      <c r="N23" s="84">
        <f>'[1]Rates'!$M$12</f>
        <v>244</v>
      </c>
      <c r="P23" s="85">
        <f>'[1]Rates'!$O$12</f>
        <v>416</v>
      </c>
      <c r="R23" s="82"/>
      <c r="AB23" s="66">
        <f>E23</f>
        <v>9.438727909695999</v>
      </c>
      <c r="AC23" s="8">
        <f>AB23/$AB$27</f>
        <v>1E-06</v>
      </c>
      <c r="AD23" s="45">
        <f>ROUND(AC23*$AD$29,0)</f>
        <v>0</v>
      </c>
    </row>
    <row r="24" spans="1:18" ht="12.75">
      <c r="A24" s="61"/>
      <c r="B24" s="36" t="s">
        <v>4</v>
      </c>
      <c r="C24" s="82" t="s">
        <v>4</v>
      </c>
      <c r="D24" s="83" t="s">
        <v>4</v>
      </c>
      <c r="E24" s="66" t="s">
        <v>4</v>
      </c>
      <c r="F24" s="84" t="s">
        <v>4</v>
      </c>
      <c r="G24" s="66" t="s">
        <v>4</v>
      </c>
      <c r="H24" s="5"/>
      <c r="I24" s="66" t="s">
        <v>4</v>
      </c>
      <c r="J24" s="84" t="s">
        <v>4</v>
      </c>
      <c r="K24" s="66" t="s">
        <v>4</v>
      </c>
      <c r="L24" s="5"/>
      <c r="M24" s="85">
        <v>135</v>
      </c>
      <c r="N24" s="84">
        <f>'[1]Rates'!$M$13</f>
        <v>55</v>
      </c>
      <c r="P24" s="85">
        <f>'[1]Rates'!$O$13</f>
        <v>135</v>
      </c>
      <c r="R24" s="82"/>
    </row>
    <row r="25" spans="1:18" ht="12.75">
      <c r="A25" s="61"/>
      <c r="B25" s="36" t="s">
        <v>4</v>
      </c>
      <c r="C25" s="82" t="s">
        <v>4</v>
      </c>
      <c r="E25" s="66" t="s">
        <v>4</v>
      </c>
      <c r="F25" s="84" t="s">
        <v>4</v>
      </c>
      <c r="G25" s="66" t="s">
        <v>4</v>
      </c>
      <c r="I25" s="66" t="s">
        <v>4</v>
      </c>
      <c r="J25" s="84" t="s">
        <v>4</v>
      </c>
      <c r="K25" s="66" t="s">
        <v>4</v>
      </c>
      <c r="L25" s="5"/>
      <c r="M25" s="85">
        <v>416</v>
      </c>
      <c r="N25" s="84">
        <f>'[1]Rates'!$M$14</f>
        <v>244</v>
      </c>
      <c r="P25" s="85">
        <f>'[1]Rates'!$O$14</f>
        <v>416</v>
      </c>
      <c r="R25" s="82"/>
    </row>
    <row r="26" spans="2:16" ht="12.75">
      <c r="B26" s="35" t="s">
        <v>46</v>
      </c>
      <c r="E26" s="87">
        <f>SUM(E19:E25)</f>
        <v>9438727.909696</v>
      </c>
      <c r="F26" s="88"/>
      <c r="G26" s="87">
        <f>SUM(G19:G25)</f>
        <v>49230148.921003915</v>
      </c>
      <c r="I26" s="87">
        <f>SUM(I19:I25)</f>
        <v>9444890.906677179</v>
      </c>
      <c r="J26" s="89">
        <f>K26/I26</f>
        <v>5.215760528222186</v>
      </c>
      <c r="K26" s="87">
        <f>SUM(K19:K25)</f>
        <v>49262289.18441149</v>
      </c>
      <c r="L26" s="5"/>
      <c r="M26" s="58">
        <v>0.534286587791589</v>
      </c>
      <c r="N26" s="4"/>
      <c r="P26" s="58">
        <f>($K26-$G26)/$G26</f>
        <v>0.000652857326496133</v>
      </c>
    </row>
    <row r="27" spans="1:33" ht="12.75">
      <c r="A27" s="61"/>
      <c r="B27" s="61"/>
      <c r="C27" s="90"/>
      <c r="D27" s="75"/>
      <c r="E27" s="91"/>
      <c r="F27" s="92"/>
      <c r="G27" s="91"/>
      <c r="I27" s="91"/>
      <c r="J27" s="92"/>
      <c r="K27" s="91"/>
      <c r="L27" s="5"/>
      <c r="M27" s="76"/>
      <c r="N27" s="4"/>
      <c r="P27" s="76"/>
      <c r="AB27" s="56">
        <f>SUM(AB20:AB26)</f>
        <v>9438727.909696</v>
      </c>
      <c r="AC27" s="56">
        <f>SUM(AC20:AC26)</f>
        <v>0.9999999999999999</v>
      </c>
      <c r="AD27" s="93">
        <f>SUM(AD20:AD26)</f>
        <v>6163</v>
      </c>
      <c r="AE27" s="8">
        <v>7.5</v>
      </c>
      <c r="AF27" s="8">
        <f>AD27*AE27</f>
        <v>46222.5</v>
      </c>
      <c r="AG27" s="8">
        <f>J26*AD27</f>
        <v>32144.732135433336</v>
      </c>
    </row>
    <row r="28" spans="1:16" ht="12.75">
      <c r="A28" s="94" t="s">
        <v>47</v>
      </c>
      <c r="B28" s="51" t="s">
        <v>35</v>
      </c>
      <c r="C28" s="61"/>
      <c r="D28" s="75"/>
      <c r="E28" s="64">
        <f>E15</f>
        <v>9508099</v>
      </c>
      <c r="H28" s="5"/>
      <c r="I28" s="64">
        <f>I15</f>
        <v>9508099</v>
      </c>
      <c r="J28" s="1"/>
      <c r="K28" s="1"/>
      <c r="L28" s="5"/>
      <c r="M28" s="95"/>
      <c r="N28" s="1"/>
      <c r="P28" s="95"/>
    </row>
    <row r="29" spans="1:34" ht="12.75">
      <c r="A29" s="61"/>
      <c r="B29" s="35" t="s">
        <v>48</v>
      </c>
      <c r="C29" s="61"/>
      <c r="D29" s="75"/>
      <c r="E29" s="79">
        <f>N29</f>
        <v>0.0018524</v>
      </c>
      <c r="F29" s="96" t="s">
        <v>49</v>
      </c>
      <c r="G29" s="66"/>
      <c r="H29" s="5"/>
      <c r="I29" s="79">
        <f>M29</f>
        <v>0.0018524</v>
      </c>
      <c r="J29" s="96" t="s">
        <v>49</v>
      </c>
      <c r="K29" s="97"/>
      <c r="L29" s="5"/>
      <c r="M29" s="98">
        <v>0.0018524</v>
      </c>
      <c r="N29" s="99">
        <f>'[1]Rates'!$M$65</f>
        <v>0.0018524</v>
      </c>
      <c r="O29" s="100"/>
      <c r="P29" s="98">
        <f>'[1]Rates'!$O$65</f>
        <v>0.0018524</v>
      </c>
      <c r="AB29" s="8">
        <f>E26/(E26+E68)</f>
        <v>0.9315980198359334</v>
      </c>
      <c r="AD29" s="8">
        <f>ROUND(AB29*AB30,0)</f>
        <v>6163</v>
      </c>
      <c r="AF29" s="101">
        <f>AF7+AF10+AF27</f>
        <v>1790804.0178796204</v>
      </c>
      <c r="AG29" s="101">
        <f>AG7+AG10+AG27</f>
        <v>1011353.1258933307</v>
      </c>
      <c r="AH29" s="101">
        <f>AF29-AG29</f>
        <v>779450.8919862898</v>
      </c>
    </row>
    <row r="30" spans="1:28" ht="12.75">
      <c r="A30" s="61"/>
      <c r="B30" s="35" t="s">
        <v>50</v>
      </c>
      <c r="C30" s="61"/>
      <c r="D30" s="75"/>
      <c r="E30" s="78">
        <f>E28*E29</f>
        <v>17612.8025876</v>
      </c>
      <c r="F30" s="102">
        <f>N30</f>
        <v>27.61</v>
      </c>
      <c r="G30" s="78">
        <f>E30*F30</f>
        <v>486289.47944363597</v>
      </c>
      <c r="H30" s="5"/>
      <c r="I30" s="78">
        <f>I28*I29</f>
        <v>17612.8025876</v>
      </c>
      <c r="J30" s="102">
        <f>M30</f>
        <v>27.61</v>
      </c>
      <c r="K30" s="91">
        <f>I30*J30-2061</f>
        <v>484228.47944363597</v>
      </c>
      <c r="L30" s="5"/>
      <c r="M30" s="103">
        <v>27.61</v>
      </c>
      <c r="N30" s="104">
        <f>'[1]Rates'!$M$66</f>
        <v>27.61</v>
      </c>
      <c r="O30" s="100"/>
      <c r="P30" s="103">
        <f>'[1]Rates'!$O$66</f>
        <v>27.61</v>
      </c>
      <c r="AA30" s="8" t="s">
        <v>51</v>
      </c>
      <c r="AB30" s="8">
        <v>6615</v>
      </c>
    </row>
    <row r="31" spans="1:16" ht="12.75">
      <c r="A31" s="61"/>
      <c r="B31" s="61"/>
      <c r="C31" s="61"/>
      <c r="D31" s="75"/>
      <c r="E31" s="66"/>
      <c r="F31" s="4"/>
      <c r="G31" s="66"/>
      <c r="H31" s="5"/>
      <c r="I31" s="66"/>
      <c r="J31" s="4"/>
      <c r="K31" s="66"/>
      <c r="L31" s="5"/>
      <c r="M31" s="4"/>
      <c r="N31" s="4"/>
      <c r="P31" s="4"/>
    </row>
    <row r="32" spans="1:16" ht="12.75">
      <c r="A32" s="5" t="s">
        <v>52</v>
      </c>
      <c r="B32" s="5"/>
      <c r="C32" s="66">
        <f>'[1]Rates'!M78</f>
        <v>0</v>
      </c>
      <c r="D32" s="28"/>
      <c r="F32" s="105"/>
      <c r="G32" s="66">
        <f>C32*12</f>
        <v>0</v>
      </c>
      <c r="H32" s="5"/>
      <c r="I32" s="106"/>
      <c r="J32" s="105"/>
      <c r="K32" s="66">
        <f>'[1]Rates'!O78</f>
        <v>0</v>
      </c>
      <c r="L32" s="5"/>
      <c r="M32" s="105"/>
      <c r="N32" s="105"/>
      <c r="P32" s="105"/>
    </row>
    <row r="33" spans="1:16" ht="13.5" thickBot="1">
      <c r="A33" s="5"/>
      <c r="B33" s="5"/>
      <c r="C33" s="106"/>
      <c r="D33" s="28"/>
      <c r="F33" s="105"/>
      <c r="G33" s="107"/>
      <c r="H33" s="5"/>
      <c r="I33" s="106"/>
      <c r="J33" s="105"/>
      <c r="K33" s="107"/>
      <c r="L33" s="5"/>
      <c r="M33" s="105"/>
      <c r="N33" s="105"/>
      <c r="P33" s="105"/>
    </row>
    <row r="34" spans="1:16" ht="12.75">
      <c r="A34" s="108" t="s">
        <v>53</v>
      </c>
      <c r="B34" s="5"/>
      <c r="C34" s="106"/>
      <c r="D34" s="28"/>
      <c r="E34" s="28" t="s">
        <v>4</v>
      </c>
      <c r="F34" s="28"/>
      <c r="G34" s="66">
        <f>SUM(G26:G32)</f>
        <v>49716438.400447555</v>
      </c>
      <c r="H34" s="5"/>
      <c r="I34" s="106"/>
      <c r="J34" s="105"/>
      <c r="K34" s="66">
        <f>SUM(K26:K32)</f>
        <v>49746517.66385513</v>
      </c>
      <c r="L34" s="5"/>
      <c r="M34" s="105"/>
      <c r="N34" s="105"/>
      <c r="P34" s="105"/>
    </row>
    <row r="35" spans="1:16" ht="13.5" thickBot="1">
      <c r="A35" s="5"/>
      <c r="B35" s="5"/>
      <c r="C35" s="5"/>
      <c r="D35" s="28"/>
      <c r="E35" s="28" t="s">
        <v>4</v>
      </c>
      <c r="F35" s="109" t="s">
        <v>54</v>
      </c>
      <c r="G35" s="110">
        <v>9948336.325747196</v>
      </c>
      <c r="H35" s="5"/>
      <c r="I35" s="106"/>
      <c r="J35" s="105"/>
      <c r="K35" s="111"/>
      <c r="L35" s="5"/>
      <c r="M35" s="105"/>
      <c r="N35" s="105"/>
      <c r="P35" s="105"/>
    </row>
    <row r="36" spans="1:16" ht="13.5" thickTop="1">
      <c r="A36" s="5"/>
      <c r="B36" s="5"/>
      <c r="C36" s="5"/>
      <c r="D36" s="28"/>
      <c r="E36" s="28"/>
      <c r="F36" s="28"/>
      <c r="G36" s="112">
        <f>G11+G34+G35</f>
        <v>176226877.72619474</v>
      </c>
      <c r="H36" s="5"/>
      <c r="I36" s="4"/>
      <c r="J36" s="4"/>
      <c r="K36" s="113"/>
      <c r="L36" s="5"/>
      <c r="M36" s="4"/>
      <c r="N36" s="4"/>
      <c r="P36" s="4"/>
    </row>
    <row r="37" spans="1:16" ht="12.75">
      <c r="A37" s="5"/>
      <c r="B37" s="5"/>
      <c r="C37" s="5"/>
      <c r="D37" s="28"/>
      <c r="E37" s="114" t="s">
        <v>4</v>
      </c>
      <c r="F37" s="28" t="s">
        <v>55</v>
      </c>
      <c r="G37" s="91">
        <f>+U91</f>
        <v>1779899.6917840047</v>
      </c>
      <c r="H37" s="91"/>
      <c r="I37" s="8"/>
      <c r="J37" s="8"/>
      <c r="K37" s="113"/>
      <c r="L37" s="5"/>
      <c r="M37" s="4"/>
      <c r="N37" s="4"/>
      <c r="P37" s="4"/>
    </row>
    <row r="38" spans="1:14" ht="12.75">
      <c r="A38" s="108" t="s">
        <v>56</v>
      </c>
      <c r="B38" s="5"/>
      <c r="C38" s="5"/>
      <c r="D38" s="28"/>
      <c r="E38" s="8"/>
      <c r="F38" s="5" t="s">
        <v>57</v>
      </c>
      <c r="G38" s="115">
        <f>G36+G37</f>
        <v>178006777.41797873</v>
      </c>
      <c r="H38" s="8"/>
      <c r="I38" s="91" t="s">
        <v>58</v>
      </c>
      <c r="J38" s="112">
        <f>K38-G38</f>
        <v>8025371.245876402</v>
      </c>
      <c r="K38" s="115">
        <f>K11+K34</f>
        <v>186032148.66385514</v>
      </c>
      <c r="L38" s="5"/>
      <c r="M38" s="5" t="s">
        <v>59</v>
      </c>
      <c r="N38" s="5"/>
    </row>
    <row r="39" spans="1:16" ht="12.75">
      <c r="A39" s="5"/>
      <c r="B39" s="5"/>
      <c r="C39" s="5"/>
      <c r="D39" s="28"/>
      <c r="E39" s="91"/>
      <c r="F39" s="8"/>
      <c r="G39" s="8"/>
      <c r="H39" s="91"/>
      <c r="I39" s="91" t="s">
        <v>60</v>
      </c>
      <c r="J39" s="116">
        <f>($K38-$G38)/$G38</f>
        <v>0.045084638699075946</v>
      </c>
      <c r="K39" s="8"/>
      <c r="L39" s="5"/>
      <c r="M39" s="5"/>
      <c r="N39" s="5"/>
      <c r="P39" s="5"/>
    </row>
    <row r="40" spans="1:16" ht="12.75">
      <c r="A40" s="117"/>
      <c r="B40" s="2"/>
      <c r="C40" s="2"/>
      <c r="D40" s="3"/>
      <c r="E40" s="4"/>
      <c r="F40" s="4"/>
      <c r="G40" s="105">
        <v>184940819.43013424</v>
      </c>
      <c r="H40" s="5"/>
      <c r="I40" s="6"/>
      <c r="J40" s="275" t="s">
        <v>0</v>
      </c>
      <c r="K40" s="275"/>
      <c r="L40" s="275"/>
      <c r="M40" s="4"/>
      <c r="N40" s="4"/>
      <c r="P40" s="4"/>
    </row>
    <row r="41" spans="1:16" ht="12.75">
      <c r="A41" s="117" t="str">
        <f>A$2</f>
        <v>Proof of Revenue</v>
      </c>
      <c r="B41" s="2"/>
      <c r="C41" s="2"/>
      <c r="D41" s="3"/>
      <c r="E41" s="4"/>
      <c r="F41" s="4"/>
      <c r="G41" s="4"/>
      <c r="H41" s="5"/>
      <c r="I41" s="273" t="str">
        <f>$I$2</f>
        <v>DPU Exhibit 7.1SR</v>
      </c>
      <c r="J41" s="273"/>
      <c r="K41" s="273"/>
      <c r="L41" s="7"/>
      <c r="M41" s="4"/>
      <c r="N41" s="4"/>
      <c r="P41" s="4"/>
    </row>
    <row r="42" spans="1:16" ht="12.75">
      <c r="A42" s="117"/>
      <c r="B42" s="2"/>
      <c r="C42" s="2"/>
      <c r="D42" s="3"/>
      <c r="E42" s="4"/>
      <c r="F42" s="4"/>
      <c r="G42" s="4"/>
      <c r="H42" s="5"/>
      <c r="I42" s="118"/>
      <c r="J42" s="118"/>
      <c r="K42" s="118" t="s">
        <v>61</v>
      </c>
      <c r="L42" s="7"/>
      <c r="M42" s="4"/>
      <c r="N42" s="4"/>
      <c r="P42" s="4"/>
    </row>
    <row r="43" spans="1:30" ht="13.5" thickBot="1">
      <c r="A43" s="117"/>
      <c r="B43" s="2"/>
      <c r="C43" s="2"/>
      <c r="D43" s="3"/>
      <c r="E43" s="4"/>
      <c r="F43" s="4"/>
      <c r="G43" s="4"/>
      <c r="H43" s="5"/>
      <c r="I43" s="118"/>
      <c r="J43" s="118"/>
      <c r="K43" s="8"/>
      <c r="L43" s="7"/>
      <c r="M43" s="4"/>
      <c r="N43" s="4"/>
      <c r="P43" s="4"/>
      <c r="AB43" s="8" t="s">
        <v>62</v>
      </c>
      <c r="AC43" s="8" t="s">
        <v>12</v>
      </c>
      <c r="AD43" s="8" t="s">
        <v>11</v>
      </c>
    </row>
    <row r="44" spans="1:31" ht="13.5" thickBot="1">
      <c r="A44" s="27" t="s">
        <v>63</v>
      </c>
      <c r="B44" s="5"/>
      <c r="C44" s="5"/>
      <c r="D44" s="28"/>
      <c r="E44" s="9" t="s">
        <v>9</v>
      </c>
      <c r="F44" s="9"/>
      <c r="G44" s="9"/>
      <c r="H44" s="5"/>
      <c r="I44" s="274" t="s">
        <v>10</v>
      </c>
      <c r="J44" s="272"/>
      <c r="K44" s="272"/>
      <c r="L44" s="18"/>
      <c r="M44" s="29" t="s">
        <v>11</v>
      </c>
      <c r="N44" s="9" t="s">
        <v>12</v>
      </c>
      <c r="P44" s="29" t="s">
        <v>11</v>
      </c>
      <c r="S44" s="10"/>
      <c r="T44" s="11"/>
      <c r="AC44" s="8" t="s">
        <v>26</v>
      </c>
      <c r="AD44" s="8" t="s">
        <v>26</v>
      </c>
      <c r="AE44" s="8" t="s">
        <v>64</v>
      </c>
    </row>
    <row r="45" spans="1:20" ht="13.5" thickBot="1">
      <c r="A45" s="30" t="s">
        <v>17</v>
      </c>
      <c r="B45" s="17"/>
      <c r="C45" s="17"/>
      <c r="D45" s="31" t="s">
        <v>14</v>
      </c>
      <c r="E45" s="19" t="s">
        <v>14</v>
      </c>
      <c r="F45" s="19" t="s">
        <v>18</v>
      </c>
      <c r="G45" s="32" t="s">
        <v>19</v>
      </c>
      <c r="H45" s="5"/>
      <c r="I45" s="119" t="s">
        <v>14</v>
      </c>
      <c r="J45" s="119" t="s">
        <v>20</v>
      </c>
      <c r="K45" s="120" t="s">
        <v>19</v>
      </c>
      <c r="L45" s="5"/>
      <c r="M45" s="33" t="s">
        <v>21</v>
      </c>
      <c r="N45" s="32" t="s">
        <v>21</v>
      </c>
      <c r="P45" s="33" t="s">
        <v>21</v>
      </c>
      <c r="S45" s="20"/>
      <c r="T45" s="21"/>
    </row>
    <row r="46" spans="1:36" ht="12.75">
      <c r="A46" s="35" t="s">
        <v>23</v>
      </c>
      <c r="B46" s="35" t="s">
        <v>24</v>
      </c>
      <c r="C46" s="35" t="str">
        <f>'[1]Rates'!G100</f>
        <v>First</v>
      </c>
      <c r="D46" s="37">
        <f>'[1]Rates'!H100</f>
        <v>45</v>
      </c>
      <c r="E46" s="121">
        <v>6143236</v>
      </c>
      <c r="F46" s="39">
        <v>1.95993</v>
      </c>
      <c r="G46" s="40">
        <f>ROUND(E46*F46,0)</f>
        <v>12040313</v>
      </c>
      <c r="H46" s="41"/>
      <c r="I46" s="38">
        <f>AF61</f>
        <v>6200994.972772604</v>
      </c>
      <c r="J46" s="39">
        <f>J7</f>
        <v>2.2700945974366573</v>
      </c>
      <c r="K46" s="40">
        <f>ROUND(I46*J46,0)</f>
        <v>14076845</v>
      </c>
      <c r="L46" s="5"/>
      <c r="M46" s="42">
        <v>2.02627</v>
      </c>
      <c r="N46" s="39">
        <f>'[1]Rates'!$M$100</f>
        <v>1.95993</v>
      </c>
      <c r="P46" s="42">
        <f>ROUND($J$7,5)</f>
        <v>2.27009</v>
      </c>
      <c r="S46" s="20"/>
      <c r="T46" s="21"/>
      <c r="U46" s="38">
        <f>I46</f>
        <v>6200994.972772604</v>
      </c>
      <c r="V46" s="39">
        <v>2</v>
      </c>
      <c r="W46" s="38" t="s">
        <v>4</v>
      </c>
      <c r="X46" s="47" t="s">
        <v>4</v>
      </c>
      <c r="Y46" s="38">
        <v>0</v>
      </c>
      <c r="Z46" s="8">
        <f>Y46/U46</f>
        <v>0</v>
      </c>
      <c r="AB46" s="8" t="s">
        <v>65</v>
      </c>
      <c r="AC46" s="46">
        <f>F46</f>
        <v>1.95993</v>
      </c>
      <c r="AD46" s="46">
        <f>J46</f>
        <v>2.2700945974366573</v>
      </c>
      <c r="AE46" s="46">
        <f>J46-F46</f>
        <v>0.31016459743665736</v>
      </c>
      <c r="AF46" s="47">
        <f>AE46/AC46</f>
        <v>0.15825289547925558</v>
      </c>
      <c r="AH46" s="46">
        <f>J46-F46</f>
        <v>0.31016459743665736</v>
      </c>
      <c r="AI46" s="46">
        <f>F46</f>
        <v>1.95993</v>
      </c>
      <c r="AJ46" s="47">
        <f>AH46/AI46</f>
        <v>0.15825289547925558</v>
      </c>
    </row>
    <row r="47" spans="1:36" ht="12.75">
      <c r="A47" s="35"/>
      <c r="B47" s="35" t="s">
        <v>66</v>
      </c>
      <c r="C47" s="35" t="str">
        <f>'[1]Rates'!G101</f>
        <v>Next</v>
      </c>
      <c r="D47" s="37">
        <f>'[1]Rates'!H101</f>
        <v>155</v>
      </c>
      <c r="E47" s="122">
        <v>12945630</v>
      </c>
      <c r="F47" s="39">
        <v>0.8137</v>
      </c>
      <c r="G47" s="40">
        <f>ROUND(E47*F47,0)</f>
        <v>10533859</v>
      </c>
      <c r="H47" s="41"/>
      <c r="I47" s="38">
        <f>AF62</f>
        <v>5787059.860748367</v>
      </c>
      <c r="J47" s="39">
        <f>Z47</f>
        <v>0.9119286258523487</v>
      </c>
      <c r="K47" s="40">
        <f>ROUND(I47*J47,0)</f>
        <v>5277386</v>
      </c>
      <c r="L47" s="5"/>
      <c r="M47" s="42">
        <v>1.36319</v>
      </c>
      <c r="N47" s="39">
        <f>'[1]Rates'!$M$101</f>
        <v>0.8137</v>
      </c>
      <c r="P47" s="42" t="e">
        <f>ROUND($J$47+#REF!,5)</f>
        <v>#REF!</v>
      </c>
      <c r="S47" s="20"/>
      <c r="T47" s="21"/>
      <c r="U47" s="38">
        <f>I47</f>
        <v>5787059.860748367</v>
      </c>
      <c r="V47" s="39">
        <v>1</v>
      </c>
      <c r="W47" s="38">
        <f>U47*V47</f>
        <v>5787059.860748367</v>
      </c>
      <c r="X47" s="47">
        <f>W47/$W$54</f>
        <v>0.3757514671280348</v>
      </c>
      <c r="Y47" s="38">
        <f>X47*$T$61</f>
        <v>5277385.546537543</v>
      </c>
      <c r="Z47" s="8">
        <f>Y47/U47</f>
        <v>0.9119286258523487</v>
      </c>
      <c r="AB47" s="8" t="s">
        <v>67</v>
      </c>
      <c r="AC47" s="46">
        <f>F47</f>
        <v>0.8137</v>
      </c>
      <c r="AD47" s="46">
        <f>J47</f>
        <v>0.9119286258523487</v>
      </c>
      <c r="AE47" s="46">
        <f>J47-F47</f>
        <v>0.0982286258523487</v>
      </c>
      <c r="AF47" s="47">
        <f>AE47/AC47</f>
        <v>0.12071847837329323</v>
      </c>
      <c r="AH47" s="46">
        <f>J47-F47</f>
        <v>0.0982286258523487</v>
      </c>
      <c r="AI47" s="46">
        <f>F47</f>
        <v>0.8137</v>
      </c>
      <c r="AJ47" s="47">
        <f>AH47/AI47</f>
        <v>0.12071847837329323</v>
      </c>
    </row>
    <row r="48" spans="1:36" ht="12.75">
      <c r="A48" s="48"/>
      <c r="B48" s="35" t="s">
        <v>68</v>
      </c>
      <c r="C48" s="35" t="str">
        <f>'[1]Rates'!G102</f>
        <v>All Over</v>
      </c>
      <c r="D48" s="37">
        <f>'[1]Rates'!H102</f>
        <v>200</v>
      </c>
      <c r="E48" s="122" t="s">
        <v>4</v>
      </c>
      <c r="F48" s="39">
        <v>0.8137</v>
      </c>
      <c r="G48" s="40" t="s">
        <v>4</v>
      </c>
      <c r="H48" s="41"/>
      <c r="I48" s="38">
        <f>AF63</f>
        <v>7238954.6838186635</v>
      </c>
      <c r="J48" s="39">
        <f>Z48</f>
        <v>0.8663321945597312</v>
      </c>
      <c r="K48" s="40">
        <f>ROUND(I48*J48,0)</f>
        <v>6271339</v>
      </c>
      <c r="L48" s="5"/>
      <c r="M48" s="42">
        <v>0.81791</v>
      </c>
      <c r="N48" s="39">
        <f>'[1]Rates'!$M$102</f>
        <v>0.8137</v>
      </c>
      <c r="P48" s="42">
        <f>ROUND($M$47*'[1]Rules'!$F$5,5)</f>
        <v>0.81791</v>
      </c>
      <c r="S48" s="20" t="s">
        <v>22</v>
      </c>
      <c r="T48" s="34" t="e">
        <f>#REF!</f>
        <v>#REF!</v>
      </c>
      <c r="U48" s="38">
        <f>I48</f>
        <v>7238954.6838186635</v>
      </c>
      <c r="V48" s="39">
        <v>0.95</v>
      </c>
      <c r="W48" s="38">
        <f>U48*V48</f>
        <v>6877006.94962773</v>
      </c>
      <c r="X48" s="47">
        <f>W48/$W$54</f>
        <v>0.44652129284146524</v>
      </c>
      <c r="Y48" s="38">
        <f>X48*$T$61</f>
        <v>6271339.497551068</v>
      </c>
      <c r="Z48" s="8">
        <f>Y48/U48</f>
        <v>0.8663321945597312</v>
      </c>
      <c r="AB48" s="8" t="s">
        <v>69</v>
      </c>
      <c r="AC48" s="46">
        <f>F48</f>
        <v>0.8137</v>
      </c>
      <c r="AD48" s="46">
        <f>J48</f>
        <v>0.8663321945597312</v>
      </c>
      <c r="AE48" s="46">
        <f>J48-F48</f>
        <v>0.05263219455973123</v>
      </c>
      <c r="AF48" s="47">
        <f>AE48/AC48</f>
        <v>0.06468255445462852</v>
      </c>
      <c r="AH48" s="46">
        <f>J48-F48</f>
        <v>0.05263219455973123</v>
      </c>
      <c r="AI48" s="46">
        <f>F48</f>
        <v>0.8137</v>
      </c>
      <c r="AJ48" s="47">
        <f>AH48/AI48</f>
        <v>0.06468255445462852</v>
      </c>
    </row>
    <row r="49" spans="1:22" ht="12.75">
      <c r="A49" s="48"/>
      <c r="B49" s="35"/>
      <c r="C49" s="35"/>
      <c r="D49" s="49"/>
      <c r="E49" s="122" t="s">
        <v>70</v>
      </c>
      <c r="F49" s="39"/>
      <c r="G49" s="40"/>
      <c r="H49" s="41"/>
      <c r="I49" s="38"/>
      <c r="J49" s="39"/>
      <c r="K49" s="40"/>
      <c r="L49" s="5"/>
      <c r="M49" s="42"/>
      <c r="N49" s="39"/>
      <c r="P49" s="42"/>
      <c r="S49" s="20" t="s">
        <v>26</v>
      </c>
      <c r="T49" s="43" t="e">
        <f>#REF!</f>
        <v>#REF!</v>
      </c>
      <c r="V49" s="39"/>
    </row>
    <row r="50" spans="1:36" ht="12.75">
      <c r="A50" s="51" t="s">
        <v>27</v>
      </c>
      <c r="B50" s="35" t="s">
        <v>24</v>
      </c>
      <c r="C50" s="35" t="str">
        <f aca="true" t="shared" si="0" ref="C50:D52">C46</f>
        <v>First</v>
      </c>
      <c r="D50" s="49">
        <f t="shared" si="0"/>
        <v>45</v>
      </c>
      <c r="E50" s="122">
        <v>3018632</v>
      </c>
      <c r="F50" s="39">
        <v>1.65073</v>
      </c>
      <c r="G50" s="38">
        <f>ROUND(E50*F50,0)</f>
        <v>4982946</v>
      </c>
      <c r="H50" s="41"/>
      <c r="I50" s="38">
        <f>AF65</f>
        <v>3045722.4291556985</v>
      </c>
      <c r="J50" s="39">
        <f>J9</f>
        <v>1.8259456544599204</v>
      </c>
      <c r="K50" s="38">
        <f>ROUND(I50*J50,0)</f>
        <v>5561324</v>
      </c>
      <c r="L50" s="5"/>
      <c r="M50" s="42">
        <v>1.41025</v>
      </c>
      <c r="N50" s="39">
        <f>'[1]Rates'!$M$97</f>
        <v>1.65073</v>
      </c>
      <c r="P50" s="42">
        <f>ROUND($M$46-'[1]Rules'!$F$7,5)</f>
        <v>1.22831</v>
      </c>
      <c r="S50" s="20"/>
      <c r="T50" s="21"/>
      <c r="U50" s="38">
        <f>I50</f>
        <v>3045722.4291556985</v>
      </c>
      <c r="V50" s="39">
        <v>1.65</v>
      </c>
      <c r="W50" s="38" t="s">
        <v>4</v>
      </c>
      <c r="X50" s="47" t="s">
        <v>4</v>
      </c>
      <c r="Y50" s="38">
        <v>0</v>
      </c>
      <c r="Z50" s="8">
        <f>Y50/U50</f>
        <v>0</v>
      </c>
      <c r="AB50" s="8" t="s">
        <v>65</v>
      </c>
      <c r="AC50" s="46">
        <f>F50</f>
        <v>1.65073</v>
      </c>
      <c r="AD50" s="46">
        <f>J50</f>
        <v>1.8259456544599204</v>
      </c>
      <c r="AE50" s="46">
        <f>J50-F50</f>
        <v>0.17521565445992038</v>
      </c>
      <c r="AF50" s="47">
        <f>AE50/AC50</f>
        <v>0.10614434490190423</v>
      </c>
      <c r="AH50" s="46">
        <f>J50-F50</f>
        <v>0.17521565445992038</v>
      </c>
      <c r="AI50" s="46">
        <f>F50</f>
        <v>1.65073</v>
      </c>
      <c r="AJ50" s="47">
        <f>AH50/AI50</f>
        <v>0.10614434490190423</v>
      </c>
    </row>
    <row r="51" spans="1:36" ht="12.75">
      <c r="A51" s="51"/>
      <c r="B51" s="35" t="s">
        <v>66</v>
      </c>
      <c r="C51" s="35" t="str">
        <f t="shared" si="0"/>
        <v>Next</v>
      </c>
      <c r="D51" s="49">
        <f t="shared" si="0"/>
        <v>155</v>
      </c>
      <c r="E51" s="122">
        <v>3741664</v>
      </c>
      <c r="F51" s="39">
        <v>0.61279</v>
      </c>
      <c r="G51" s="38">
        <f>ROUND(E51*F51,0)</f>
        <v>2292854</v>
      </c>
      <c r="H51" s="41"/>
      <c r="I51" s="38">
        <f>AF66</f>
        <v>2055660.8649342782</v>
      </c>
      <c r="J51" s="39">
        <f>Z51</f>
        <v>0.6839464693892614</v>
      </c>
      <c r="K51" s="38">
        <f>ROUND(I51*J51,0)</f>
        <v>1405962</v>
      </c>
      <c r="L51" s="5"/>
      <c r="M51" s="42">
        <v>0.74717</v>
      </c>
      <c r="N51" s="39">
        <f>'[1]Rates'!$M$98</f>
        <v>0.61279</v>
      </c>
      <c r="P51" s="42">
        <f>ROUND($M$47-'[1]Rules'!$F$7,5)</f>
        <v>0.56523</v>
      </c>
      <c r="S51" s="20"/>
      <c r="T51" s="21"/>
      <c r="U51" s="38">
        <f>I51</f>
        <v>2055660.8649342782</v>
      </c>
      <c r="V51" s="39">
        <v>0.75</v>
      </c>
      <c r="W51" s="38">
        <f>U51*V51</f>
        <v>1541745.6487007085</v>
      </c>
      <c r="X51" s="47">
        <f>W51/$W$54</f>
        <v>0.10010492432726274</v>
      </c>
      <c r="Y51" s="38">
        <f>X51*$T$61</f>
        <v>1405961.990833475</v>
      </c>
      <c r="Z51" s="8">
        <f>Y51/U51</f>
        <v>0.6839464693892614</v>
      </c>
      <c r="AB51" s="8" t="s">
        <v>67</v>
      </c>
      <c r="AC51" s="46">
        <f>F51</f>
        <v>0.61279</v>
      </c>
      <c r="AD51" s="46">
        <f>J51</f>
        <v>0.6839464693892614</v>
      </c>
      <c r="AE51" s="46">
        <f>J51-F51</f>
        <v>0.07115646938926146</v>
      </c>
      <c r="AF51" s="47">
        <f>AE51/AC51</f>
        <v>0.11611884885403069</v>
      </c>
      <c r="AH51" s="46">
        <f>J51-F51</f>
        <v>0.07115646938926146</v>
      </c>
      <c r="AI51" s="46">
        <f>F51</f>
        <v>0.61279</v>
      </c>
      <c r="AJ51" s="47">
        <f>AH51/AI51</f>
        <v>0.11611884885403069</v>
      </c>
    </row>
    <row r="52" spans="1:36" ht="13.5" thickBot="1">
      <c r="A52" s="51"/>
      <c r="B52" s="35" t="s">
        <v>68</v>
      </c>
      <c r="C52" s="35" t="str">
        <f t="shared" si="0"/>
        <v>All Over</v>
      </c>
      <c r="D52" s="49">
        <f t="shared" si="0"/>
        <v>200</v>
      </c>
      <c r="E52" s="123" t="s">
        <v>4</v>
      </c>
      <c r="F52" s="39">
        <v>0.61279</v>
      </c>
      <c r="G52" s="38" t="s">
        <v>4</v>
      </c>
      <c r="H52" s="41"/>
      <c r="I52" s="38">
        <f>AF67</f>
        <v>1707834.7441345102</v>
      </c>
      <c r="J52" s="39">
        <f>Z52</f>
        <v>0.638350038096644</v>
      </c>
      <c r="K52" s="40">
        <f>ROUND(I52*J52,0)</f>
        <v>1090196</v>
      </c>
      <c r="L52" s="5"/>
      <c r="M52" s="42">
        <v>0.20189</v>
      </c>
      <c r="N52" s="39">
        <f>'[1]Rates'!$M$99</f>
        <v>0.61279</v>
      </c>
      <c r="P52" s="42">
        <f>ROUND($M$48-'[1]Rules'!$F$7,5)</f>
        <v>0.01995</v>
      </c>
      <c r="S52" s="59"/>
      <c r="T52" s="60"/>
      <c r="U52" s="38">
        <f>I52</f>
        <v>1707834.7441345102</v>
      </c>
      <c r="V52" s="39">
        <v>0.7</v>
      </c>
      <c r="W52" s="38">
        <f>U52*V52</f>
        <v>1195484.320894157</v>
      </c>
      <c r="X52" s="47">
        <f>W52/$W$54</f>
        <v>0.07762231570323723</v>
      </c>
      <c r="Y52" s="38">
        <f>X52*$T$61</f>
        <v>1090196.373981037</v>
      </c>
      <c r="Z52" s="8">
        <f>Y52/U52</f>
        <v>0.638350038096644</v>
      </c>
      <c r="AB52" s="8" t="s">
        <v>69</v>
      </c>
      <c r="AC52" s="46">
        <f>F52</f>
        <v>0.61279</v>
      </c>
      <c r="AD52" s="46">
        <f>J52</f>
        <v>0.638350038096644</v>
      </c>
      <c r="AE52" s="46">
        <f>J52-F52</f>
        <v>0.02556003809664409</v>
      </c>
      <c r="AF52" s="47">
        <f>AE52/AC52</f>
        <v>0.041710925597095404</v>
      </c>
      <c r="AH52" s="46">
        <f>J52-F52</f>
        <v>0.02556003809664409</v>
      </c>
      <c r="AI52" s="46">
        <f>F52</f>
        <v>0.61279</v>
      </c>
      <c r="AJ52" s="47">
        <f>AH52/AI52</f>
        <v>0.041710925597095404</v>
      </c>
    </row>
    <row r="53" spans="1:16" ht="12.75">
      <c r="A53" s="53" t="s">
        <v>28</v>
      </c>
      <c r="C53" s="35"/>
      <c r="D53" s="49"/>
      <c r="E53" s="124">
        <f>SUM(E46:E52)</f>
        <v>25849162</v>
      </c>
      <c r="F53" s="125"/>
      <c r="G53" s="56">
        <f>SUM(G46:G52)</f>
        <v>29849972</v>
      </c>
      <c r="H53" s="41"/>
      <c r="I53" s="56">
        <f>SUM(I46:I52)</f>
        <v>26036227.555564124</v>
      </c>
      <c r="J53" s="55"/>
      <c r="K53" s="56">
        <f>SUM(K46:K52)</f>
        <v>33683052</v>
      </c>
      <c r="L53" s="5"/>
      <c r="M53" s="58">
        <v>0.08189126727694748</v>
      </c>
      <c r="N53" s="55"/>
      <c r="P53" s="58">
        <f>($K53-$G53)/$G53</f>
        <v>0.12841151073776552</v>
      </c>
    </row>
    <row r="54" spans="1:26" ht="12.75">
      <c r="A54" s="61"/>
      <c r="B54" s="62"/>
      <c r="C54" s="62"/>
      <c r="D54" s="63"/>
      <c r="E54" s="64"/>
      <c r="F54" s="65"/>
      <c r="G54" s="66"/>
      <c r="H54" s="41"/>
      <c r="I54" s="64"/>
      <c r="J54" s="65"/>
      <c r="K54" s="66"/>
      <c r="L54" s="5"/>
      <c r="M54" s="68"/>
      <c r="N54" s="65"/>
      <c r="P54" s="68"/>
      <c r="U54" s="38">
        <f>SUM(U46:U52)</f>
        <v>26036227.555564124</v>
      </c>
      <c r="V54" s="38" t="s">
        <v>4</v>
      </c>
      <c r="W54" s="38">
        <f>SUM(W46:W52)</f>
        <v>15401296.779970963</v>
      </c>
      <c r="X54" s="47">
        <f>SUM(X46:X52)</f>
        <v>1</v>
      </c>
      <c r="Y54" s="38">
        <f>SUM(Y46:Y52)</f>
        <v>14044883.40890312</v>
      </c>
      <c r="Z54" s="38" t="s">
        <v>4</v>
      </c>
    </row>
    <row r="55" spans="1:16" ht="13.5" thickBot="1">
      <c r="A55" s="69" t="s">
        <v>30</v>
      </c>
      <c r="B55" s="70"/>
      <c r="C55" s="70"/>
      <c r="D55" s="71"/>
      <c r="E55" s="19" t="s">
        <v>31</v>
      </c>
      <c r="F55" s="19" t="s">
        <v>18</v>
      </c>
      <c r="G55" s="32" t="s">
        <v>19</v>
      </c>
      <c r="H55" s="5"/>
      <c r="I55" s="19" t="s">
        <v>31</v>
      </c>
      <c r="J55" s="19" t="s">
        <v>20</v>
      </c>
      <c r="K55" s="32" t="s">
        <v>19</v>
      </c>
      <c r="L55" s="5"/>
      <c r="M55" s="72"/>
      <c r="N55" s="32"/>
      <c r="P55" s="72"/>
    </row>
    <row r="56" spans="1:20" ht="12.75">
      <c r="A56" s="74" t="s">
        <v>33</v>
      </c>
      <c r="B56" s="35" t="s">
        <v>34</v>
      </c>
      <c r="C56" s="51"/>
      <c r="D56" s="75"/>
      <c r="E56" s="38">
        <f>DSUM(billfactors,'[1]Bill Factor Input'!E$2,UT_GSC)</f>
        <v>58177.166666666664</v>
      </c>
      <c r="F56" s="4"/>
      <c r="G56" s="66"/>
      <c r="H56" s="5"/>
      <c r="I56" s="66">
        <f>E56</f>
        <v>58177.166666666664</v>
      </c>
      <c r="J56" s="4"/>
      <c r="K56" s="66"/>
      <c r="L56" s="5"/>
      <c r="M56" s="76"/>
      <c r="N56" s="4"/>
      <c r="P56" s="76"/>
      <c r="T56" s="44">
        <f>T13-0</f>
        <v>0.04554</v>
      </c>
    </row>
    <row r="57" spans="1:20" ht="12.75">
      <c r="A57" s="61"/>
      <c r="B57" s="35" t="s">
        <v>35</v>
      </c>
      <c r="C57" s="51"/>
      <c r="D57" s="75"/>
      <c r="E57" s="78">
        <f>E56*12</f>
        <v>698126</v>
      </c>
      <c r="F57" s="4"/>
      <c r="G57" s="66"/>
      <c r="H57" s="5"/>
      <c r="I57" s="78">
        <f>I56*12</f>
        <v>698126</v>
      </c>
      <c r="J57" s="4"/>
      <c r="K57" s="66"/>
      <c r="L57" s="5"/>
      <c r="M57" s="76"/>
      <c r="N57" s="4"/>
      <c r="P57" s="76"/>
      <c r="T57" s="77">
        <f>G74*T56</f>
        <v>1840269.8973533374</v>
      </c>
    </row>
    <row r="58" spans="1:20" ht="12.75">
      <c r="A58" s="61"/>
      <c r="B58" s="35" t="s">
        <v>36</v>
      </c>
      <c r="C58" s="51"/>
      <c r="D58" s="75"/>
      <c r="E58" s="126">
        <f>N58</f>
        <v>0.989895</v>
      </c>
      <c r="F58" s="4"/>
      <c r="G58" s="66"/>
      <c r="H58" s="5"/>
      <c r="I58" s="79">
        <f>M58</f>
        <v>0.989895</v>
      </c>
      <c r="J58" s="4"/>
      <c r="K58" s="66"/>
      <c r="L58" s="5"/>
      <c r="M58" s="127">
        <v>0.989895</v>
      </c>
      <c r="N58" s="79">
        <f>'[1]Rates'!$M$43</f>
        <v>0.989895</v>
      </c>
      <c r="P58" s="127">
        <f>'[1]Rates'!$O$43</f>
        <v>0.989895</v>
      </c>
      <c r="S58" s="8" t="s">
        <v>12</v>
      </c>
      <c r="T58" s="77">
        <f>G74+U92</f>
        <v>41138500.81202227</v>
      </c>
    </row>
    <row r="59" spans="1:34" ht="12.75">
      <c r="A59" s="61"/>
      <c r="B59" s="35" t="s">
        <v>38</v>
      </c>
      <c r="C59" s="51"/>
      <c r="D59" s="75"/>
      <c r="E59" s="78">
        <f>E57*E58</f>
        <v>691071.43677</v>
      </c>
      <c r="F59" s="4"/>
      <c r="G59" s="66"/>
      <c r="H59" s="5"/>
      <c r="I59" s="78">
        <f>I57*I58</f>
        <v>691071.43677</v>
      </c>
      <c r="J59" s="4"/>
      <c r="K59" s="66"/>
      <c r="L59" s="5"/>
      <c r="M59" s="76"/>
      <c r="N59" s="4"/>
      <c r="P59" s="76"/>
      <c r="S59" s="8" t="s">
        <v>37</v>
      </c>
      <c r="T59" s="77">
        <f>T57+T58</f>
        <v>42978770.709375605</v>
      </c>
      <c r="X59" s="8" t="s">
        <v>71</v>
      </c>
      <c r="Z59" s="8" t="s">
        <v>31</v>
      </c>
      <c r="AB59" s="8" t="s">
        <v>71</v>
      </c>
      <c r="AD59" s="8" t="s">
        <v>14</v>
      </c>
      <c r="AG59" s="8" t="s">
        <v>15</v>
      </c>
      <c r="AH59" s="8" t="s">
        <v>62</v>
      </c>
    </row>
    <row r="60" spans="1:20" ht="12.75">
      <c r="A60" s="61"/>
      <c r="B60" s="35"/>
      <c r="C60" s="80" t="s">
        <v>40</v>
      </c>
      <c r="D60" s="75"/>
      <c r="E60" s="66"/>
      <c r="F60" s="4"/>
      <c r="G60" s="66"/>
      <c r="H60" s="5"/>
      <c r="I60" s="66"/>
      <c r="J60" s="4"/>
      <c r="K60" s="66"/>
      <c r="L60" s="5"/>
      <c r="M60" s="76"/>
      <c r="N60" s="4"/>
      <c r="P60" s="76"/>
      <c r="S60" s="8" t="s">
        <v>39</v>
      </c>
      <c r="T60" s="25">
        <f>-K68-K46-K50</f>
        <v>-28933887.300472483</v>
      </c>
    </row>
    <row r="61" spans="1:34" ht="12.75">
      <c r="A61" s="61"/>
      <c r="B61" s="35" t="s">
        <v>42</v>
      </c>
      <c r="C61" s="82">
        <f>E61/$E$68</f>
        <v>0.703794</v>
      </c>
      <c r="D61" s="75"/>
      <c r="E61" s="66">
        <v>487752.09609423904</v>
      </c>
      <c r="F61" s="84">
        <v>5</v>
      </c>
      <c r="G61" s="66">
        <f>E61*F61</f>
        <v>2438760.480471195</v>
      </c>
      <c r="H61" s="5"/>
      <c r="I61" s="66">
        <f>E61+Z61</f>
        <v>488070.21098223905</v>
      </c>
      <c r="J61" s="84">
        <f>F61</f>
        <v>5</v>
      </c>
      <c r="K61" s="66">
        <f>I61*J61</f>
        <v>2440351.0549111953</v>
      </c>
      <c r="L61" s="5"/>
      <c r="M61" s="85">
        <v>6</v>
      </c>
      <c r="N61" s="84">
        <f>'[1]Rates'!$M$8</f>
        <v>5</v>
      </c>
      <c r="P61" s="85">
        <f>'[1]Rates'!$O$8</f>
        <v>5</v>
      </c>
      <c r="S61" s="8" t="s">
        <v>41</v>
      </c>
      <c r="T61" s="77">
        <f>T59+T60</f>
        <v>14044883.408903122</v>
      </c>
      <c r="X61" s="66">
        <v>487752.09609423904</v>
      </c>
      <c r="Y61" s="8">
        <f>X61/$X$68</f>
        <v>0.703794</v>
      </c>
      <c r="Z61" s="45">
        <f>Y61*$Z$70</f>
        <v>318.114888</v>
      </c>
      <c r="AB61" s="25">
        <v>6200994.972772612</v>
      </c>
      <c r="AC61" s="8">
        <f>AB61/$AB$68</f>
        <v>0.23816795115724856</v>
      </c>
      <c r="AD61" s="45">
        <f>$V$83*AC61</f>
        <v>44553.97277260405</v>
      </c>
      <c r="AE61" s="38">
        <v>6156441</v>
      </c>
      <c r="AF61" s="38">
        <f>AD61+AE61</f>
        <v>6200994.972772604</v>
      </c>
      <c r="AG61" s="25">
        <f>3.848905*AD61</f>
        <v>171484.0085743396</v>
      </c>
      <c r="AH61" s="25">
        <f>J46*AD61</f>
        <v>101141.73288542838</v>
      </c>
    </row>
    <row r="62" spans="1:34" ht="12.75">
      <c r="A62" s="61"/>
      <c r="B62" s="35" t="s">
        <v>43</v>
      </c>
      <c r="C62" s="82">
        <f>E62/$E$68</f>
        <v>0.19371299999999997</v>
      </c>
      <c r="D62" s="75"/>
      <c r="E62" s="66">
        <v>134249.39938490995</v>
      </c>
      <c r="F62" s="84">
        <v>21</v>
      </c>
      <c r="G62" s="66">
        <f>E62*F62</f>
        <v>2819237.387083109</v>
      </c>
      <c r="H62" s="5"/>
      <c r="I62" s="66">
        <f>E62+Z62</f>
        <v>134336.95766090995</v>
      </c>
      <c r="J62" s="84">
        <f>F62</f>
        <v>21</v>
      </c>
      <c r="K62" s="66">
        <f>I62*J62</f>
        <v>2821076.110879109</v>
      </c>
      <c r="L62" s="5"/>
      <c r="M62" s="85">
        <v>8</v>
      </c>
      <c r="N62" s="84">
        <f>'[1]Rates'!$M$9</f>
        <v>5</v>
      </c>
      <c r="P62" s="85">
        <f>'[1]Rates'!$O$9</f>
        <v>6</v>
      </c>
      <c r="X62" s="66">
        <v>134249.39938490995</v>
      </c>
      <c r="Y62" s="8">
        <f>X62/$X$68</f>
        <v>0.19371299999999997</v>
      </c>
      <c r="Z62" s="45">
        <f>Y62*$Z$70</f>
        <v>87.55827599999999</v>
      </c>
      <c r="AB62" s="25">
        <v>5787059.860748375</v>
      </c>
      <c r="AC62" s="8">
        <f>AB62/$AB$68</f>
        <v>0.22226952227999072</v>
      </c>
      <c r="AD62" s="45">
        <f>$V$83*AC62</f>
        <v>41579.86074836762</v>
      </c>
      <c r="AE62" s="38">
        <v>5745480</v>
      </c>
      <c r="AF62" s="38">
        <f>AD62+AE62</f>
        <v>5787059.860748367</v>
      </c>
      <c r="AG62" s="25">
        <f>3.848905*AD62</f>
        <v>160036.93393369587</v>
      </c>
      <c r="AH62" s="25">
        <f>J47*AD62</f>
        <v>37917.86527539089</v>
      </c>
    </row>
    <row r="63" spans="1:34" ht="12.75">
      <c r="A63" s="61"/>
      <c r="B63" s="35" t="s">
        <v>44</v>
      </c>
      <c r="C63" s="82">
        <f>E63/$E$68</f>
        <v>0.10153899999999999</v>
      </c>
      <c r="D63" s="75"/>
      <c r="E63" s="66">
        <v>70369.82424589146</v>
      </c>
      <c r="F63" s="84">
        <v>55</v>
      </c>
      <c r="G63" s="66">
        <f>E63*F63</f>
        <v>3870340.33352403</v>
      </c>
      <c r="H63" s="5"/>
      <c r="I63" s="66">
        <f>E63+Z63</f>
        <v>70415.71987389146</v>
      </c>
      <c r="J63" s="84">
        <f>F63</f>
        <v>55</v>
      </c>
      <c r="K63" s="66">
        <f>I63*J63</f>
        <v>3872864.59306403</v>
      </c>
      <c r="L63" s="5"/>
      <c r="M63" s="85">
        <v>36</v>
      </c>
      <c r="N63" s="84">
        <f>'[1]Rates'!$M$10</f>
        <v>21</v>
      </c>
      <c r="P63" s="85">
        <f>'[1]Rates'!$O$10</f>
        <v>36</v>
      </c>
      <c r="X63" s="66">
        <v>70369.82424589146</v>
      </c>
      <c r="Y63" s="8">
        <f>X63/$X$68</f>
        <v>0.10153899999999999</v>
      </c>
      <c r="Z63" s="45">
        <f>Y63*$Z$70</f>
        <v>45.895627999999995</v>
      </c>
      <c r="AB63" s="25">
        <v>7238954.683818673</v>
      </c>
      <c r="AC63" s="8">
        <f>AB63/$AB$68</f>
        <v>0.2780339305442754</v>
      </c>
      <c r="AD63" s="45">
        <f>$V$83*AC63</f>
        <v>52011.683818663616</v>
      </c>
      <c r="AE63" s="38">
        <v>7186943</v>
      </c>
      <c r="AF63" s="38">
        <f>AD63+AE63</f>
        <v>7238954.6838186635</v>
      </c>
      <c r="AG63" s="25">
        <f>3.848905*AD63</f>
        <v>200188.02990807348</v>
      </c>
      <c r="AH63" s="25">
        <f>J48*AD63</f>
        <v>45059.39618536971</v>
      </c>
    </row>
    <row r="64" spans="1:31" ht="12.75">
      <c r="A64" s="61"/>
      <c r="B64" s="35" t="s">
        <v>45</v>
      </c>
      <c r="C64" s="82">
        <f>E64/$E$68</f>
        <v>0.0009539999999999999</v>
      </c>
      <c r="D64" s="75"/>
      <c r="E64" s="66">
        <v>661.152978959616</v>
      </c>
      <c r="F64" s="84">
        <v>244</v>
      </c>
      <c r="G64" s="66">
        <f>E64*F64</f>
        <v>161321.3268661463</v>
      </c>
      <c r="H64" s="5"/>
      <c r="I64" s="66">
        <f>E64+Z64</f>
        <v>661.584186959616</v>
      </c>
      <c r="J64" s="84">
        <f>F64</f>
        <v>244</v>
      </c>
      <c r="K64" s="66">
        <f>I64*J64</f>
        <v>161426.5416181463</v>
      </c>
      <c r="L64" s="5"/>
      <c r="M64" s="85">
        <v>135</v>
      </c>
      <c r="N64" s="84">
        <f>'[1]Rates'!$M$11</f>
        <v>55</v>
      </c>
      <c r="P64" s="85">
        <f>'[1]Rates'!$O$11</f>
        <v>135</v>
      </c>
      <c r="X64" s="66">
        <v>661.152978959616</v>
      </c>
      <c r="Y64" s="8">
        <f>X64/$X$68</f>
        <v>0.0009539999999999999</v>
      </c>
      <c r="Z64" s="45">
        <f>Y64*$Z$70</f>
        <v>0.4312079999999999</v>
      </c>
      <c r="AE64" s="38"/>
    </row>
    <row r="65" spans="1:34" ht="12.75">
      <c r="A65" s="61"/>
      <c r="B65" s="35" t="s">
        <v>72</v>
      </c>
      <c r="C65" s="82">
        <f>E65/$E$68</f>
        <v>0</v>
      </c>
      <c r="D65" s="75"/>
      <c r="E65" s="66">
        <v>0</v>
      </c>
      <c r="F65" s="84">
        <v>55</v>
      </c>
      <c r="G65" s="66">
        <f>E65*F65</f>
        <v>0</v>
      </c>
      <c r="H65" s="5"/>
      <c r="I65" s="66">
        <f>E65</f>
        <v>0</v>
      </c>
      <c r="J65" s="84">
        <f>F65</f>
        <v>55</v>
      </c>
      <c r="K65" s="66">
        <f>I65*J65</f>
        <v>0</v>
      </c>
      <c r="L65" s="5"/>
      <c r="M65" s="85">
        <v>416</v>
      </c>
      <c r="N65" s="84">
        <f>'[1]Rates'!$M$12</f>
        <v>244</v>
      </c>
      <c r="P65" s="85">
        <f>'[1]Rates'!$O$12</f>
        <v>416</v>
      </c>
      <c r="AB65" s="25">
        <v>3045722.4291557022</v>
      </c>
      <c r="AC65" s="8">
        <f>AB65/$AB$68</f>
        <v>0.11698017397704018</v>
      </c>
      <c r="AD65" s="45">
        <f>$V$83*AC65</f>
        <v>21883.4291556986</v>
      </c>
      <c r="AE65" s="38">
        <v>3023839</v>
      </c>
      <c r="AF65" s="38">
        <f>AD65+AE65</f>
        <v>3045722.4291556985</v>
      </c>
      <c r="AG65" s="25">
        <f>3.73844*AD65</f>
        <v>81809.88689282988</v>
      </c>
      <c r="AH65" s="25">
        <f>J50*AD65</f>
        <v>39957.95237152938</v>
      </c>
    </row>
    <row r="66" spans="1:34" ht="12.75">
      <c r="A66" s="61"/>
      <c r="B66" s="36" t="s">
        <v>4</v>
      </c>
      <c r="C66" s="82" t="s">
        <v>4</v>
      </c>
      <c r="D66" s="75"/>
      <c r="E66" s="66" t="s">
        <v>4</v>
      </c>
      <c r="F66" s="84" t="s">
        <v>4</v>
      </c>
      <c r="G66" s="66" t="s">
        <v>4</v>
      </c>
      <c r="H66" s="5"/>
      <c r="I66" s="66" t="s">
        <v>4</v>
      </c>
      <c r="J66" s="84" t="s">
        <v>4</v>
      </c>
      <c r="K66" s="66">
        <v>0</v>
      </c>
      <c r="L66" s="5"/>
      <c r="M66" s="85">
        <v>135</v>
      </c>
      <c r="N66" s="84">
        <f>'[1]Rates'!$M$13</f>
        <v>55</v>
      </c>
      <c r="P66" s="85">
        <f>'[1]Rates'!$O$13</f>
        <v>135</v>
      </c>
      <c r="AB66" s="25">
        <v>2055660.8649342807</v>
      </c>
      <c r="AC66" s="8">
        <f>AB66/$AB$68</f>
        <v>0.0789538676656315</v>
      </c>
      <c r="AD66" s="45">
        <f>$V$83*AC66</f>
        <v>14769.864934278203</v>
      </c>
      <c r="AE66" s="38">
        <v>2040891</v>
      </c>
      <c r="AF66" s="38">
        <f>AD66+AE66</f>
        <v>2055660.8649342782</v>
      </c>
      <c r="AG66" s="25">
        <f>3.73844*AD66</f>
        <v>55216.25386490301</v>
      </c>
      <c r="AH66" s="25">
        <f>J51*AD66</f>
        <v>10101.796975155832</v>
      </c>
    </row>
    <row r="67" spans="1:34" ht="12.75">
      <c r="A67" s="61"/>
      <c r="B67" s="36" t="s">
        <v>4</v>
      </c>
      <c r="C67" s="82" t="s">
        <v>4</v>
      </c>
      <c r="D67" s="75"/>
      <c r="E67" s="66" t="s">
        <v>4</v>
      </c>
      <c r="F67" s="84" t="s">
        <v>4</v>
      </c>
      <c r="G67" s="66" t="s">
        <v>4</v>
      </c>
      <c r="I67" s="66" t="str">
        <f>E67</f>
        <v> </v>
      </c>
      <c r="J67" s="84" t="str">
        <f>F67</f>
        <v> </v>
      </c>
      <c r="K67" s="66">
        <v>0</v>
      </c>
      <c r="L67" s="5"/>
      <c r="M67" s="85">
        <v>416</v>
      </c>
      <c r="N67" s="84">
        <f>'[1]Rates'!$M$14</f>
        <v>244</v>
      </c>
      <c r="P67" s="85">
        <f>'[1]Rates'!$O$14</f>
        <v>416</v>
      </c>
      <c r="AB67" s="25">
        <v>1707834.7441345123</v>
      </c>
      <c r="AC67" s="8">
        <f>AB67/$AB$68</f>
        <v>0.06559455437581371</v>
      </c>
      <c r="AD67" s="45">
        <f>$V$83*AC67</f>
        <v>12270.744134510118</v>
      </c>
      <c r="AE67" s="38">
        <v>1695564</v>
      </c>
      <c r="AF67" s="38">
        <f>AD67+AE67</f>
        <v>1707834.7441345102</v>
      </c>
      <c r="AG67" s="25">
        <f>3.73844*AD67</f>
        <v>45873.44070221801</v>
      </c>
      <c r="AH67" s="25">
        <f>J52*AD67</f>
        <v>7833.029985738705</v>
      </c>
    </row>
    <row r="68" spans="2:32" ht="12.75">
      <c r="B68" s="35" t="s">
        <v>46</v>
      </c>
      <c r="E68" s="87">
        <f>SUM(E61:E67)</f>
        <v>693032.4727040001</v>
      </c>
      <c r="F68" s="88"/>
      <c r="G68" s="87">
        <f>SUM(G61:G67)</f>
        <v>9289659.527944481</v>
      </c>
      <c r="I68" s="87">
        <f>SUM(I61:I67)</f>
        <v>693484.4727040001</v>
      </c>
      <c r="J68" s="89">
        <f>K68/I68</f>
        <v>13.404364</v>
      </c>
      <c r="K68" s="87">
        <f>SUM(K61:K67)</f>
        <v>9295718.300472481</v>
      </c>
      <c r="L68" s="5"/>
      <c r="M68" s="88"/>
      <c r="N68" s="88"/>
      <c r="P68" s="58">
        <f>($K68-$G68)/$G68</f>
        <v>0.0006522060910601315</v>
      </c>
      <c r="X68" s="56">
        <f>SUM(X61:X67)</f>
        <v>693032.4727040001</v>
      </c>
      <c r="Y68" s="56">
        <f>SUM(Y61:Y67)</f>
        <v>1</v>
      </c>
      <c r="Z68" s="56">
        <f>SUM(Z61:Z67)</f>
        <v>452</v>
      </c>
      <c r="AB68" s="56">
        <f>SUM(AB61:AB67)</f>
        <v>26036227.555564154</v>
      </c>
      <c r="AC68" s="8">
        <f>SUM(AC61:AC67)</f>
        <v>1</v>
      </c>
      <c r="AD68" s="56">
        <f>SUM(AD61:AD67)</f>
        <v>187069.55556412222</v>
      </c>
      <c r="AF68" s="56">
        <f>SUM(AF61:AF67)</f>
        <v>26036227.555564124</v>
      </c>
    </row>
    <row r="69" spans="1:16" ht="12.75">
      <c r="A69" s="61"/>
      <c r="B69" s="61"/>
      <c r="C69" s="61"/>
      <c r="D69" s="75"/>
      <c r="E69" s="66"/>
      <c r="F69" s="4"/>
      <c r="G69" s="66"/>
      <c r="H69" s="5"/>
      <c r="I69" s="66"/>
      <c r="J69" s="4"/>
      <c r="K69" s="66"/>
      <c r="L69" s="5"/>
      <c r="M69" s="4"/>
      <c r="N69" s="4"/>
      <c r="P69" s="4"/>
    </row>
    <row r="70" spans="1:34" ht="12.75">
      <c r="A70" s="5" t="s">
        <v>52</v>
      </c>
      <c r="B70" s="5"/>
      <c r="C70" s="66">
        <f>'[1]Rates'!M79</f>
        <v>0</v>
      </c>
      <c r="D70" s="28"/>
      <c r="F70" s="105"/>
      <c r="G70" s="66">
        <f>C70*12</f>
        <v>0</v>
      </c>
      <c r="H70" s="5"/>
      <c r="I70" s="106"/>
      <c r="J70" s="105"/>
      <c r="K70" s="66">
        <f>'[1]Rates'!O79</f>
        <v>0</v>
      </c>
      <c r="L70" s="5"/>
      <c r="M70" s="105"/>
      <c r="N70" s="105"/>
      <c r="P70" s="105"/>
      <c r="X70" s="8">
        <f>E68/(E26+E68)</f>
        <v>0.06840198016406654</v>
      </c>
      <c r="Z70" s="8">
        <f>ROUND(X70*X71,0)</f>
        <v>452</v>
      </c>
      <c r="AD70" s="8">
        <f>AD68/E87</f>
        <v>0.2904337739932095</v>
      </c>
      <c r="AG70" s="8">
        <f>Z70*7.5</f>
        <v>3390</v>
      </c>
      <c r="AH70" s="128">
        <f>J68*Z70</f>
        <v>6058.7725279999995</v>
      </c>
    </row>
    <row r="71" spans="1:24" ht="13.5" thickBot="1">
      <c r="A71" s="5"/>
      <c r="B71" s="5"/>
      <c r="C71" s="106"/>
      <c r="D71" s="28"/>
      <c r="F71" s="105"/>
      <c r="G71" s="107"/>
      <c r="H71" s="5"/>
      <c r="I71" s="106"/>
      <c r="J71" s="105"/>
      <c r="K71" s="107"/>
      <c r="L71" s="5"/>
      <c r="M71" s="105"/>
      <c r="N71" s="105"/>
      <c r="P71" s="105"/>
      <c r="X71" s="8">
        <v>6615</v>
      </c>
    </row>
    <row r="72" spans="1:35" ht="12.75">
      <c r="A72" s="108" t="s">
        <v>53</v>
      </c>
      <c r="B72" s="5"/>
      <c r="C72" s="106"/>
      <c r="D72" s="28"/>
      <c r="E72" s="28" t="s">
        <v>4</v>
      </c>
      <c r="F72" s="28"/>
      <c r="G72" s="38">
        <f>SUM(G68:G70)</f>
        <v>9289659.527944481</v>
      </c>
      <c r="H72" s="5"/>
      <c r="I72" s="106"/>
      <c r="J72" s="105"/>
      <c r="K72" s="66">
        <f>SUM(K68:K70)</f>
        <v>9295718.300472481</v>
      </c>
      <c r="L72" s="5"/>
      <c r="M72" s="105"/>
      <c r="N72" s="105"/>
      <c r="P72" s="105"/>
      <c r="T72" s="8" t="s">
        <v>31</v>
      </c>
      <c r="AG72" s="129">
        <f>SUM(AG61:AG70)</f>
        <v>717998.5538760598</v>
      </c>
      <c r="AH72" s="129">
        <f>SUM(AH61:AH70)</f>
        <v>248070.5462066129</v>
      </c>
      <c r="AI72" s="101">
        <f>AG72-AH72</f>
        <v>469928.00766944693</v>
      </c>
    </row>
    <row r="73" spans="1:16" ht="13.5" thickBot="1">
      <c r="A73" s="5"/>
      <c r="B73" s="5"/>
      <c r="C73" s="5"/>
      <c r="D73" s="28"/>
      <c r="E73" s="28" t="s">
        <v>4</v>
      </c>
      <c r="F73" s="109" t="s">
        <v>54</v>
      </c>
      <c r="G73" s="110">
        <v>1270335.4758617845</v>
      </c>
      <c r="H73" s="5"/>
      <c r="I73" s="106"/>
      <c r="J73" s="105"/>
      <c r="K73" s="111"/>
      <c r="L73" s="5"/>
      <c r="M73" s="105"/>
      <c r="N73" s="105"/>
      <c r="P73" s="105"/>
    </row>
    <row r="74" spans="1:22" ht="13.5" thickTop="1">
      <c r="A74" s="5"/>
      <c r="B74" s="5"/>
      <c r="C74" s="5"/>
      <c r="D74" s="28"/>
      <c r="E74" s="28"/>
      <c r="F74" s="28"/>
      <c r="G74" s="115">
        <f>G53+G72+G73</f>
        <v>40409967.00380627</v>
      </c>
      <c r="H74" s="5"/>
      <c r="I74" s="4"/>
      <c r="J74" s="4"/>
      <c r="K74" s="113"/>
      <c r="L74" s="5"/>
      <c r="M74" s="4"/>
      <c r="N74" s="4"/>
      <c r="P74" s="4"/>
      <c r="T74" s="130" t="s">
        <v>4</v>
      </c>
      <c r="V74" s="45">
        <f>U78*T76</f>
        <v>80065.25816739818</v>
      </c>
    </row>
    <row r="75" spans="1:22" ht="12.75">
      <c r="A75" s="108" t="s">
        <v>73</v>
      </c>
      <c r="B75" s="5"/>
      <c r="C75" s="5"/>
      <c r="D75" s="28"/>
      <c r="E75" s="114" t="s">
        <v>74</v>
      </c>
      <c r="F75" s="28" t="s">
        <v>55</v>
      </c>
      <c r="G75" s="131">
        <f>U92</f>
        <v>728533.8082159954</v>
      </c>
      <c r="H75" s="91"/>
      <c r="I75" s="91" t="s">
        <v>58</v>
      </c>
      <c r="J75" s="112">
        <f>K75-G76</f>
        <v>1840269.4884502143</v>
      </c>
      <c r="K75" s="91">
        <f>K53+K72</f>
        <v>42978770.30047248</v>
      </c>
      <c r="L75" s="5"/>
      <c r="M75" s="5"/>
      <c r="N75" s="5"/>
      <c r="V75" s="45">
        <f>U79*T76</f>
        <v>5878.741832601821</v>
      </c>
    </row>
    <row r="76" spans="1:22" ht="13.5" thickBot="1">
      <c r="A76" s="132"/>
      <c r="B76" s="15"/>
      <c r="C76" s="15"/>
      <c r="D76" s="133"/>
      <c r="E76" s="107"/>
      <c r="F76" s="5" t="s">
        <v>57</v>
      </c>
      <c r="G76" s="107">
        <f>G74+G75</f>
        <v>41138500.81202227</v>
      </c>
      <c r="H76" s="107"/>
      <c r="I76" s="91" t="s">
        <v>60</v>
      </c>
      <c r="J76" s="116">
        <f>($K75-$G76)/$G76</f>
        <v>0.044733508808673356</v>
      </c>
      <c r="K76" s="107"/>
      <c r="L76" s="107"/>
      <c r="M76" s="107"/>
      <c r="N76" s="107"/>
      <c r="P76" s="107"/>
      <c r="T76" s="8">
        <v>85944</v>
      </c>
      <c r="V76" s="134">
        <f>V74+V75</f>
        <v>85944</v>
      </c>
    </row>
    <row r="77" spans="1:16" ht="12.75">
      <c r="A77" s="108"/>
      <c r="B77" s="5"/>
      <c r="C77" s="5"/>
      <c r="D77" s="28"/>
      <c r="E77" s="91"/>
      <c r="F77" s="5"/>
      <c r="G77" s="91"/>
      <c r="H77" s="91"/>
      <c r="I77" s="6"/>
      <c r="J77" s="275" t="s">
        <v>0</v>
      </c>
      <c r="K77" s="275"/>
      <c r="L77" s="275"/>
      <c r="M77" s="5"/>
      <c r="N77" s="5"/>
      <c r="P77" s="5"/>
    </row>
    <row r="78" spans="1:21" ht="12.75">
      <c r="A78" s="117" t="str">
        <f>A$2</f>
        <v>Proof of Revenue</v>
      </c>
      <c r="B78" s="5"/>
      <c r="C78" s="5"/>
      <c r="D78" s="28"/>
      <c r="E78" s="91"/>
      <c r="F78" s="5"/>
      <c r="G78" s="91"/>
      <c r="H78" s="91"/>
      <c r="I78" s="273" t="str">
        <f>$I$2</f>
        <v>DPU Exhibit 7.1SR</v>
      </c>
      <c r="J78" s="273"/>
      <c r="K78" s="273"/>
      <c r="L78" s="7"/>
      <c r="M78" s="5"/>
      <c r="N78" s="5"/>
      <c r="P78" s="5"/>
      <c r="T78" s="45">
        <v>9438724.377674924</v>
      </c>
      <c r="U78" s="8">
        <f>T78/T80</f>
        <v>0.9315979959903912</v>
      </c>
    </row>
    <row r="79" spans="1:21" ht="12.75">
      <c r="A79" s="108"/>
      <c r="B79" s="5"/>
      <c r="C79" s="5"/>
      <c r="D79" s="28"/>
      <c r="E79" s="91"/>
      <c r="F79" s="5"/>
      <c r="G79" s="91"/>
      <c r="H79" s="91"/>
      <c r="I79" s="8"/>
      <c r="J79" s="8"/>
      <c r="K79" s="135" t="s">
        <v>75</v>
      </c>
      <c r="L79" s="7"/>
      <c r="M79" s="5"/>
      <c r="N79" s="5"/>
      <c r="P79" s="5"/>
      <c r="T79" s="45">
        <v>693032.4727040001</v>
      </c>
      <c r="U79" s="8">
        <f>1-U78</f>
        <v>0.06840200400960883</v>
      </c>
    </row>
    <row r="80" spans="1:20" ht="12.75">
      <c r="A80" s="108"/>
      <c r="B80" s="5"/>
      <c r="C80" s="5"/>
      <c r="D80" s="28"/>
      <c r="E80" s="91"/>
      <c r="F80" s="5"/>
      <c r="G80" s="91"/>
      <c r="H80" s="91"/>
      <c r="I80" s="8"/>
      <c r="J80" s="8"/>
      <c r="K80" s="135"/>
      <c r="L80" s="136"/>
      <c r="M80" s="5"/>
      <c r="N80" s="5"/>
      <c r="P80" s="5"/>
      <c r="T80" s="45">
        <f>T79+T78</f>
        <v>10131756.850378925</v>
      </c>
    </row>
    <row r="81" spans="1:16" ht="12.75">
      <c r="A81" s="27" t="s">
        <v>76</v>
      </c>
      <c r="B81" s="5"/>
      <c r="C81" s="5"/>
      <c r="D81" s="28"/>
      <c r="E81" s="272" t="s">
        <v>9</v>
      </c>
      <c r="F81" s="272"/>
      <c r="G81" s="272"/>
      <c r="H81" s="5"/>
      <c r="I81" s="274" t="s">
        <v>10</v>
      </c>
      <c r="J81" s="272"/>
      <c r="K81" s="272"/>
      <c r="L81" s="1"/>
      <c r="M81" s="137" t="s">
        <v>11</v>
      </c>
      <c r="N81" s="9" t="s">
        <v>12</v>
      </c>
      <c r="P81" s="137" t="s">
        <v>11</v>
      </c>
    </row>
    <row r="82" spans="1:22" ht="13.5" thickBot="1">
      <c r="A82" s="30" t="s">
        <v>17</v>
      </c>
      <c r="B82" s="17"/>
      <c r="C82" s="17"/>
      <c r="D82" s="31" t="s">
        <v>14</v>
      </c>
      <c r="E82" s="19" t="s">
        <v>14</v>
      </c>
      <c r="F82" s="19" t="s">
        <v>18</v>
      </c>
      <c r="G82" s="32" t="s">
        <v>19</v>
      </c>
      <c r="H82" s="5"/>
      <c r="I82" s="19" t="s">
        <v>14</v>
      </c>
      <c r="J82" s="19" t="s">
        <v>20</v>
      </c>
      <c r="K82" s="32" t="s">
        <v>19</v>
      </c>
      <c r="L82" s="5"/>
      <c r="M82" s="138" t="s">
        <v>21</v>
      </c>
      <c r="N82" s="32" t="s">
        <v>21</v>
      </c>
      <c r="P82" s="138" t="s">
        <v>21</v>
      </c>
      <c r="V82" s="45">
        <f>U86*T84</f>
        <v>457034.4444358778</v>
      </c>
    </row>
    <row r="83" spans="1:22" ht="12.75">
      <c r="A83" s="35" t="s">
        <v>23</v>
      </c>
      <c r="B83" s="35"/>
      <c r="C83" s="35" t="str">
        <f>'[1]Rates'!G126</f>
        <v>All Over</v>
      </c>
      <c r="D83" s="49">
        <f>'[1]Rates'!H126</f>
        <v>0</v>
      </c>
      <c r="E83" s="38">
        <f>DSUM(billfactors,'[1]Bill Factor Input'!T$2,Winter_UT_GSS)</f>
        <v>459961</v>
      </c>
      <c r="F83" s="39">
        <v>3.84905</v>
      </c>
      <c r="G83" s="38">
        <f>ROUND(E83*F83,0)</f>
        <v>1770413</v>
      </c>
      <c r="H83" s="41"/>
      <c r="I83" s="38" t="s">
        <v>4</v>
      </c>
      <c r="J83" s="39" t="s">
        <v>4</v>
      </c>
      <c r="K83" s="38" t="s">
        <v>4</v>
      </c>
      <c r="L83" s="5"/>
      <c r="M83" s="139">
        <f>$J$7*'[1]Rules'!$F$9</f>
        <v>4.540189194873315</v>
      </c>
      <c r="N83" s="39">
        <f>'[1]Rates'!$M$127</f>
        <v>3.84905</v>
      </c>
      <c r="P83" s="139">
        <f>ROUND($J$7*'[1]Rules'!$F$9,5)</f>
        <v>4.54019</v>
      </c>
      <c r="T83" s="8" t="s">
        <v>77</v>
      </c>
      <c r="V83" s="45">
        <f>U87*T84</f>
        <v>187069.5555641222</v>
      </c>
    </row>
    <row r="84" spans="1:22" ht="12.75">
      <c r="A84" s="35"/>
      <c r="B84" s="35"/>
      <c r="C84" s="35"/>
      <c r="D84" s="49"/>
      <c r="E84" s="38"/>
      <c r="F84" s="39"/>
      <c r="G84" s="38"/>
      <c r="H84" s="41"/>
      <c r="I84" s="38"/>
      <c r="J84" s="39"/>
      <c r="K84" s="38"/>
      <c r="L84" s="5"/>
      <c r="M84" s="139"/>
      <c r="N84" s="39"/>
      <c r="P84" s="139"/>
      <c r="T84" s="8">
        <v>644104</v>
      </c>
      <c r="V84" s="134">
        <f>V82+V83</f>
        <v>644104</v>
      </c>
    </row>
    <row r="85" spans="1:16" ht="12.75">
      <c r="A85" s="51" t="s">
        <v>27</v>
      </c>
      <c r="B85" s="35"/>
      <c r="C85" s="35" t="str">
        <f>C83</f>
        <v>All Over</v>
      </c>
      <c r="D85" s="49">
        <f>D83</f>
        <v>0</v>
      </c>
      <c r="E85" s="38">
        <f>DSUM(billfactors,'[1]Bill Factor Input'!T$2,Summer_UT_GSS)</f>
        <v>184143</v>
      </c>
      <c r="F85" s="39">
        <v>3.73844</v>
      </c>
      <c r="G85" s="40">
        <f>ROUND(E85*F85,0)</f>
        <v>688408</v>
      </c>
      <c r="H85" s="41"/>
      <c r="I85" s="38" t="s">
        <v>4</v>
      </c>
      <c r="J85" s="39" t="s">
        <v>4</v>
      </c>
      <c r="K85" s="40" t="s">
        <v>4</v>
      </c>
      <c r="L85" s="5"/>
      <c r="M85" s="139">
        <f>$J$9*'[1]Rules'!$F$9</f>
        <v>3.651891308919841</v>
      </c>
      <c r="N85" s="39">
        <f>'[1]Rates'!$M$126</f>
        <v>3.73844</v>
      </c>
      <c r="P85" s="139">
        <f>ROUND($J$9*'[1]Rules'!$F$9,5)</f>
        <v>3.65189</v>
      </c>
    </row>
    <row r="86" spans="1:21" ht="12.75">
      <c r="A86" s="51"/>
      <c r="B86" s="35"/>
      <c r="C86" s="35"/>
      <c r="D86" s="49"/>
      <c r="E86" s="38"/>
      <c r="F86" s="39"/>
      <c r="G86" s="40"/>
      <c r="H86" s="41"/>
      <c r="I86" s="38"/>
      <c r="J86" s="39"/>
      <c r="K86" s="40"/>
      <c r="L86" s="5"/>
      <c r="M86" s="139"/>
      <c r="N86" s="39"/>
      <c r="P86" s="139"/>
      <c r="T86" s="8">
        <v>63152743</v>
      </c>
      <c r="U86" s="8">
        <f>T86/T88</f>
        <v>0.7095662260067905</v>
      </c>
    </row>
    <row r="87" spans="1:21" ht="12.75">
      <c r="A87" s="53" t="s">
        <v>28</v>
      </c>
      <c r="C87" s="35"/>
      <c r="D87" s="49"/>
      <c r="E87" s="54">
        <f>SUM(E83:E86)</f>
        <v>644104</v>
      </c>
      <c r="F87" s="55"/>
      <c r="G87" s="56">
        <f>SUM(G83:G86)</f>
        <v>2458821</v>
      </c>
      <c r="H87" s="41"/>
      <c r="I87" s="56">
        <f>SUM(I83:I85)</f>
        <v>0</v>
      </c>
      <c r="J87" s="55"/>
      <c r="K87" s="56">
        <f>SUM(K83:K85)</f>
        <v>0</v>
      </c>
      <c r="L87" s="5"/>
      <c r="M87" s="140"/>
      <c r="N87" s="55"/>
      <c r="P87" s="58">
        <f>($K87-$G87)/$G87</f>
        <v>-1</v>
      </c>
      <c r="T87" s="8">
        <v>25849158</v>
      </c>
      <c r="U87" s="8">
        <f>1-U86</f>
        <v>0.29043377399320947</v>
      </c>
    </row>
    <row r="88" spans="1:20" ht="12.75">
      <c r="A88" s="61"/>
      <c r="B88" s="62"/>
      <c r="C88" s="62"/>
      <c r="D88" s="63"/>
      <c r="E88" s="64"/>
      <c r="F88" s="65"/>
      <c r="G88" s="66"/>
      <c r="H88" s="41"/>
      <c r="I88" s="64"/>
      <c r="J88" s="65"/>
      <c r="K88" s="66"/>
      <c r="L88" s="5"/>
      <c r="M88" s="141"/>
      <c r="N88" s="65"/>
      <c r="P88" s="141"/>
      <c r="T88" s="45">
        <f>T87+T86</f>
        <v>89001901</v>
      </c>
    </row>
    <row r="89" spans="1:16" ht="13.5" thickBot="1">
      <c r="A89" s="69" t="s">
        <v>30</v>
      </c>
      <c r="B89" s="70"/>
      <c r="C89" s="70"/>
      <c r="D89" s="71"/>
      <c r="E89" s="19" t="s">
        <v>31</v>
      </c>
      <c r="F89" s="19" t="s">
        <v>18</v>
      </c>
      <c r="G89" s="32" t="s">
        <v>19</v>
      </c>
      <c r="H89" s="5"/>
      <c r="I89" s="19" t="s">
        <v>31</v>
      </c>
      <c r="J89" s="19" t="s">
        <v>20</v>
      </c>
      <c r="K89" s="32" t="s">
        <v>19</v>
      </c>
      <c r="L89" s="5"/>
      <c r="M89" s="142"/>
      <c r="N89" s="32"/>
      <c r="P89" s="142"/>
    </row>
    <row r="90" spans="1:16" ht="12.75">
      <c r="A90" s="74" t="s">
        <v>33</v>
      </c>
      <c r="B90" s="51" t="s">
        <v>34</v>
      </c>
      <c r="C90" s="51"/>
      <c r="D90" s="75"/>
      <c r="E90" s="38">
        <f>DSUM(billfactors,'[1]Bill Factor Input'!E$2,UT_GSS)</f>
        <v>7097.916666666666</v>
      </c>
      <c r="F90" s="4"/>
      <c r="G90" s="66"/>
      <c r="H90" s="5"/>
      <c r="I90" s="66" t="s">
        <v>4</v>
      </c>
      <c r="J90" s="4"/>
      <c r="K90" s="66"/>
      <c r="L90" s="5"/>
      <c r="M90" s="143"/>
      <c r="N90" s="4"/>
      <c r="P90" s="143"/>
    </row>
    <row r="91" spans="1:21" ht="12.75">
      <c r="A91" s="61"/>
      <c r="B91" s="51" t="s">
        <v>35</v>
      </c>
      <c r="C91" s="51"/>
      <c r="D91" s="75"/>
      <c r="E91" s="78">
        <f>E90*12</f>
        <v>85175</v>
      </c>
      <c r="F91" s="4"/>
      <c r="G91" s="66"/>
      <c r="H91" s="5"/>
      <c r="I91" s="78" t="s">
        <v>4</v>
      </c>
      <c r="J91" s="4"/>
      <c r="K91" s="66"/>
      <c r="L91" s="5"/>
      <c r="M91" s="143"/>
      <c r="N91" s="4"/>
      <c r="P91" s="143"/>
      <c r="T91" s="8" t="s">
        <v>78</v>
      </c>
      <c r="U91" s="101">
        <f>U86*T93</f>
        <v>1779899.6917840047</v>
      </c>
    </row>
    <row r="92" spans="1:21" ht="12.75">
      <c r="A92" s="61"/>
      <c r="B92" s="35" t="s">
        <v>79</v>
      </c>
      <c r="C92" s="51"/>
      <c r="D92" s="75"/>
      <c r="E92" s="79">
        <v>0.07766363369533313</v>
      </c>
      <c r="F92" s="105"/>
      <c r="G92" s="66"/>
      <c r="H92" s="5"/>
      <c r="I92" s="79" t="s">
        <v>4</v>
      </c>
      <c r="J92" s="4"/>
      <c r="K92" s="66"/>
      <c r="L92" s="5"/>
      <c r="M92" s="143"/>
      <c r="N92" s="4"/>
      <c r="P92" s="143"/>
      <c r="T92" s="8" t="s">
        <v>80</v>
      </c>
      <c r="U92" s="101">
        <f>U87*T93</f>
        <v>728533.8082159954</v>
      </c>
    </row>
    <row r="93" spans="1:20" ht="12.75">
      <c r="A93" s="61"/>
      <c r="B93" s="51" t="s">
        <v>38</v>
      </c>
      <c r="C93" s="51"/>
      <c r="D93" s="75"/>
      <c r="E93" s="78">
        <f>E91*E92</f>
        <v>6615</v>
      </c>
      <c r="F93" s="144"/>
      <c r="G93" s="66"/>
      <c r="H93" s="5"/>
      <c r="I93" s="78" t="s">
        <v>4</v>
      </c>
      <c r="J93" s="4"/>
      <c r="K93" s="66"/>
      <c r="L93" s="5"/>
      <c r="M93" s="143"/>
      <c r="N93" s="4"/>
      <c r="P93" s="143"/>
      <c r="T93" s="101">
        <v>2508433.5</v>
      </c>
    </row>
    <row r="94" spans="1:16" ht="12.75">
      <c r="A94" s="61"/>
      <c r="B94" s="51"/>
      <c r="C94" s="80" t="s">
        <v>40</v>
      </c>
      <c r="D94" s="75"/>
      <c r="E94" s="66"/>
      <c r="F94" s="144"/>
      <c r="G94" s="66"/>
      <c r="H94" s="5"/>
      <c r="I94" s="66"/>
      <c r="J94" s="4"/>
      <c r="K94" s="66"/>
      <c r="L94" s="5"/>
      <c r="M94" s="143"/>
      <c r="N94" s="4"/>
      <c r="P94" s="143"/>
    </row>
    <row r="95" spans="1:16" ht="12.75">
      <c r="A95" s="61"/>
      <c r="B95" s="51" t="s">
        <v>81</v>
      </c>
      <c r="C95" s="145">
        <v>1</v>
      </c>
      <c r="D95" s="75"/>
      <c r="E95" s="66">
        <f>$E$93*C95</f>
        <v>6615</v>
      </c>
      <c r="F95" s="84">
        <v>7.5</v>
      </c>
      <c r="G95" s="66">
        <f>E95*F95</f>
        <v>49612.5</v>
      </c>
      <c r="H95" s="5"/>
      <c r="I95" s="66" t="s">
        <v>4</v>
      </c>
      <c r="J95" s="84">
        <f>M95</f>
        <v>7.5</v>
      </c>
      <c r="K95" s="66" t="s">
        <v>4</v>
      </c>
      <c r="L95" s="5"/>
      <c r="M95" s="146">
        <f>'[1]Rates'!$O$62</f>
        <v>7.5</v>
      </c>
      <c r="N95" s="84">
        <f>'[1]Rates'!$M$62</f>
        <v>7.5</v>
      </c>
      <c r="P95" s="146">
        <f>'[1]Rates'!$O$62</f>
        <v>7.5</v>
      </c>
    </row>
    <row r="96" spans="2:16" ht="12.75">
      <c r="B96" s="35" t="s">
        <v>82</v>
      </c>
      <c r="E96" s="87">
        <f>SUM(E95:E95)</f>
        <v>6615</v>
      </c>
      <c r="F96" s="88"/>
      <c r="G96" s="87">
        <f>SUM(G95:G95)</f>
        <v>49612.5</v>
      </c>
      <c r="I96" s="87">
        <f>SUM(I95:I95)</f>
        <v>0</v>
      </c>
      <c r="J96" s="88"/>
      <c r="K96" s="87">
        <f>SUM(K95:K95)</f>
        <v>0</v>
      </c>
      <c r="L96" s="5"/>
      <c r="M96" s="4"/>
      <c r="N96" s="4"/>
      <c r="P96" s="58">
        <f>($K96-$G96)/$G96</f>
        <v>-1</v>
      </c>
    </row>
    <row r="97" spans="1:16" ht="12.75">
      <c r="A97" s="61"/>
      <c r="B97" s="62"/>
      <c r="C97" s="62"/>
      <c r="D97" s="63"/>
      <c r="E97" s="64"/>
      <c r="F97" s="65"/>
      <c r="G97" s="66"/>
      <c r="H97" s="41"/>
      <c r="I97" s="64"/>
      <c r="J97" s="65"/>
      <c r="K97" s="66"/>
      <c r="L97" s="5"/>
      <c r="M97" s="65"/>
      <c r="N97" s="65"/>
      <c r="P97" s="65"/>
    </row>
    <row r="98" spans="1:16" ht="13.5" thickBot="1">
      <c r="A98" s="5"/>
      <c r="B98" s="5"/>
      <c r="C98" s="5"/>
      <c r="D98" s="28"/>
      <c r="E98" s="28"/>
      <c r="F98" s="109" t="s">
        <v>83</v>
      </c>
      <c r="G98" s="110">
        <v>0</v>
      </c>
      <c r="H98" s="5"/>
      <c r="I98" s="106"/>
      <c r="J98" s="105"/>
      <c r="K98" s="111"/>
      <c r="L98" s="5"/>
      <c r="M98" s="105"/>
      <c r="N98" s="105"/>
      <c r="P98" s="105"/>
    </row>
    <row r="99" spans="1:16" ht="13.5" thickTop="1">
      <c r="A99" s="5"/>
      <c r="B99" s="5"/>
      <c r="C99" s="5"/>
      <c r="D99" s="28"/>
      <c r="E99" s="28"/>
      <c r="F99" s="28"/>
      <c r="G99" s="113"/>
      <c r="H99" s="5"/>
      <c r="I99" s="4"/>
      <c r="J99" s="4"/>
      <c r="K99" s="113"/>
      <c r="L99" s="5"/>
      <c r="M99" s="4"/>
      <c r="N99" s="4"/>
      <c r="P99" s="4"/>
    </row>
    <row r="100" spans="1:16" ht="12.75">
      <c r="A100" s="147" t="s">
        <v>84</v>
      </c>
      <c r="B100" s="5"/>
      <c r="C100" s="5"/>
      <c r="D100" s="28"/>
      <c r="E100" s="28"/>
      <c r="F100" s="28" t="s">
        <v>57</v>
      </c>
      <c r="G100" s="115">
        <f>G87+G96</f>
        <v>2508433.5</v>
      </c>
      <c r="H100" s="91"/>
      <c r="I100" s="91"/>
      <c r="J100" s="112">
        <f>K100-G100</f>
        <v>-2508433.5</v>
      </c>
      <c r="K100" s="91">
        <v>0</v>
      </c>
      <c r="L100" s="5"/>
      <c r="M100" s="5"/>
      <c r="N100" s="5"/>
      <c r="P100" s="116">
        <f>($K100-$G100)/$G100</f>
        <v>-1</v>
      </c>
    </row>
    <row r="101" spans="1:16" ht="13.5" thickBot="1">
      <c r="A101" s="132"/>
      <c r="B101" s="15"/>
      <c r="C101" s="15"/>
      <c r="D101" s="133"/>
      <c r="E101" s="107"/>
      <c r="F101" s="15"/>
      <c r="G101" s="107"/>
      <c r="H101" s="107"/>
      <c r="I101" s="107"/>
      <c r="J101" s="116">
        <f>($K100-$G100)/$G100</f>
        <v>-1</v>
      </c>
      <c r="K101" s="107"/>
      <c r="L101" s="15"/>
      <c r="M101" s="15"/>
      <c r="N101" s="15"/>
      <c r="P101" s="15"/>
    </row>
    <row r="102" spans="1:16" ht="12.75">
      <c r="A102" s="108"/>
      <c r="B102" s="5"/>
      <c r="C102" s="5"/>
      <c r="D102" s="28"/>
      <c r="E102" s="91"/>
      <c r="F102" s="5"/>
      <c r="G102" s="91"/>
      <c r="H102" s="91"/>
      <c r="I102" s="91"/>
      <c r="J102" s="5"/>
      <c r="K102" s="91"/>
      <c r="L102" s="5"/>
      <c r="M102" s="5"/>
      <c r="N102" s="5"/>
      <c r="P102" s="5"/>
    </row>
    <row r="103" spans="1:16" ht="12.75">
      <c r="A103" s="27" t="s">
        <v>85</v>
      </c>
      <c r="B103" s="5"/>
      <c r="C103" s="5"/>
      <c r="D103" s="28"/>
      <c r="E103" s="272" t="s">
        <v>9</v>
      </c>
      <c r="F103" s="272"/>
      <c r="G103" s="272"/>
      <c r="H103" s="5"/>
      <c r="I103" s="274" t="s">
        <v>10</v>
      </c>
      <c r="J103" s="272"/>
      <c r="K103" s="272"/>
      <c r="L103" s="1"/>
      <c r="M103" s="137" t="s">
        <v>11</v>
      </c>
      <c r="N103" s="9" t="s">
        <v>12</v>
      </c>
      <c r="P103" s="137" t="s">
        <v>11</v>
      </c>
    </row>
    <row r="104" spans="1:16" ht="13.5" thickBot="1">
      <c r="A104" s="30" t="s">
        <v>17</v>
      </c>
      <c r="B104" s="17"/>
      <c r="C104" s="17"/>
      <c r="D104" s="31" t="s">
        <v>14</v>
      </c>
      <c r="E104" s="19" t="s">
        <v>14</v>
      </c>
      <c r="F104" s="19" t="s">
        <v>18</v>
      </c>
      <c r="G104" s="32" t="s">
        <v>19</v>
      </c>
      <c r="H104" s="5"/>
      <c r="I104" s="19" t="s">
        <v>14</v>
      </c>
      <c r="J104" s="19" t="s">
        <v>20</v>
      </c>
      <c r="K104" s="32" t="s">
        <v>19</v>
      </c>
      <c r="L104" s="5"/>
      <c r="M104" s="138" t="s">
        <v>21</v>
      </c>
      <c r="N104" s="32" t="s">
        <v>21</v>
      </c>
      <c r="P104" s="138" t="s">
        <v>21</v>
      </c>
    </row>
    <row r="105" spans="1:16" ht="12.75">
      <c r="A105" s="36" t="s">
        <v>86</v>
      </c>
      <c r="B105" s="35"/>
      <c r="C105" s="35" t="str">
        <f>'[1]Rates'!G197</f>
        <v>All Over</v>
      </c>
      <c r="D105" s="49">
        <f>'[1]Rates'!H197</f>
        <v>0</v>
      </c>
      <c r="E105" s="148">
        <f>DSUM(billfactors,'[1]Bill Factor Input'!T$2,UT_NGV)</f>
        <v>137419</v>
      </c>
      <c r="F105" s="39">
        <f>N105</f>
        <v>2.5567</v>
      </c>
      <c r="G105" s="38">
        <f>ROUND(E105*F105,0)</f>
        <v>351339</v>
      </c>
      <c r="H105" s="41"/>
      <c r="I105" s="38">
        <f>E105</f>
        <v>137419</v>
      </c>
      <c r="J105" s="39">
        <v>4.96031</v>
      </c>
      <c r="K105" s="38">
        <f>ROUND(I105*J105,0)</f>
        <v>681641</v>
      </c>
      <c r="L105" s="5"/>
      <c r="M105" s="139">
        <f>$N$105*(1+'[1]Rules'!$F$17)</f>
        <v>2.7659290378806696</v>
      </c>
      <c r="N105" s="39">
        <f>'[1]Rates'!$M$197</f>
        <v>2.5567</v>
      </c>
      <c r="P105" s="139">
        <f>ROUND($N$105*(1+'[1]Rules'!$F$17),5)</f>
        <v>2.76593</v>
      </c>
    </row>
    <row r="106" spans="1:16" ht="13.5" thickBot="1">
      <c r="A106" s="5"/>
      <c r="B106" s="5"/>
      <c r="C106" s="5"/>
      <c r="D106" s="28"/>
      <c r="E106" s="106"/>
      <c r="F106" s="105"/>
      <c r="G106" s="111"/>
      <c r="H106" s="5"/>
      <c r="I106" s="106"/>
      <c r="J106" s="105"/>
      <c r="K106" s="111"/>
      <c r="L106" s="5"/>
      <c r="M106" s="105"/>
      <c r="N106" s="105"/>
      <c r="P106" s="105"/>
    </row>
    <row r="107" spans="1:16" ht="13.5" thickTop="1">
      <c r="A107" s="5"/>
      <c r="B107" s="5"/>
      <c r="C107" s="5"/>
      <c r="D107" s="28"/>
      <c r="E107" s="4"/>
      <c r="F107" s="4"/>
      <c r="G107" s="113"/>
      <c r="H107" s="5"/>
      <c r="I107" s="4"/>
      <c r="J107" s="4"/>
      <c r="K107" s="113"/>
      <c r="L107" s="5"/>
      <c r="M107" s="4"/>
      <c r="N107" s="4"/>
      <c r="P107" s="4"/>
    </row>
    <row r="108" spans="1:16" ht="12.75">
      <c r="A108" s="147" t="s">
        <v>87</v>
      </c>
      <c r="B108" s="5"/>
      <c r="C108" s="5"/>
      <c r="D108" s="28"/>
      <c r="E108" s="91"/>
      <c r="F108" s="5" t="s">
        <v>57</v>
      </c>
      <c r="G108" s="115">
        <f>G105</f>
        <v>351339</v>
      </c>
      <c r="H108" s="91"/>
      <c r="I108" s="91" t="s">
        <v>58</v>
      </c>
      <c r="J108" s="112">
        <f>K108-G108</f>
        <v>330302</v>
      </c>
      <c r="K108" s="38">
        <f>K105</f>
        <v>681641</v>
      </c>
      <c r="L108" s="5"/>
      <c r="M108" s="5"/>
      <c r="N108" s="5"/>
      <c r="P108" s="5"/>
    </row>
    <row r="109" spans="1:16" ht="13.5" thickBot="1">
      <c r="A109" s="132"/>
      <c r="B109" s="15"/>
      <c r="C109" s="15"/>
      <c r="D109" s="133"/>
      <c r="E109" s="107"/>
      <c r="F109" s="15"/>
      <c r="G109" s="107"/>
      <c r="H109" s="107"/>
      <c r="I109" s="91" t="s">
        <v>60</v>
      </c>
      <c r="J109" s="116">
        <f>($K108-$G108)/$G108</f>
        <v>0.9401233566441528</v>
      </c>
      <c r="K109" s="107"/>
      <c r="L109" s="15"/>
      <c r="M109" s="15"/>
      <c r="N109" s="15"/>
      <c r="P109" s="15"/>
    </row>
    <row r="110" spans="1:20" ht="12.75">
      <c r="A110" s="108"/>
      <c r="B110" s="5"/>
      <c r="C110" s="5"/>
      <c r="D110" s="28"/>
      <c r="E110" s="91"/>
      <c r="F110" s="5"/>
      <c r="G110" s="91"/>
      <c r="H110" s="91"/>
      <c r="I110" s="6"/>
      <c r="J110" s="275" t="s">
        <v>0</v>
      </c>
      <c r="K110" s="275"/>
      <c r="L110" s="275"/>
      <c r="M110" s="5"/>
      <c r="N110" s="5"/>
      <c r="P110" s="5"/>
      <c r="S110" s="10"/>
      <c r="T110" s="11"/>
    </row>
    <row r="111" spans="1:20" ht="12.75">
      <c r="A111" s="117" t="str">
        <f>A$2</f>
        <v>Proof of Revenue</v>
      </c>
      <c r="B111" s="5"/>
      <c r="C111" s="5"/>
      <c r="D111" s="28"/>
      <c r="E111" s="91"/>
      <c r="F111" s="5"/>
      <c r="G111" s="91"/>
      <c r="H111" s="91"/>
      <c r="I111" s="273" t="str">
        <f>$I$2</f>
        <v>DPU Exhibit 7.1SR</v>
      </c>
      <c r="J111" s="273"/>
      <c r="K111" s="273"/>
      <c r="L111" s="7"/>
      <c r="M111" s="5"/>
      <c r="N111" s="5"/>
      <c r="P111" s="5"/>
      <c r="S111" s="13"/>
      <c r="T111" s="14"/>
    </row>
    <row r="112" spans="1:20" ht="12.75">
      <c r="A112" s="108"/>
      <c r="B112" s="5"/>
      <c r="C112" s="5"/>
      <c r="D112" s="28"/>
      <c r="E112" s="91"/>
      <c r="F112" s="5"/>
      <c r="G112" s="91"/>
      <c r="H112" s="91"/>
      <c r="I112" s="8"/>
      <c r="J112" s="8"/>
      <c r="K112" s="135" t="s">
        <v>88</v>
      </c>
      <c r="L112" s="7"/>
      <c r="M112" s="5"/>
      <c r="N112" s="5"/>
      <c r="P112" s="5"/>
      <c r="S112" s="13"/>
      <c r="T112" s="14"/>
    </row>
    <row r="113" spans="1:20" ht="12.75">
      <c r="A113" s="108"/>
      <c r="B113" s="5"/>
      <c r="C113" s="5"/>
      <c r="D113" s="28"/>
      <c r="E113" s="91"/>
      <c r="F113" s="5"/>
      <c r="G113" s="91"/>
      <c r="H113" s="91"/>
      <c r="I113" s="91"/>
      <c r="J113" s="5"/>
      <c r="K113" s="91"/>
      <c r="L113" s="5"/>
      <c r="M113" s="5"/>
      <c r="N113" s="5"/>
      <c r="P113" s="5"/>
      <c r="S113" s="13"/>
      <c r="T113" s="14"/>
    </row>
    <row r="114" spans="1:20" ht="12.75">
      <c r="A114" s="27" t="s">
        <v>89</v>
      </c>
      <c r="B114" s="5"/>
      <c r="C114" s="5"/>
      <c r="D114" s="28"/>
      <c r="E114" s="9" t="s">
        <v>9</v>
      </c>
      <c r="F114" s="9"/>
      <c r="G114" s="9"/>
      <c r="H114" s="5"/>
      <c r="I114" s="274" t="s">
        <v>10</v>
      </c>
      <c r="J114" s="272"/>
      <c r="K114" s="272"/>
      <c r="L114" s="1"/>
      <c r="M114" s="29" t="s">
        <v>11</v>
      </c>
      <c r="N114" s="9" t="s">
        <v>12</v>
      </c>
      <c r="P114" s="29" t="s">
        <v>11</v>
      </c>
      <c r="S114" s="20"/>
      <c r="T114" s="21"/>
    </row>
    <row r="115" spans="1:20" ht="13.5" thickBot="1">
      <c r="A115" s="30" t="s">
        <v>17</v>
      </c>
      <c r="B115" s="17"/>
      <c r="C115" s="17"/>
      <c r="D115" s="31" t="s">
        <v>14</v>
      </c>
      <c r="E115" s="19" t="s">
        <v>14</v>
      </c>
      <c r="F115" s="19" t="s">
        <v>18</v>
      </c>
      <c r="G115" s="32" t="s">
        <v>19</v>
      </c>
      <c r="H115" s="5"/>
      <c r="I115" s="19" t="s">
        <v>14</v>
      </c>
      <c r="J115" s="19" t="s">
        <v>20</v>
      </c>
      <c r="K115" s="32" t="s">
        <v>19</v>
      </c>
      <c r="L115" s="5"/>
      <c r="M115" s="33" t="s">
        <v>21</v>
      </c>
      <c r="N115" s="32" t="s">
        <v>21</v>
      </c>
      <c r="P115" s="33" t="s">
        <v>21</v>
      </c>
      <c r="S115" s="20"/>
      <c r="T115" s="21"/>
    </row>
    <row r="116" spans="1:26" ht="12.75">
      <c r="A116" s="35" t="s">
        <v>23</v>
      </c>
      <c r="B116" s="35" t="s">
        <v>24</v>
      </c>
      <c r="C116" s="35" t="str">
        <f>'[1]Rates'!G139</f>
        <v>First</v>
      </c>
      <c r="D116" s="49">
        <v>200</v>
      </c>
      <c r="E116" s="121">
        <v>553274</v>
      </c>
      <c r="F116" s="39">
        <f>N116</f>
        <v>0.55552</v>
      </c>
      <c r="G116" s="38">
        <f>ROUND(E116*F116,0)</f>
        <v>307355</v>
      </c>
      <c r="H116" s="41"/>
      <c r="I116" s="38">
        <v>403738</v>
      </c>
      <c r="J116" s="39">
        <f>Z116</f>
        <v>0.6653218765325768</v>
      </c>
      <c r="K116" s="38">
        <f>ROUND(I116*J116,0)</f>
        <v>268616</v>
      </c>
      <c r="L116" s="5"/>
      <c r="M116" s="47">
        <f>(K116-G116)/G116</f>
        <v>-0.12603992126368532</v>
      </c>
      <c r="N116" s="39">
        <f>'[1]Rates'!$M$142</f>
        <v>0.55552</v>
      </c>
      <c r="P116" s="42" t="e">
        <f>ROUND($J$116+#REF!,5)</f>
        <v>#REF!</v>
      </c>
      <c r="S116" s="20"/>
      <c r="T116" s="21"/>
      <c r="U116" s="38">
        <f>I116</f>
        <v>403738</v>
      </c>
      <c r="V116" s="46">
        <f>F116</f>
        <v>0.55552</v>
      </c>
      <c r="W116" s="38">
        <f>U116*V116</f>
        <v>224284.53376</v>
      </c>
      <c r="X116" s="47">
        <f>W116/$W$124</f>
        <v>0.07211551052282765</v>
      </c>
      <c r="Y116" s="38">
        <f>X116*$T$130</f>
        <v>268615.7237875095</v>
      </c>
      <c r="Z116" s="8">
        <f>Y116/U116</f>
        <v>0.6653218765325768</v>
      </c>
    </row>
    <row r="117" spans="1:26" ht="12.75">
      <c r="A117" s="48"/>
      <c r="B117" s="35" t="s">
        <v>66</v>
      </c>
      <c r="C117" s="35" t="str">
        <f>'[1]Rates'!G140</f>
        <v>Next</v>
      </c>
      <c r="D117" s="49">
        <v>1800</v>
      </c>
      <c r="E117" s="122">
        <v>1106952</v>
      </c>
      <c r="F117" s="39">
        <f>N117</f>
        <v>0.50247</v>
      </c>
      <c r="G117" s="38">
        <f>ROUND(E117*F117,0)</f>
        <v>556210</v>
      </c>
      <c r="H117" s="41"/>
      <c r="I117" s="38">
        <v>266885</v>
      </c>
      <c r="J117" s="39">
        <f>Z117</f>
        <v>0.6017862242607357</v>
      </c>
      <c r="K117" s="38">
        <f>ROUND(I117*J117,0)</f>
        <v>160608</v>
      </c>
      <c r="L117" s="5"/>
      <c r="M117" s="47">
        <f>(K117-G117)/G117</f>
        <v>-0.7112457525035508</v>
      </c>
      <c r="N117" s="39">
        <f>'[1]Rates'!$M$143</f>
        <v>0.50247</v>
      </c>
      <c r="P117" s="42">
        <f>ROUND($M$116*'[1]Rules'!$F$11,5)</f>
        <v>-0.10083</v>
      </c>
      <c r="S117" s="20" t="s">
        <v>22</v>
      </c>
      <c r="T117" s="34" t="e">
        <f>#REF!</f>
        <v>#REF!</v>
      </c>
      <c r="U117" s="38">
        <f>I117</f>
        <v>266885</v>
      </c>
      <c r="V117" s="46">
        <f>F117</f>
        <v>0.50247</v>
      </c>
      <c r="W117" s="38">
        <f>U117*V117</f>
        <v>134101.70595</v>
      </c>
      <c r="X117" s="47">
        <f>W117/$W$124</f>
        <v>0.04311850141621804</v>
      </c>
      <c r="Y117" s="38">
        <f>X117*$T$130</f>
        <v>160607.71646182644</v>
      </c>
      <c r="Z117" s="8">
        <f>Y117/U117</f>
        <v>0.6017862242607357</v>
      </c>
    </row>
    <row r="118" spans="1:26" ht="12.75">
      <c r="A118" s="48"/>
      <c r="B118" s="35" t="s">
        <v>68</v>
      </c>
      <c r="C118" s="35" t="str">
        <f>'[1]Rates'!G141</f>
        <v>All Over</v>
      </c>
      <c r="D118" s="49">
        <v>2000</v>
      </c>
      <c r="E118" s="122">
        <v>2100468</v>
      </c>
      <c r="F118" s="39">
        <f>N118</f>
        <v>0.424</v>
      </c>
      <c r="G118" s="38">
        <f>ROUND(E118*F118,0)</f>
        <v>890598</v>
      </c>
      <c r="H118" s="41"/>
      <c r="I118" s="38">
        <v>2872474</v>
      </c>
      <c r="J118" s="39">
        <f>Z118</f>
        <v>0.5658565434284032</v>
      </c>
      <c r="K118" s="38">
        <f>ROUND(I118*J118,0)</f>
        <v>1625408</v>
      </c>
      <c r="L118" s="5"/>
      <c r="M118" s="47">
        <f>(K118-G118)/G118</f>
        <v>0.8250748373564728</v>
      </c>
      <c r="N118" s="39">
        <f>'[1]Rates'!$M$144</f>
        <v>0.424</v>
      </c>
      <c r="P118" s="42">
        <f>ROUND($M$117*'[1]Rules'!$F$13,5)</f>
        <v>-0.64012</v>
      </c>
      <c r="S118" s="20" t="s">
        <v>26</v>
      </c>
      <c r="T118" s="43" t="e">
        <f>#REF!</f>
        <v>#REF!</v>
      </c>
      <c r="U118" s="38">
        <f>I118</f>
        <v>2872474</v>
      </c>
      <c r="V118" s="46">
        <f>V117-0.03</f>
        <v>0.47246999999999995</v>
      </c>
      <c r="W118" s="38">
        <f>U118*V118</f>
        <v>1357157.79078</v>
      </c>
      <c r="X118" s="47">
        <f>W118/$W$124</f>
        <v>0.436374837361111</v>
      </c>
      <c r="Y118" s="38">
        <f>X118*$T$130</f>
        <v>1625408.208727959</v>
      </c>
      <c r="Z118" s="8">
        <f>Y118/U118</f>
        <v>0.5658565434284032</v>
      </c>
    </row>
    <row r="119" spans="1:20" ht="12.75">
      <c r="A119" s="48"/>
      <c r="B119" s="35"/>
      <c r="C119" s="35"/>
      <c r="D119" s="49"/>
      <c r="E119" s="122"/>
      <c r="F119" s="149"/>
      <c r="G119" s="40"/>
      <c r="H119" s="41"/>
      <c r="I119" s="38"/>
      <c r="J119" s="149"/>
      <c r="K119" s="40"/>
      <c r="L119" s="5"/>
      <c r="M119" s="42"/>
      <c r="N119" s="149"/>
      <c r="P119" s="42"/>
      <c r="S119" s="20"/>
      <c r="T119" s="21"/>
    </row>
    <row r="120" spans="1:26" ht="12.75">
      <c r="A120" s="51" t="s">
        <v>27</v>
      </c>
      <c r="B120" s="35" t="s">
        <v>24</v>
      </c>
      <c r="C120" s="35" t="str">
        <f>C116</f>
        <v>First</v>
      </c>
      <c r="D120" s="49">
        <v>200</v>
      </c>
      <c r="E120" s="122">
        <v>752764</v>
      </c>
      <c r="F120" s="39">
        <f>N120</f>
        <v>0.49677</v>
      </c>
      <c r="G120" s="38">
        <f>ROUND(E120*F120,0)</f>
        <v>373951</v>
      </c>
      <c r="H120" s="41"/>
      <c r="I120" s="38">
        <v>544134</v>
      </c>
      <c r="J120" s="39">
        <f>Z120</f>
        <v>0.5949595849025925</v>
      </c>
      <c r="K120" s="38">
        <f>ROUND(I120*J120,0)</f>
        <v>323738</v>
      </c>
      <c r="L120" s="5"/>
      <c r="M120" s="47">
        <f>(K120-G120)/G120</f>
        <v>-0.13427695072349052</v>
      </c>
      <c r="N120" s="39">
        <f>'[1]Rates'!$M$139</f>
        <v>0.49677</v>
      </c>
      <c r="P120" s="42">
        <f>ROUND($M$116-'[1]Rules'!$F$15,5)</f>
        <v>-0.48515</v>
      </c>
      <c r="S120" s="20"/>
      <c r="T120" s="21"/>
      <c r="U120" s="38">
        <f>I120</f>
        <v>544134</v>
      </c>
      <c r="V120" s="46">
        <f>F120</f>
        <v>0.49677</v>
      </c>
      <c r="W120" s="38">
        <f>U120*V120</f>
        <v>270309.44718</v>
      </c>
      <c r="X120" s="47">
        <f>W120/$W$124</f>
        <v>0.08691416860419103</v>
      </c>
      <c r="Y120" s="38">
        <f>X120*$T$130</f>
        <v>323737.73877138726</v>
      </c>
      <c r="Z120" s="8">
        <f>Y120/U120</f>
        <v>0.5949595849025925</v>
      </c>
    </row>
    <row r="121" spans="1:26" ht="13.5" thickBot="1">
      <c r="A121" s="51"/>
      <c r="B121" s="35" t="s">
        <v>66</v>
      </c>
      <c r="C121" s="35" t="str">
        <f>C117</f>
        <v>Next</v>
      </c>
      <c r="D121" s="49">
        <v>1800</v>
      </c>
      <c r="E121" s="122">
        <v>1189338</v>
      </c>
      <c r="F121" s="39">
        <f>N121</f>
        <v>0.43927</v>
      </c>
      <c r="G121" s="38">
        <f>ROUND(E121*F121,0)</f>
        <v>522441</v>
      </c>
      <c r="H121" s="41"/>
      <c r="I121" s="38">
        <v>309764</v>
      </c>
      <c r="J121" s="39">
        <f>Z121</f>
        <v>0.5260943633072886</v>
      </c>
      <c r="K121" s="38">
        <f>ROUND(I121*J121,0)</f>
        <v>162965</v>
      </c>
      <c r="L121" s="5"/>
      <c r="M121" s="47">
        <f>(K121-G121)/G121</f>
        <v>-0.6880700404447584</v>
      </c>
      <c r="N121" s="39">
        <f>'[1]Rates'!$M$140</f>
        <v>0.43927</v>
      </c>
      <c r="P121" s="42">
        <f>ROUND($M$117-'[1]Rules'!$F$15,5)</f>
        <v>-1.07036</v>
      </c>
      <c r="S121" s="59"/>
      <c r="T121" s="60"/>
      <c r="U121" s="38">
        <f>I121</f>
        <v>309764</v>
      </c>
      <c r="V121" s="46">
        <f>F121</f>
        <v>0.43927</v>
      </c>
      <c r="W121" s="38">
        <f>U121*V121</f>
        <v>136070.03227999998</v>
      </c>
      <c r="X121" s="47">
        <f>W121/$W$124</f>
        <v>0.043751388828398526</v>
      </c>
      <c r="Y121" s="38">
        <f>X121*$T$130</f>
        <v>162965.09435551896</v>
      </c>
      <c r="Z121" s="8">
        <f>Y121/U121</f>
        <v>0.5260943633072886</v>
      </c>
    </row>
    <row r="122" spans="1:26" ht="12.75">
      <c r="A122" s="51"/>
      <c r="B122" s="35" t="s">
        <v>68</v>
      </c>
      <c r="C122" s="35" t="str">
        <f>C118</f>
        <v>All Over</v>
      </c>
      <c r="D122" s="49">
        <v>2000</v>
      </c>
      <c r="E122" s="122">
        <v>1921333</v>
      </c>
      <c r="F122" s="39">
        <f>N122</f>
        <v>0.35787</v>
      </c>
      <c r="G122" s="38">
        <f>ROUND(E122*F122,0)</f>
        <v>687587</v>
      </c>
      <c r="H122" s="41"/>
      <c r="I122" s="38">
        <v>2761198</v>
      </c>
      <c r="J122" s="39">
        <f>Z122</f>
        <v>0.42860516264889337</v>
      </c>
      <c r="K122" s="38">
        <f>ROUND(I122*J122,0)</f>
        <v>1183464</v>
      </c>
      <c r="L122" s="5"/>
      <c r="M122" s="47">
        <f>(K122-G122)/G122</f>
        <v>0.7211843737592479</v>
      </c>
      <c r="N122" s="39">
        <f>'[1]Rates'!$M$141</f>
        <v>0.35787</v>
      </c>
      <c r="P122" s="42">
        <f>ROUND($M$118-'[1]Rules'!$F$15,5)</f>
        <v>0.46596</v>
      </c>
      <c r="U122" s="38">
        <f>I122</f>
        <v>2761198</v>
      </c>
      <c r="V122" s="46">
        <f>F122</f>
        <v>0.35787</v>
      </c>
      <c r="W122" s="38">
        <f>U122*V122</f>
        <v>988149.9282600001</v>
      </c>
      <c r="X122" s="47">
        <f>W122/$W$124</f>
        <v>0.3177255932672538</v>
      </c>
      <c r="Y122" s="38">
        <f>X122*$T$130</f>
        <v>1183463.717895799</v>
      </c>
      <c r="Z122" s="8">
        <f>Y122/U122</f>
        <v>0.42860516264889337</v>
      </c>
    </row>
    <row r="123" spans="1:16" ht="12.75">
      <c r="A123" s="53" t="s">
        <v>28</v>
      </c>
      <c r="C123" s="35"/>
      <c r="D123" s="49"/>
      <c r="E123" s="150">
        <f>SUM(E116:E122)</f>
        <v>7624129</v>
      </c>
      <c r="F123" s="151"/>
      <c r="G123" s="56">
        <f>SUM(G116:G122)</f>
        <v>3338142</v>
      </c>
      <c r="H123" s="41"/>
      <c r="I123" s="56">
        <f>SUM(I116:I122)</f>
        <v>7158193</v>
      </c>
      <c r="J123" s="55"/>
      <c r="K123" s="56">
        <f>SUM(K116:K122)</f>
        <v>3724799</v>
      </c>
      <c r="L123" s="5"/>
      <c r="M123" s="58">
        <v>0.33439274011266157</v>
      </c>
      <c r="N123" s="55"/>
      <c r="P123" s="58">
        <f>($K123-$G123)/$G123</f>
        <v>0.11583000363675362</v>
      </c>
    </row>
    <row r="124" spans="1:26" ht="12.75">
      <c r="A124" s="61"/>
      <c r="B124" s="62"/>
      <c r="C124" s="62"/>
      <c r="D124" s="63"/>
      <c r="E124" s="152" t="s">
        <v>70</v>
      </c>
      <c r="F124" s="65"/>
      <c r="G124" s="66"/>
      <c r="H124" s="41"/>
      <c r="I124" s="64"/>
      <c r="J124" s="65"/>
      <c r="K124" s="66"/>
      <c r="L124" s="5"/>
      <c r="M124" s="68"/>
      <c r="N124" s="65"/>
      <c r="P124" s="68"/>
      <c r="U124" s="38">
        <f>SUM(U116:U122)</f>
        <v>7158193</v>
      </c>
      <c r="V124" s="38" t="s">
        <v>4</v>
      </c>
      <c r="W124" s="38">
        <f>SUM(W116:W122)</f>
        <v>3110073.43821</v>
      </c>
      <c r="X124" s="47">
        <f>SUM(X116:X122)</f>
        <v>1</v>
      </c>
      <c r="Y124" s="38">
        <f>SUM(Y116:Y122)</f>
        <v>3724798.2</v>
      </c>
      <c r="Z124" s="38" t="s">
        <v>4</v>
      </c>
    </row>
    <row r="125" spans="1:20" ht="13.5" thickBot="1">
      <c r="A125" s="61"/>
      <c r="B125" s="62"/>
      <c r="C125" s="62"/>
      <c r="D125" s="63"/>
      <c r="E125" s="153"/>
      <c r="F125" s="65"/>
      <c r="G125" s="66"/>
      <c r="H125" s="41"/>
      <c r="I125" s="64"/>
      <c r="J125" s="65"/>
      <c r="K125" s="66"/>
      <c r="L125" s="5"/>
      <c r="M125" s="68"/>
      <c r="N125" s="65"/>
      <c r="P125" s="68"/>
      <c r="T125" s="47">
        <v>0.1</v>
      </c>
    </row>
    <row r="126" spans="1:20" ht="13.5" thickBot="1">
      <c r="A126" s="69" t="s">
        <v>30</v>
      </c>
      <c r="B126" s="70"/>
      <c r="C126" s="70"/>
      <c r="D126" s="71"/>
      <c r="E126" s="119" t="s">
        <v>31</v>
      </c>
      <c r="F126" s="19" t="s">
        <v>18</v>
      </c>
      <c r="G126" s="32" t="s">
        <v>19</v>
      </c>
      <c r="H126" s="5"/>
      <c r="I126" s="19" t="s">
        <v>31</v>
      </c>
      <c r="J126" s="19" t="s">
        <v>20</v>
      </c>
      <c r="K126" s="32" t="s">
        <v>19</v>
      </c>
      <c r="L126" s="5"/>
      <c r="M126" s="72"/>
      <c r="N126" s="32"/>
      <c r="P126" s="72"/>
      <c r="T126" s="77">
        <f>G137*T125</f>
        <v>386656.2</v>
      </c>
    </row>
    <row r="127" spans="1:20" ht="12.75">
      <c r="A127" s="74" t="s">
        <v>33</v>
      </c>
      <c r="B127" s="35" t="s">
        <v>42</v>
      </c>
      <c r="C127" s="61"/>
      <c r="D127" s="75"/>
      <c r="E127" s="38">
        <v>648</v>
      </c>
      <c r="F127" s="84">
        <v>5</v>
      </c>
      <c r="G127" s="66">
        <f>E127*F127</f>
        <v>3240</v>
      </c>
      <c r="H127" s="5"/>
      <c r="I127" s="66">
        <f aca="true" t="shared" si="1" ref="I127:J131">E127</f>
        <v>648</v>
      </c>
      <c r="J127" s="84">
        <f t="shared" si="1"/>
        <v>5</v>
      </c>
      <c r="K127" s="66">
        <f>I127*J127</f>
        <v>3240</v>
      </c>
      <c r="L127" s="5"/>
      <c r="M127" s="85">
        <v>6</v>
      </c>
      <c r="N127" s="84">
        <f>'[1]Rates'!$M$8</f>
        <v>5</v>
      </c>
      <c r="P127" s="85">
        <f>'[1]Rates'!$O$8</f>
        <v>5</v>
      </c>
      <c r="T127" s="77">
        <f>G137</f>
        <v>3866562</v>
      </c>
    </row>
    <row r="128" spans="1:20" ht="12.75">
      <c r="A128" s="74"/>
      <c r="B128" s="35" t="s">
        <v>43</v>
      </c>
      <c r="C128" s="61"/>
      <c r="D128" s="75"/>
      <c r="E128" s="38">
        <v>0</v>
      </c>
      <c r="F128" s="84">
        <v>5</v>
      </c>
      <c r="G128" s="66">
        <f>E128*F128</f>
        <v>0</v>
      </c>
      <c r="H128" s="5"/>
      <c r="I128" s="66">
        <f t="shared" si="1"/>
        <v>0</v>
      </c>
      <c r="J128" s="84">
        <f t="shared" si="1"/>
        <v>5</v>
      </c>
      <c r="K128" s="66">
        <f>I128*J128</f>
        <v>0</v>
      </c>
      <c r="L128" s="5"/>
      <c r="M128" s="85">
        <v>8</v>
      </c>
      <c r="N128" s="84">
        <f>'[1]Rates'!$M$9</f>
        <v>5</v>
      </c>
      <c r="P128" s="85">
        <f>'[1]Rates'!$O$9</f>
        <v>6</v>
      </c>
      <c r="S128" s="8" t="s">
        <v>37</v>
      </c>
      <c r="T128" s="77">
        <f>T126+T127</f>
        <v>4253218.2</v>
      </c>
    </row>
    <row r="129" spans="1:20" ht="12.75">
      <c r="A129" s="61"/>
      <c r="B129" s="35" t="s">
        <v>44</v>
      </c>
      <c r="C129" s="61"/>
      <c r="D129" s="75"/>
      <c r="E129" s="38">
        <v>1800</v>
      </c>
      <c r="F129" s="84">
        <v>21</v>
      </c>
      <c r="G129" s="66">
        <f>E129*F129</f>
        <v>37800</v>
      </c>
      <c r="H129" s="5"/>
      <c r="I129" s="66">
        <f t="shared" si="1"/>
        <v>1800</v>
      </c>
      <c r="J129" s="84">
        <f t="shared" si="1"/>
        <v>21</v>
      </c>
      <c r="K129" s="66">
        <f>I129*J129</f>
        <v>37800</v>
      </c>
      <c r="L129" s="5"/>
      <c r="M129" s="85">
        <v>36</v>
      </c>
      <c r="N129" s="84">
        <f>'[1]Rates'!$M$10</f>
        <v>21</v>
      </c>
      <c r="P129" s="85">
        <f>'[1]Rates'!$O$10</f>
        <v>36</v>
      </c>
      <c r="S129" s="8" t="s">
        <v>39</v>
      </c>
      <c r="T129" s="25">
        <f>-K134</f>
        <v>-528420</v>
      </c>
    </row>
    <row r="130" spans="1:20" ht="12.75">
      <c r="A130" s="61"/>
      <c r="B130" s="35" t="s">
        <v>45</v>
      </c>
      <c r="C130" s="61"/>
      <c r="D130" s="75"/>
      <c r="E130" s="38">
        <v>6732</v>
      </c>
      <c r="F130" s="84">
        <v>55</v>
      </c>
      <c r="G130" s="66">
        <f>E130*F130</f>
        <v>370260</v>
      </c>
      <c r="H130" s="5"/>
      <c r="I130" s="66">
        <f t="shared" si="1"/>
        <v>6732</v>
      </c>
      <c r="J130" s="84">
        <f t="shared" si="1"/>
        <v>55</v>
      </c>
      <c r="K130" s="66">
        <f>I130*J130</f>
        <v>370260</v>
      </c>
      <c r="L130" s="5"/>
      <c r="M130" s="85">
        <v>135</v>
      </c>
      <c r="N130" s="84">
        <f>'[1]Rates'!$M$11</f>
        <v>55</v>
      </c>
      <c r="P130" s="85">
        <f>'[1]Rates'!$O$11</f>
        <v>135</v>
      </c>
      <c r="S130" s="8" t="s">
        <v>41</v>
      </c>
      <c r="T130" s="77">
        <f>T128+T129</f>
        <v>3724798.2</v>
      </c>
    </row>
    <row r="131" spans="1:16" ht="12.75">
      <c r="A131" s="61"/>
      <c r="B131" s="35" t="s">
        <v>72</v>
      </c>
      <c r="C131" s="61"/>
      <c r="D131" s="75"/>
      <c r="E131" s="38">
        <v>480</v>
      </c>
      <c r="F131" s="84">
        <v>244</v>
      </c>
      <c r="G131" s="66">
        <f>E131*F131</f>
        <v>117120</v>
      </c>
      <c r="H131" s="5"/>
      <c r="I131" s="66">
        <f t="shared" si="1"/>
        <v>480</v>
      </c>
      <c r="J131" s="84">
        <f t="shared" si="1"/>
        <v>244</v>
      </c>
      <c r="K131" s="66">
        <f>I131*J131</f>
        <v>117120</v>
      </c>
      <c r="L131" s="5"/>
      <c r="M131" s="85">
        <v>416</v>
      </c>
      <c r="N131" s="84">
        <f>'[1]Rates'!$M$12</f>
        <v>244</v>
      </c>
      <c r="P131" s="85">
        <f>'[1]Rates'!$O$12</f>
        <v>416</v>
      </c>
    </row>
    <row r="132" spans="1:16" ht="12.75">
      <c r="A132" s="61"/>
      <c r="B132" s="36" t="s">
        <v>4</v>
      </c>
      <c r="C132" s="61" t="s">
        <v>4</v>
      </c>
      <c r="D132" s="75" t="s">
        <v>4</v>
      </c>
      <c r="E132" s="38" t="s">
        <v>4</v>
      </c>
      <c r="F132" s="84" t="s">
        <v>4</v>
      </c>
      <c r="G132" s="66" t="s">
        <v>4</v>
      </c>
      <c r="H132" s="5"/>
      <c r="I132" s="66" t="s">
        <v>4</v>
      </c>
      <c r="J132" s="84" t="s">
        <v>4</v>
      </c>
      <c r="K132" s="66" t="s">
        <v>4</v>
      </c>
      <c r="L132" s="5"/>
      <c r="M132" s="85">
        <v>135</v>
      </c>
      <c r="N132" s="84">
        <f>'[1]Rates'!$M$13</f>
        <v>55</v>
      </c>
      <c r="P132" s="85">
        <f>'[1]Rates'!$O$13</f>
        <v>135</v>
      </c>
    </row>
    <row r="133" spans="1:16" ht="12.75">
      <c r="A133" s="61"/>
      <c r="B133" s="36" t="s">
        <v>4</v>
      </c>
      <c r="C133" s="61" t="s">
        <v>4</v>
      </c>
      <c r="D133" s="75" t="s">
        <v>4</v>
      </c>
      <c r="E133" s="38" t="s">
        <v>4</v>
      </c>
      <c r="F133" s="84" t="s">
        <v>4</v>
      </c>
      <c r="G133" s="66" t="s">
        <v>4</v>
      </c>
      <c r="I133" s="66" t="s">
        <v>4</v>
      </c>
      <c r="J133" s="84" t="s">
        <v>4</v>
      </c>
      <c r="K133" s="66" t="s">
        <v>4</v>
      </c>
      <c r="L133" s="5"/>
      <c r="M133" s="85">
        <v>416</v>
      </c>
      <c r="N133" s="84">
        <f>'[1]Rates'!$M$14</f>
        <v>244</v>
      </c>
      <c r="P133" s="85">
        <f>'[1]Rates'!$O$14</f>
        <v>416</v>
      </c>
    </row>
    <row r="134" spans="1:16" ht="12.75">
      <c r="A134" s="108" t="s">
        <v>53</v>
      </c>
      <c r="B134" s="35"/>
      <c r="E134" s="56">
        <f>SUM(E127:E133)</f>
        <v>9660</v>
      </c>
      <c r="F134" s="55"/>
      <c r="G134" s="56">
        <f>SUM(G127:G133)</f>
        <v>528420</v>
      </c>
      <c r="H134" s="41"/>
      <c r="I134" s="56">
        <f>SUM(I127:I133)</f>
        <v>9660</v>
      </c>
      <c r="J134" s="89">
        <f>K134/I134</f>
        <v>54.701863354037265</v>
      </c>
      <c r="K134" s="56">
        <f>SUM(K127:K133)</f>
        <v>528420</v>
      </c>
      <c r="L134" s="5"/>
      <c r="M134" s="88"/>
      <c r="N134" s="88"/>
      <c r="P134" s="58">
        <f>($K134-$G134)/$G134</f>
        <v>0</v>
      </c>
    </row>
    <row r="135" spans="1:16" ht="13.5" thickBot="1">
      <c r="A135" s="5"/>
      <c r="B135" s="5"/>
      <c r="C135" s="5"/>
      <c r="D135" s="28"/>
      <c r="E135" s="106"/>
      <c r="F135" s="105"/>
      <c r="G135" s="111"/>
      <c r="H135" s="5"/>
      <c r="I135" s="106"/>
      <c r="J135" s="105"/>
      <c r="K135" s="111"/>
      <c r="L135" s="5"/>
      <c r="M135" s="105"/>
      <c r="N135" s="105"/>
      <c r="P135" s="105"/>
    </row>
    <row r="136" spans="1:16" ht="13.5" thickTop="1">
      <c r="A136" s="5"/>
      <c r="B136" s="5"/>
      <c r="C136" s="5"/>
      <c r="D136" s="28"/>
      <c r="E136" s="66" t="s">
        <v>4</v>
      </c>
      <c r="F136" s="4"/>
      <c r="G136" s="113"/>
      <c r="H136" s="5"/>
      <c r="I136" s="4"/>
      <c r="J136" s="4"/>
      <c r="K136" s="113"/>
      <c r="L136" s="5"/>
      <c r="M136" s="4"/>
      <c r="N136" s="4"/>
      <c r="P136" s="4"/>
    </row>
    <row r="137" spans="1:16" ht="12.75">
      <c r="A137" s="147" t="s">
        <v>90</v>
      </c>
      <c r="B137" s="5"/>
      <c r="C137" s="5"/>
      <c r="D137" s="28"/>
      <c r="E137" s="91"/>
      <c r="F137" s="5" t="s">
        <v>57</v>
      </c>
      <c r="G137" s="115">
        <f>G123+G134</f>
        <v>3866562</v>
      </c>
      <c r="H137" s="91"/>
      <c r="I137" s="91" t="s">
        <v>58</v>
      </c>
      <c r="J137" s="112">
        <f>K137-G137</f>
        <v>386657</v>
      </c>
      <c r="K137" s="91">
        <f>K123+K134</f>
        <v>4253219</v>
      </c>
      <c r="L137" s="5"/>
      <c r="M137" s="5"/>
      <c r="N137" s="5"/>
      <c r="P137" s="5"/>
    </row>
    <row r="138" spans="1:16" ht="13.5" thickBot="1">
      <c r="A138" s="15"/>
      <c r="B138" s="15"/>
      <c r="C138" s="15"/>
      <c r="D138" s="133"/>
      <c r="E138" s="107"/>
      <c r="F138" s="15"/>
      <c r="G138" s="107"/>
      <c r="H138" s="91"/>
      <c r="I138" s="91" t="s">
        <v>60</v>
      </c>
      <c r="J138" s="154">
        <f>J137/G137</f>
        <v>0.10000020690215235</v>
      </c>
      <c r="K138" s="155"/>
      <c r="L138" s="156"/>
      <c r="M138" s="157"/>
      <c r="N138" s="157"/>
      <c r="P138" s="15"/>
    </row>
    <row r="139" spans="1:16" ht="13.5" thickBot="1">
      <c r="A139" s="4"/>
      <c r="B139" s="4"/>
      <c r="C139" s="4"/>
      <c r="D139" s="22"/>
      <c r="E139" s="4"/>
      <c r="F139" s="4"/>
      <c r="G139" s="66"/>
      <c r="H139" s="5"/>
      <c r="I139" s="4"/>
      <c r="J139" s="4"/>
      <c r="K139" s="4"/>
      <c r="L139" s="4"/>
      <c r="M139" s="4"/>
      <c r="N139" s="4"/>
      <c r="O139" s="4"/>
      <c r="P139" s="4"/>
    </row>
    <row r="140" spans="1:20" ht="12.75">
      <c r="A140" s="27" t="s">
        <v>91</v>
      </c>
      <c r="B140" s="5"/>
      <c r="C140" s="5"/>
      <c r="D140" s="28"/>
      <c r="E140" s="9" t="s">
        <v>9</v>
      </c>
      <c r="F140" s="9"/>
      <c r="G140" s="9"/>
      <c r="H140" s="5"/>
      <c r="I140" s="6"/>
      <c r="J140" s="275" t="s">
        <v>0</v>
      </c>
      <c r="K140" s="275"/>
      <c r="L140" s="275"/>
      <c r="M140" s="29" t="s">
        <v>11</v>
      </c>
      <c r="N140" s="9" t="s">
        <v>12</v>
      </c>
      <c r="P140" s="29" t="s">
        <v>11</v>
      </c>
      <c r="S140" s="10"/>
      <c r="T140" s="11"/>
    </row>
    <row r="141" spans="1:20" ht="12.75">
      <c r="A141" s="5"/>
      <c r="B141" s="5"/>
      <c r="C141" s="5"/>
      <c r="D141" s="28"/>
      <c r="E141" s="9"/>
      <c r="F141" s="9"/>
      <c r="G141" s="9"/>
      <c r="H141" s="5"/>
      <c r="I141" s="273" t="str">
        <f>$I$2</f>
        <v>DPU Exhibit 7.1SR</v>
      </c>
      <c r="J141" s="273"/>
      <c r="K141" s="273"/>
      <c r="L141" s="7"/>
      <c r="M141" s="29"/>
      <c r="N141" s="9"/>
      <c r="P141" s="29"/>
      <c r="S141" s="13"/>
      <c r="T141" s="14"/>
    </row>
    <row r="142" spans="1:20" ht="12.75">
      <c r="A142" s="117" t="str">
        <f>A$2</f>
        <v>Proof of Revenue</v>
      </c>
      <c r="B142" s="5"/>
      <c r="C142" s="5"/>
      <c r="D142" s="28"/>
      <c r="E142" s="9"/>
      <c r="F142" s="9"/>
      <c r="G142" s="9"/>
      <c r="H142" s="5"/>
      <c r="I142" s="118"/>
      <c r="J142" s="118"/>
      <c r="K142" s="118" t="s">
        <v>92</v>
      </c>
      <c r="L142" s="7"/>
      <c r="M142" s="29"/>
      <c r="N142" s="9"/>
      <c r="P142" s="29"/>
      <c r="S142" s="13"/>
      <c r="T142" s="14"/>
    </row>
    <row r="143" spans="1:20" ht="12.75">
      <c r="A143" s="5"/>
      <c r="B143" s="5"/>
      <c r="C143" s="5"/>
      <c r="D143" s="28"/>
      <c r="E143" s="9"/>
      <c r="F143" s="9"/>
      <c r="G143" s="9"/>
      <c r="H143" s="5"/>
      <c r="I143" s="118"/>
      <c r="J143" s="118"/>
      <c r="K143" s="118"/>
      <c r="L143" s="7"/>
      <c r="M143" s="29"/>
      <c r="N143" s="9"/>
      <c r="P143" s="29"/>
      <c r="S143" s="13"/>
      <c r="T143" s="14"/>
    </row>
    <row r="144" spans="1:22" ht="12.75">
      <c r="A144" s="5"/>
      <c r="B144" s="5"/>
      <c r="C144" s="5"/>
      <c r="D144" s="28"/>
      <c r="E144" s="9"/>
      <c r="F144" s="9"/>
      <c r="G144" s="9"/>
      <c r="H144" s="5"/>
      <c r="I144" s="274" t="s">
        <v>10</v>
      </c>
      <c r="J144" s="272"/>
      <c r="K144" s="272"/>
      <c r="L144" s="7"/>
      <c r="M144" s="29"/>
      <c r="N144" s="9"/>
      <c r="P144" s="29"/>
      <c r="S144" s="13"/>
      <c r="T144" s="14"/>
      <c r="V144" s="8" t="s">
        <v>93</v>
      </c>
    </row>
    <row r="145" spans="1:22" ht="13.5" thickBot="1">
      <c r="A145" s="30" t="s">
        <v>17</v>
      </c>
      <c r="B145" s="17"/>
      <c r="C145" s="17"/>
      <c r="D145" s="31" t="s">
        <v>14</v>
      </c>
      <c r="E145" s="19" t="s">
        <v>14</v>
      </c>
      <c r="F145" s="19" t="s">
        <v>18</v>
      </c>
      <c r="G145" s="32" t="s">
        <v>19</v>
      </c>
      <c r="H145" s="5"/>
      <c r="I145" s="19" t="s">
        <v>14</v>
      </c>
      <c r="J145" s="19" t="s">
        <v>20</v>
      </c>
      <c r="K145" s="32" t="s">
        <v>19</v>
      </c>
      <c r="L145" s="5"/>
      <c r="M145" s="33" t="s">
        <v>21</v>
      </c>
      <c r="N145" s="32" t="s">
        <v>21</v>
      </c>
      <c r="P145" s="33" t="s">
        <v>21</v>
      </c>
      <c r="S145" s="20"/>
      <c r="T145" s="21"/>
      <c r="V145" s="8" t="s">
        <v>14</v>
      </c>
    </row>
    <row r="146" spans="1:24" ht="12.75">
      <c r="A146" s="35"/>
      <c r="B146" s="35" t="s">
        <v>24</v>
      </c>
      <c r="C146" s="35" t="str">
        <f>'[1]Rates'!G203</f>
        <v>First</v>
      </c>
      <c r="D146" s="158">
        <f>'[1]Rates'!H203</f>
        <v>2000</v>
      </c>
      <c r="E146" s="121">
        <f>531958</f>
        <v>531958</v>
      </c>
      <c r="F146" s="39">
        <f>N146</f>
        <v>0.14506</v>
      </c>
      <c r="G146" s="38">
        <f>ROUND(E146*F146,0)</f>
        <v>77166</v>
      </c>
      <c r="H146" s="41"/>
      <c r="I146" s="38">
        <f>116844+X146</f>
        <v>141378.78188796795</v>
      </c>
      <c r="J146" s="39">
        <f>T160</f>
        <v>0.2173959164854728</v>
      </c>
      <c r="K146" s="38">
        <f>ROUND(I146*J146,0)</f>
        <v>30735</v>
      </c>
      <c r="L146" s="5"/>
      <c r="M146" s="42">
        <v>0.32752</v>
      </c>
      <c r="N146" s="39">
        <f>'[1]Rates'!$M$203</f>
        <v>0.14506</v>
      </c>
      <c r="P146" s="42" t="e">
        <f>ROUND($J$146+#REF!,5)</f>
        <v>#REF!</v>
      </c>
      <c r="S146" s="20"/>
      <c r="T146" s="21"/>
      <c r="V146" s="8">
        <v>116884</v>
      </c>
      <c r="W146" s="8">
        <f>V146/$V149</f>
        <v>0.07740313681238196</v>
      </c>
      <c r="X146" s="45">
        <f>W146*W150</f>
        <v>24534.78188796796</v>
      </c>
    </row>
    <row r="147" spans="1:24" ht="12.75">
      <c r="A147" s="48"/>
      <c r="B147" s="35" t="s">
        <v>66</v>
      </c>
      <c r="C147" s="35" t="str">
        <f>'[1]Rates'!G204</f>
        <v>Next</v>
      </c>
      <c r="D147" s="158">
        <f>'[1]Rates'!H204</f>
        <v>18000</v>
      </c>
      <c r="E147" s="122">
        <f>978110</f>
        <v>978110</v>
      </c>
      <c r="F147" s="39">
        <f>N147</f>
        <v>0.13083</v>
      </c>
      <c r="G147" s="38">
        <f>ROUND(E147*F147,0)</f>
        <v>127966</v>
      </c>
      <c r="H147" s="41"/>
      <c r="I147" s="38">
        <f>1253601+X147</f>
        <v>1546040.218112032</v>
      </c>
      <c r="J147" s="39">
        <f>T160</f>
        <v>0.2173959164854728</v>
      </c>
      <c r="K147" s="38">
        <f>ROUND(I147*J147,0)</f>
        <v>336103</v>
      </c>
      <c r="L147" s="5"/>
      <c r="M147" s="42">
        <v>0.30132</v>
      </c>
      <c r="N147" s="39">
        <f>'[1]Rates'!$M$204</f>
        <v>0.13083</v>
      </c>
      <c r="P147" s="42">
        <f>ROUND($M$146*'[1]Rules'!$F$19,5)</f>
        <v>0.30132</v>
      </c>
      <c r="S147" s="20"/>
      <c r="T147" s="21"/>
      <c r="V147" s="8">
        <v>1253601</v>
      </c>
      <c r="W147" s="8">
        <f>1-W146</f>
        <v>0.922596863187618</v>
      </c>
      <c r="X147" s="45">
        <f>W147*W150</f>
        <v>292439.21811203205</v>
      </c>
    </row>
    <row r="148" spans="1:22" ht="12.75">
      <c r="A148" s="48"/>
      <c r="B148" s="35" t="s">
        <v>68</v>
      </c>
      <c r="C148" s="35" t="str">
        <f>'[1]Rates'!G205</f>
        <v>All Over</v>
      </c>
      <c r="D148" s="158">
        <f>'[1]Rates'!H205</f>
        <v>20000</v>
      </c>
      <c r="E148" s="122">
        <v>0</v>
      </c>
      <c r="F148" s="39">
        <f>N148</f>
        <v>0.12053</v>
      </c>
      <c r="G148" s="38">
        <f>ROUND(E148*F148,0)</f>
        <v>0</v>
      </c>
      <c r="H148" s="41"/>
      <c r="I148" s="38">
        <v>0</v>
      </c>
      <c r="J148" s="39">
        <f>T160</f>
        <v>0.2173959164854728</v>
      </c>
      <c r="K148" s="38">
        <f>ROUND(I148*J148,0)</f>
        <v>0</v>
      </c>
      <c r="L148" s="5"/>
      <c r="M148" s="42">
        <v>0.27721</v>
      </c>
      <c r="N148" s="39">
        <f>'[1]Rates'!$M$205</f>
        <v>0.12053</v>
      </c>
      <c r="P148" s="42">
        <f>ROUND($M$147*'[1]Rules'!$F$21,5)</f>
        <v>0.27721</v>
      </c>
      <c r="S148" s="20" t="s">
        <v>22</v>
      </c>
      <c r="T148" s="34" t="e">
        <f>#REF!</f>
        <v>#REF!</v>
      </c>
      <c r="V148" s="8">
        <v>0</v>
      </c>
    </row>
    <row r="149" spans="1:24" ht="12.75">
      <c r="A149" s="53" t="s">
        <v>28</v>
      </c>
      <c r="C149" s="35"/>
      <c r="D149" s="49"/>
      <c r="E149" s="159">
        <f>SUM(E146:E148)</f>
        <v>1510068</v>
      </c>
      <c r="F149" s="151"/>
      <c r="G149" s="56">
        <f>SUM(G146:G148)</f>
        <v>205132</v>
      </c>
      <c r="H149" s="41"/>
      <c r="I149" s="56">
        <f>SUM(I146:I148)</f>
        <v>1687419</v>
      </c>
      <c r="J149" s="55"/>
      <c r="K149" s="56">
        <f>SUM(K146:K148)</f>
        <v>366838</v>
      </c>
      <c r="L149" s="5"/>
      <c r="M149" s="58"/>
      <c r="N149" s="55"/>
      <c r="P149" s="58"/>
      <c r="S149" s="20" t="s">
        <v>26</v>
      </c>
      <c r="T149" s="43" t="e">
        <f>#REF!</f>
        <v>#REF!</v>
      </c>
      <c r="V149" s="8">
        <v>1510068</v>
      </c>
      <c r="X149" s="45">
        <f>X146+X147</f>
        <v>316974</v>
      </c>
    </row>
    <row r="150" spans="1:23" ht="13.5" thickBot="1">
      <c r="A150" s="61"/>
      <c r="B150" s="62"/>
      <c r="C150" s="62"/>
      <c r="D150" s="63"/>
      <c r="E150" s="160" t="s">
        <v>70</v>
      </c>
      <c r="F150" s="39">
        <f>G149/E149</f>
        <v>0.13584288919439388</v>
      </c>
      <c r="G150" s="66"/>
      <c r="H150" s="41"/>
      <c r="I150" s="64"/>
      <c r="J150" s="65"/>
      <c r="K150" s="66"/>
      <c r="L150" s="5"/>
      <c r="M150" s="68"/>
      <c r="N150" s="65"/>
      <c r="P150" s="68"/>
      <c r="S150" s="20"/>
      <c r="T150" s="21"/>
      <c r="W150" s="8">
        <v>316974</v>
      </c>
    </row>
    <row r="151" spans="1:20" ht="12.75">
      <c r="A151" s="61"/>
      <c r="B151" s="62"/>
      <c r="C151" s="62"/>
      <c r="D151" s="63"/>
      <c r="E151" s="161" t="s">
        <v>94</v>
      </c>
      <c r="F151" s="65"/>
      <c r="G151" s="66"/>
      <c r="H151" s="41"/>
      <c r="I151" s="161" t="s">
        <v>94</v>
      </c>
      <c r="J151" s="65"/>
      <c r="K151" s="66"/>
      <c r="L151" s="5"/>
      <c r="M151" s="68"/>
      <c r="N151" s="65"/>
      <c r="P151" s="68"/>
      <c r="S151" s="20"/>
      <c r="T151" s="21"/>
    </row>
    <row r="152" spans="1:20" ht="13.5" thickBot="1">
      <c r="A152" s="69" t="s">
        <v>30</v>
      </c>
      <c r="B152" s="70"/>
      <c r="C152" s="70"/>
      <c r="D152" s="71"/>
      <c r="E152" s="19" t="s">
        <v>31</v>
      </c>
      <c r="F152" s="19" t="s">
        <v>18</v>
      </c>
      <c r="G152" s="32" t="s">
        <v>19</v>
      </c>
      <c r="H152" s="5"/>
      <c r="I152" s="19" t="s">
        <v>31</v>
      </c>
      <c r="J152" s="19" t="s">
        <v>20</v>
      </c>
      <c r="K152" s="32" t="s">
        <v>19</v>
      </c>
      <c r="L152" s="5"/>
      <c r="M152" s="72"/>
      <c r="N152" s="32"/>
      <c r="P152" s="72"/>
      <c r="S152" s="59"/>
      <c r="T152" s="60"/>
    </row>
    <row r="153" spans="1:16" ht="12.75">
      <c r="A153" s="74" t="s">
        <v>33</v>
      </c>
      <c r="B153" s="35" t="s">
        <v>42</v>
      </c>
      <c r="C153" s="61"/>
      <c r="D153" s="75"/>
      <c r="E153" s="38">
        <v>0</v>
      </c>
      <c r="F153" s="84">
        <v>5</v>
      </c>
      <c r="G153" s="66">
        <f>E153*F153</f>
        <v>0</v>
      </c>
      <c r="H153" s="5"/>
      <c r="I153" s="66">
        <f aca="true" t="shared" si="2" ref="I153:J155">E153</f>
        <v>0</v>
      </c>
      <c r="J153" s="84">
        <f t="shared" si="2"/>
        <v>5</v>
      </c>
      <c r="K153" s="66">
        <f>I153*J153</f>
        <v>0</v>
      </c>
      <c r="L153" s="5"/>
      <c r="M153" s="85">
        <v>6</v>
      </c>
      <c r="N153" s="84">
        <f>'[1]Rates'!$M$16</f>
        <v>5</v>
      </c>
      <c r="P153" s="85">
        <f>'[1]Rates'!$O$16</f>
        <v>5</v>
      </c>
    </row>
    <row r="154" spans="1:20" ht="12.75">
      <c r="A154" s="74"/>
      <c r="B154" s="35" t="s">
        <v>43</v>
      </c>
      <c r="C154" s="61"/>
      <c r="D154" s="75"/>
      <c r="E154" s="38">
        <v>0</v>
      </c>
      <c r="F154" s="84">
        <v>5</v>
      </c>
      <c r="G154" s="66">
        <f>E154*F154</f>
        <v>0</v>
      </c>
      <c r="H154" s="5"/>
      <c r="I154" s="66">
        <f t="shared" si="2"/>
        <v>0</v>
      </c>
      <c r="J154" s="84">
        <f t="shared" si="2"/>
        <v>5</v>
      </c>
      <c r="K154" s="66">
        <f>I154*J154</f>
        <v>0</v>
      </c>
      <c r="L154" s="5"/>
      <c r="M154" s="85">
        <v>8</v>
      </c>
      <c r="N154" s="84">
        <f>'[1]Rates'!$M$17</f>
        <v>5</v>
      </c>
      <c r="P154" s="85">
        <f>'[1]Rates'!$O$17</f>
        <v>6</v>
      </c>
      <c r="T154" s="47">
        <v>0</v>
      </c>
    </row>
    <row r="155" spans="1:22" ht="12.75">
      <c r="A155" s="61"/>
      <c r="B155" s="35" t="s">
        <v>44</v>
      </c>
      <c r="C155" s="61"/>
      <c r="D155" s="75"/>
      <c r="E155" s="38">
        <v>36</v>
      </c>
      <c r="F155" s="84">
        <v>29</v>
      </c>
      <c r="G155" s="66">
        <f>E155*F155</f>
        <v>1044</v>
      </c>
      <c r="H155" s="5"/>
      <c r="I155" s="66">
        <f t="shared" si="2"/>
        <v>36</v>
      </c>
      <c r="J155" s="84">
        <f t="shared" si="2"/>
        <v>29</v>
      </c>
      <c r="K155" s="66">
        <f>I155*J155</f>
        <v>1044</v>
      </c>
      <c r="L155" s="5"/>
      <c r="M155" s="85">
        <v>36</v>
      </c>
      <c r="N155" s="84">
        <f>'[1]Rates'!$M$18</f>
        <v>21</v>
      </c>
      <c r="P155" s="85">
        <f>'[1]Rates'!$O$18</f>
        <v>36</v>
      </c>
      <c r="T155" s="77">
        <f>G164*T154</f>
        <v>0</v>
      </c>
      <c r="V155" s="8" t="s">
        <v>93</v>
      </c>
    </row>
    <row r="156" spans="1:24" ht="12.75">
      <c r="A156" s="61"/>
      <c r="B156" s="35" t="s">
        <v>45</v>
      </c>
      <c r="C156" s="61"/>
      <c r="D156" s="75"/>
      <c r="E156" s="38">
        <f>696</f>
        <v>696</v>
      </c>
      <c r="F156" s="84">
        <v>67</v>
      </c>
      <c r="G156" s="66">
        <f>E156*F156</f>
        <v>46632</v>
      </c>
      <c r="H156" s="5"/>
      <c r="I156" s="66">
        <f>E156+X156</f>
        <v>756</v>
      </c>
      <c r="J156" s="84">
        <f>F156</f>
        <v>67</v>
      </c>
      <c r="K156" s="66">
        <f>I156*J156</f>
        <v>50652</v>
      </c>
      <c r="L156" s="5"/>
      <c r="M156" s="85">
        <v>135</v>
      </c>
      <c r="N156" s="84">
        <f>'[1]Rates'!$M$19</f>
        <v>55</v>
      </c>
      <c r="P156" s="85">
        <f>'[1]Rates'!$O$19</f>
        <v>135</v>
      </c>
      <c r="T156" s="77">
        <f>G164</f>
        <v>510598</v>
      </c>
      <c r="V156" s="8" t="s">
        <v>95</v>
      </c>
      <c r="X156" s="8">
        <v>60</v>
      </c>
    </row>
    <row r="157" spans="1:20" ht="12.75">
      <c r="A157" s="61"/>
      <c r="B157" s="35" t="s">
        <v>72</v>
      </c>
      <c r="C157" s="61"/>
      <c r="D157" s="75"/>
      <c r="E157" s="38">
        <v>336</v>
      </c>
      <c r="F157" s="84">
        <v>274</v>
      </c>
      <c r="G157" s="66">
        <f>E157*F157</f>
        <v>92064</v>
      </c>
      <c r="H157" s="5"/>
      <c r="I157" s="66">
        <f>E157</f>
        <v>336</v>
      </c>
      <c r="J157" s="84">
        <f>F157</f>
        <v>274</v>
      </c>
      <c r="K157" s="66">
        <f>I157*J157</f>
        <v>92064</v>
      </c>
      <c r="L157" s="5"/>
      <c r="M157" s="85">
        <v>416</v>
      </c>
      <c r="N157" s="84">
        <f>'[1]Rates'!$M$20</f>
        <v>244</v>
      </c>
      <c r="P157" s="85">
        <f>'[1]Rates'!$O$20</f>
        <v>416</v>
      </c>
      <c r="S157" s="8" t="s">
        <v>37</v>
      </c>
      <c r="T157" s="77">
        <f>T155+T156</f>
        <v>510598</v>
      </c>
    </row>
    <row r="158" spans="1:20" ht="12.75">
      <c r="A158" s="61"/>
      <c r="B158" s="36" t="s">
        <v>4</v>
      </c>
      <c r="C158" s="61"/>
      <c r="D158" s="75"/>
      <c r="E158" s="38" t="s">
        <v>4</v>
      </c>
      <c r="F158" s="84" t="s">
        <v>4</v>
      </c>
      <c r="G158" s="66" t="s">
        <v>4</v>
      </c>
      <c r="H158" s="5"/>
      <c r="I158" s="66" t="s">
        <v>4</v>
      </c>
      <c r="J158" s="84" t="s">
        <v>4</v>
      </c>
      <c r="K158" s="66" t="s">
        <v>4</v>
      </c>
      <c r="L158" s="5"/>
      <c r="M158" s="85">
        <v>135</v>
      </c>
      <c r="N158" s="84">
        <f>'[1]Rates'!$M$21</f>
        <v>55</v>
      </c>
      <c r="P158" s="85">
        <f>'[1]Rates'!$O$21</f>
        <v>135</v>
      </c>
      <c r="S158" s="8" t="s">
        <v>39</v>
      </c>
      <c r="T158" s="25">
        <f>-K160</f>
        <v>-143760</v>
      </c>
    </row>
    <row r="159" spans="1:20" ht="12.75">
      <c r="A159" s="61"/>
      <c r="B159" s="36" t="s">
        <v>4</v>
      </c>
      <c r="C159" s="61"/>
      <c r="D159" s="75"/>
      <c r="E159" s="38" t="s">
        <v>4</v>
      </c>
      <c r="F159" s="84" t="s">
        <v>4</v>
      </c>
      <c r="G159" s="66" t="s">
        <v>4</v>
      </c>
      <c r="I159" s="66" t="s">
        <v>4</v>
      </c>
      <c r="J159" s="84" t="s">
        <v>4</v>
      </c>
      <c r="K159" s="66" t="s">
        <v>4</v>
      </c>
      <c r="L159" s="5"/>
      <c r="M159" s="85">
        <v>416</v>
      </c>
      <c r="N159" s="84">
        <f>'[1]Rates'!$M$22</f>
        <v>244</v>
      </c>
      <c r="P159" s="85">
        <f>'[1]Rates'!$O$22</f>
        <v>416</v>
      </c>
      <c r="S159" s="8" t="s">
        <v>41</v>
      </c>
      <c r="T159" s="77">
        <f>T157+T158</f>
        <v>366838</v>
      </c>
    </row>
    <row r="160" spans="1:20" ht="12.75">
      <c r="A160" s="108" t="s">
        <v>53</v>
      </c>
      <c r="B160" s="35"/>
      <c r="E160" s="56">
        <f>SUM(E153:E159)</f>
        <v>1068</v>
      </c>
      <c r="F160" s="55"/>
      <c r="G160" s="56">
        <f>SUM(G153:G159)</f>
        <v>139740</v>
      </c>
      <c r="H160" s="41"/>
      <c r="I160" s="56">
        <f>SUM(I153:I159)</f>
        <v>1128</v>
      </c>
      <c r="J160" s="89">
        <f>K160/I160</f>
        <v>127.44680851063829</v>
      </c>
      <c r="K160" s="56">
        <f>SUM(K153:K159)</f>
        <v>143760</v>
      </c>
      <c r="L160" s="5"/>
      <c r="M160" s="58"/>
      <c r="N160" s="88"/>
      <c r="P160" s="58"/>
      <c r="T160" s="43">
        <f>T159/I149</f>
        <v>0.2173959164854728</v>
      </c>
    </row>
    <row r="161" spans="1:16" ht="13.5" thickBot="1">
      <c r="A161" s="5"/>
      <c r="B161" s="5"/>
      <c r="C161" s="5"/>
      <c r="D161" s="28"/>
      <c r="E161" s="106"/>
      <c r="F161" s="105"/>
      <c r="G161" s="111"/>
      <c r="H161" s="5"/>
      <c r="I161" s="106"/>
      <c r="J161" s="105"/>
      <c r="K161" s="111"/>
      <c r="L161" s="5"/>
      <c r="M161" s="162"/>
      <c r="N161" s="105"/>
      <c r="P161" s="162"/>
    </row>
    <row r="162" spans="1:16" ht="13.5" thickTop="1">
      <c r="A162" s="147" t="s">
        <v>96</v>
      </c>
      <c r="B162" s="5"/>
      <c r="C162" s="5"/>
      <c r="D162" s="28"/>
      <c r="E162" s="91"/>
      <c r="F162" s="5" t="s">
        <v>97</v>
      </c>
      <c r="G162" s="38">
        <f>G149+G160</f>
        <v>344872</v>
      </c>
      <c r="H162" s="91"/>
      <c r="I162" s="91"/>
      <c r="L162" s="5"/>
      <c r="M162" s="76"/>
      <c r="N162" s="4"/>
      <c r="P162" s="76"/>
    </row>
    <row r="163" spans="6:16" ht="12.75">
      <c r="F163" s="1" t="s">
        <v>98</v>
      </c>
      <c r="G163" s="163">
        <v>165726</v>
      </c>
      <c r="I163" s="52" t="s">
        <v>60</v>
      </c>
      <c r="J163" s="47">
        <f>J164/G164</f>
        <v>0</v>
      </c>
      <c r="L163" s="5"/>
      <c r="M163" s="76"/>
      <c r="N163" s="5"/>
      <c r="P163" s="76"/>
    </row>
    <row r="164" spans="1:16" ht="13.5" thickBot="1">
      <c r="A164" s="15"/>
      <c r="B164" s="15"/>
      <c r="C164" s="15"/>
      <c r="D164" s="133"/>
      <c r="E164" s="107"/>
      <c r="F164" s="15" t="s">
        <v>57</v>
      </c>
      <c r="G164" s="164">
        <f>G162+G163</f>
        <v>510598</v>
      </c>
      <c r="H164" s="91"/>
      <c r="I164" s="107" t="s">
        <v>58</v>
      </c>
      <c r="J164" s="107">
        <f>K164-G164</f>
        <v>0</v>
      </c>
      <c r="K164" s="107">
        <f>K149+K160</f>
        <v>510598</v>
      </c>
      <c r="L164" s="5"/>
      <c r="M164" s="165"/>
      <c r="N164" s="15"/>
      <c r="P164" s="165"/>
    </row>
    <row r="165" spans="1:16" ht="12.75">
      <c r="A165" s="117"/>
      <c r="B165" s="2"/>
      <c r="C165" s="2"/>
      <c r="D165" s="3"/>
      <c r="E165" s="4"/>
      <c r="F165" s="4"/>
      <c r="G165" s="4"/>
      <c r="H165" s="5"/>
      <c r="I165" s="118"/>
      <c r="J165" s="118"/>
      <c r="K165" s="118"/>
      <c r="L165" s="7"/>
      <c r="M165" s="76"/>
      <c r="N165" s="4"/>
      <c r="P165" s="76"/>
    </row>
    <row r="166" spans="1:19" ht="12.75">
      <c r="A166" s="27" t="s">
        <v>99</v>
      </c>
      <c r="B166" s="5"/>
      <c r="C166" s="5"/>
      <c r="D166" s="28"/>
      <c r="E166" s="9" t="s">
        <v>9</v>
      </c>
      <c r="F166" s="9"/>
      <c r="G166" s="9"/>
      <c r="H166" s="5"/>
      <c r="I166" s="8"/>
      <c r="J166" s="8"/>
      <c r="K166" s="8"/>
      <c r="L166" s="7"/>
      <c r="M166" s="29" t="s">
        <v>11</v>
      </c>
      <c r="N166" s="9" t="s">
        <v>12</v>
      </c>
      <c r="P166" s="29" t="s">
        <v>11</v>
      </c>
      <c r="S166" s="8" t="s">
        <v>100</v>
      </c>
    </row>
    <row r="167" spans="1:16" ht="13.5" thickBot="1">
      <c r="A167" s="30" t="s">
        <v>17</v>
      </c>
      <c r="B167" s="17"/>
      <c r="C167" s="17"/>
      <c r="D167" s="31" t="s">
        <v>14</v>
      </c>
      <c r="E167" s="19" t="s">
        <v>14</v>
      </c>
      <c r="F167" s="19" t="s">
        <v>18</v>
      </c>
      <c r="G167" s="32" t="s">
        <v>19</v>
      </c>
      <c r="H167" s="5"/>
      <c r="I167" s="19" t="s">
        <v>14</v>
      </c>
      <c r="J167" s="19" t="s">
        <v>20</v>
      </c>
      <c r="K167" s="32" t="s">
        <v>19</v>
      </c>
      <c r="L167" s="5"/>
      <c r="M167" s="33" t="s">
        <v>21</v>
      </c>
      <c r="N167" s="32" t="s">
        <v>21</v>
      </c>
      <c r="P167" s="33" t="s">
        <v>21</v>
      </c>
    </row>
    <row r="168" spans="1:19" ht="12.75">
      <c r="A168" s="35"/>
      <c r="B168" s="35" t="s">
        <v>24</v>
      </c>
      <c r="C168" s="35" t="str">
        <f>'[1]Rates'!G220</f>
        <v>First</v>
      </c>
      <c r="D168" s="158">
        <f>'[1]Rates'!H220</f>
        <v>875</v>
      </c>
      <c r="E168" s="38">
        <v>44916</v>
      </c>
      <c r="F168" s="39">
        <f>N168</f>
        <v>2.76273</v>
      </c>
      <c r="G168" s="38">
        <f>ROUND(E168*F168,0)</f>
        <v>124091</v>
      </c>
      <c r="H168" s="41"/>
      <c r="I168" s="38" t="s">
        <v>4</v>
      </c>
      <c r="J168" s="39" t="s">
        <v>4</v>
      </c>
      <c r="K168" s="38" t="s">
        <v>4</v>
      </c>
      <c r="L168" s="5"/>
      <c r="M168" s="42">
        <v>2.98887</v>
      </c>
      <c r="N168" s="39">
        <f>'[1]Rates'!$M$220</f>
        <v>2.76273</v>
      </c>
      <c r="P168" s="42">
        <f>ROUND($N$168*(1+'[1]Rules'!$F$17),5)</f>
        <v>2.98882</v>
      </c>
      <c r="S168" s="112">
        <f>J146*E168</f>
        <v>9764.554984861496</v>
      </c>
    </row>
    <row r="169" spans="1:19" ht="12.75">
      <c r="A169" s="48"/>
      <c r="B169" s="35" t="s">
        <v>66</v>
      </c>
      <c r="C169" s="35" t="str">
        <f>'[1]Rates'!G221</f>
        <v>Next</v>
      </c>
      <c r="D169" s="158">
        <f>'[1]Rates'!H221</f>
        <v>19125</v>
      </c>
      <c r="E169" s="38">
        <v>272058</v>
      </c>
      <c r="F169" s="39">
        <f>N169</f>
        <v>0.13826</v>
      </c>
      <c r="G169" s="38">
        <f>ROUND(E169*F169,0)</f>
        <v>37615</v>
      </c>
      <c r="H169" s="41"/>
      <c r="I169" s="38" t="s">
        <v>4</v>
      </c>
      <c r="J169" s="39" t="s">
        <v>4</v>
      </c>
      <c r="K169" s="38" t="s">
        <v>4</v>
      </c>
      <c r="L169" s="5"/>
      <c r="M169" s="42">
        <v>0.30132</v>
      </c>
      <c r="N169" s="39">
        <f>'[1]Rates'!$M$221</f>
        <v>0.13826</v>
      </c>
      <c r="P169" s="42">
        <f>ROUND($M$147*'[1]Rules'!$F$25,5)</f>
        <v>0.30132</v>
      </c>
      <c r="S169" s="112">
        <f>J147*E169</f>
        <v>59144.29824720476</v>
      </c>
    </row>
    <row r="170" spans="1:16" ht="12.75">
      <c r="A170" s="48"/>
      <c r="B170" s="35" t="s">
        <v>68</v>
      </c>
      <c r="C170" s="35" t="str">
        <f>'[1]Rates'!G222</f>
        <v>All Over</v>
      </c>
      <c r="D170" s="158">
        <f>'[1]Rates'!H222</f>
        <v>20000</v>
      </c>
      <c r="E170" s="38">
        <v>0</v>
      </c>
      <c r="F170" s="39">
        <f>N170</f>
        <v>0.1277</v>
      </c>
      <c r="G170" s="38">
        <f>ROUND(E170*F170,0)</f>
        <v>0</v>
      </c>
      <c r="H170" s="41"/>
      <c r="I170" s="38" t="s">
        <v>4</v>
      </c>
      <c r="J170" s="39" t="s">
        <v>4</v>
      </c>
      <c r="K170" s="38" t="s">
        <v>4</v>
      </c>
      <c r="L170" s="5"/>
      <c r="M170" s="42">
        <v>0.27721</v>
      </c>
      <c r="N170" s="39">
        <f>'[1]Rates'!$M$222</f>
        <v>0.1277</v>
      </c>
      <c r="P170" s="42">
        <f>ROUND($M$148*'[1]Rules'!$F$27,5)</f>
        <v>0.27721</v>
      </c>
    </row>
    <row r="171" spans="1:16" ht="12.75">
      <c r="A171" s="53" t="s">
        <v>28</v>
      </c>
      <c r="C171" s="35"/>
      <c r="D171" s="49"/>
      <c r="E171" s="54">
        <f>SUM(E168:E170)</f>
        <v>316974</v>
      </c>
      <c r="F171" s="55"/>
      <c r="G171" s="56">
        <f>SUM(G168:G170)</f>
        <v>161706</v>
      </c>
      <c r="H171" s="41"/>
      <c r="I171" s="56">
        <f>SUM(I168:I170)</f>
        <v>0</v>
      </c>
      <c r="J171" s="112">
        <f>K171-G171</f>
        <v>-161706</v>
      </c>
      <c r="K171" s="56">
        <f>SUM(K168:K170)</f>
        <v>0</v>
      </c>
      <c r="L171" s="5"/>
      <c r="M171" s="58"/>
      <c r="N171" s="55"/>
      <c r="P171" s="58"/>
    </row>
    <row r="172" spans="1:16" ht="12.75">
      <c r="A172" s="61"/>
      <c r="B172" s="62"/>
      <c r="C172" s="62"/>
      <c r="D172" s="63"/>
      <c r="E172" s="64"/>
      <c r="F172" s="65"/>
      <c r="G172" s="66"/>
      <c r="H172" s="41"/>
      <c r="I172" s="64"/>
      <c r="J172" s="47">
        <f>J171/G171</f>
        <v>-1</v>
      </c>
      <c r="K172" s="66"/>
      <c r="L172" s="5"/>
      <c r="M172" s="68"/>
      <c r="N172" s="65"/>
      <c r="P172" s="68"/>
    </row>
    <row r="173" spans="1:16" ht="12.75">
      <c r="A173" s="61"/>
      <c r="B173" s="62"/>
      <c r="C173" s="62"/>
      <c r="D173" s="63"/>
      <c r="E173" s="161" t="s">
        <v>94</v>
      </c>
      <c r="F173" s="65"/>
      <c r="G173" s="66"/>
      <c r="H173" s="41"/>
      <c r="I173" s="161" t="s">
        <v>94</v>
      </c>
      <c r="J173" s="65"/>
      <c r="K173" s="66"/>
      <c r="L173" s="5"/>
      <c r="M173" s="68"/>
      <c r="N173" s="65"/>
      <c r="P173" s="68"/>
    </row>
    <row r="174" spans="1:16" ht="13.5" thickBot="1">
      <c r="A174" s="69" t="s">
        <v>30</v>
      </c>
      <c r="B174" s="70"/>
      <c r="C174" s="70"/>
      <c r="D174" s="71"/>
      <c r="E174" s="19" t="s">
        <v>31</v>
      </c>
      <c r="F174" s="19" t="s">
        <v>18</v>
      </c>
      <c r="G174" s="32" t="s">
        <v>19</v>
      </c>
      <c r="H174" s="5"/>
      <c r="I174" s="19" t="s">
        <v>31</v>
      </c>
      <c r="J174" s="19" t="s">
        <v>20</v>
      </c>
      <c r="K174" s="32" t="s">
        <v>19</v>
      </c>
      <c r="L174" s="5"/>
      <c r="M174" s="72"/>
      <c r="N174" s="32"/>
      <c r="P174" s="72"/>
    </row>
    <row r="175" spans="1:19" ht="12.75">
      <c r="A175" s="74" t="s">
        <v>33</v>
      </c>
      <c r="B175" s="51" t="s">
        <v>101</v>
      </c>
      <c r="C175" s="61"/>
      <c r="D175" s="75"/>
      <c r="E175" s="38">
        <f>'[1]Bill Factor Input'!E26*12</f>
        <v>60</v>
      </c>
      <c r="F175" s="166">
        <f>N175</f>
        <v>67</v>
      </c>
      <c r="G175" s="106">
        <f>E175*F175</f>
        <v>4020</v>
      </c>
      <c r="H175" s="5"/>
      <c r="I175" s="66" t="s">
        <v>4</v>
      </c>
      <c r="J175" s="84" t="s">
        <v>4</v>
      </c>
      <c r="K175" s="66" t="s">
        <v>4</v>
      </c>
      <c r="L175" s="5"/>
      <c r="M175" s="85">
        <v>135</v>
      </c>
      <c r="N175" s="84">
        <f>'[1]Rates'!$M$24</f>
        <v>67</v>
      </c>
      <c r="P175" s="85">
        <f>'[1]Rates'!$O$24</f>
        <v>135</v>
      </c>
      <c r="S175" s="77">
        <f>G175</f>
        <v>4020</v>
      </c>
    </row>
    <row r="176" spans="1:16" ht="12.75">
      <c r="A176" s="108" t="s">
        <v>53</v>
      </c>
      <c r="B176" s="35"/>
      <c r="E176" s="56">
        <f>SUM(E175:E175)</f>
        <v>60</v>
      </c>
      <c r="F176" s="55"/>
      <c r="G176" s="56">
        <f>SUM(G175:G175)</f>
        <v>4020</v>
      </c>
      <c r="H176" s="41"/>
      <c r="I176" s="56">
        <f>SUM(I175:I175)</f>
        <v>0</v>
      </c>
      <c r="J176" s="55"/>
      <c r="K176" s="56">
        <f>SUM(K175:K175)</f>
        <v>0</v>
      </c>
      <c r="L176" s="5"/>
      <c r="M176" s="88"/>
      <c r="N176" s="88"/>
      <c r="P176" s="58"/>
    </row>
    <row r="177" spans="1:20" ht="13.5" thickBot="1">
      <c r="A177" s="5"/>
      <c r="B177" s="5"/>
      <c r="C177" s="5"/>
      <c r="D177" s="28"/>
      <c r="E177" s="106"/>
      <c r="F177" s="105"/>
      <c r="G177" s="111"/>
      <c r="H177" s="5"/>
      <c r="I177" s="106"/>
      <c r="J177" s="105"/>
      <c r="K177" s="111"/>
      <c r="L177" s="5"/>
      <c r="M177" s="105"/>
      <c r="N177" s="105"/>
      <c r="P177" s="105"/>
      <c r="S177" s="112">
        <f>SUM(S168:S175)</f>
        <v>72928.85323206625</v>
      </c>
      <c r="T177" s="77">
        <f>G179-S177</f>
        <v>92797.14676793375</v>
      </c>
    </row>
    <row r="178" spans="1:16" ht="13.5" thickTop="1">
      <c r="A178" s="5"/>
      <c r="B178" s="5"/>
      <c r="C178" s="5"/>
      <c r="D178" s="28"/>
      <c r="E178" s="4"/>
      <c r="F178" s="4"/>
      <c r="G178" s="113"/>
      <c r="H178" s="5"/>
      <c r="I178" s="4"/>
      <c r="J178" s="4"/>
      <c r="K178" s="113"/>
      <c r="L178" s="5"/>
      <c r="M178" s="4"/>
      <c r="N178" s="4"/>
      <c r="P178" s="4"/>
    </row>
    <row r="179" spans="1:16" ht="12.75">
      <c r="A179" s="147" t="s">
        <v>102</v>
      </c>
      <c r="B179" s="5"/>
      <c r="C179" s="5"/>
      <c r="D179" s="28"/>
      <c r="E179" s="91"/>
      <c r="F179" s="5" t="s">
        <v>103</v>
      </c>
      <c r="G179" s="167">
        <f>G171+G176</f>
        <v>165726</v>
      </c>
      <c r="H179" s="91"/>
      <c r="I179" s="91"/>
      <c r="J179" s="112">
        <f>K179-G179</f>
        <v>-165726</v>
      </c>
      <c r="K179" s="91">
        <f>K171+K176</f>
        <v>0</v>
      </c>
      <c r="L179" s="5"/>
      <c r="M179" s="5"/>
      <c r="N179" s="5"/>
      <c r="P179" s="116"/>
    </row>
    <row r="180" spans="1:16" ht="13.5" thickBot="1">
      <c r="A180" s="15"/>
      <c r="B180" s="15"/>
      <c r="C180" s="15"/>
      <c r="D180" s="133"/>
      <c r="E180" s="107"/>
      <c r="F180" s="15"/>
      <c r="G180" s="107"/>
      <c r="H180" s="91"/>
      <c r="I180" s="107"/>
      <c r="J180" s="47">
        <f>J179/G179</f>
        <v>-1</v>
      </c>
      <c r="K180" s="107"/>
      <c r="L180" s="5"/>
      <c r="M180" s="15"/>
      <c r="N180" s="15"/>
      <c r="P180" s="15"/>
    </row>
    <row r="181" spans="1:16" ht="13.5" thickBot="1">
      <c r="A181" s="117"/>
      <c r="B181" s="2"/>
      <c r="C181" s="2"/>
      <c r="D181" s="3"/>
      <c r="E181" s="4"/>
      <c r="F181" s="4"/>
      <c r="G181" s="4"/>
      <c r="H181" s="5"/>
      <c r="I181" s="168"/>
      <c r="J181" s="4"/>
      <c r="K181" s="4"/>
      <c r="L181" s="5"/>
      <c r="M181" s="4"/>
      <c r="N181" s="4"/>
      <c r="P181" s="4"/>
    </row>
    <row r="182" spans="1:22" ht="12.75">
      <c r="A182" s="27" t="s">
        <v>104</v>
      </c>
      <c r="B182" s="5"/>
      <c r="C182" s="5"/>
      <c r="D182" s="28"/>
      <c r="E182" s="9" t="s">
        <v>9</v>
      </c>
      <c r="F182" s="9"/>
      <c r="G182" s="9"/>
      <c r="H182" s="5"/>
      <c r="I182" s="274" t="s">
        <v>10</v>
      </c>
      <c r="J182" s="272"/>
      <c r="K182" s="272"/>
      <c r="L182" s="1"/>
      <c r="M182" s="137" t="s">
        <v>12</v>
      </c>
      <c r="N182" s="9" t="s">
        <v>12</v>
      </c>
      <c r="P182" s="137" t="s">
        <v>11</v>
      </c>
      <c r="S182" s="264" t="s">
        <v>105</v>
      </c>
      <c r="T182" s="265"/>
      <c r="U182" s="169"/>
      <c r="V182" s="11"/>
    </row>
    <row r="183" spans="1:22" ht="13.5" thickBot="1">
      <c r="A183" s="30" t="s">
        <v>17</v>
      </c>
      <c r="B183" s="17"/>
      <c r="C183" s="17"/>
      <c r="D183" s="31" t="s">
        <v>14</v>
      </c>
      <c r="E183" s="19" t="s">
        <v>14</v>
      </c>
      <c r="F183" s="19" t="s">
        <v>18</v>
      </c>
      <c r="G183" s="32" t="s">
        <v>19</v>
      </c>
      <c r="H183" s="5"/>
      <c r="I183" s="19" t="s">
        <v>14</v>
      </c>
      <c r="J183" s="19" t="s">
        <v>20</v>
      </c>
      <c r="K183" s="32" t="s">
        <v>19</v>
      </c>
      <c r="L183" s="5"/>
      <c r="M183" s="138" t="s">
        <v>21</v>
      </c>
      <c r="N183" s="32" t="s">
        <v>21</v>
      </c>
      <c r="P183" s="138" t="s">
        <v>21</v>
      </c>
      <c r="S183" s="259" t="s">
        <v>106</v>
      </c>
      <c r="T183" s="261"/>
      <c r="U183" s="100"/>
      <c r="V183" s="21"/>
    </row>
    <row r="184" spans="1:22" ht="12.75">
      <c r="A184" s="35"/>
      <c r="B184" s="35" t="s">
        <v>24</v>
      </c>
      <c r="C184" s="35" t="str">
        <f>'[1]Rates'!G249</f>
        <v>First</v>
      </c>
      <c r="D184" s="49">
        <f>'[1]Rates'!H257</f>
        <v>10000</v>
      </c>
      <c r="E184" s="38">
        <v>1256634</v>
      </c>
      <c r="F184" s="39">
        <v>0.17345</v>
      </c>
      <c r="G184" s="38">
        <f>ROUND(E184*F184,0)</f>
        <v>217963</v>
      </c>
      <c r="H184" s="41"/>
      <c r="I184" s="38">
        <f>E184</f>
        <v>1256634</v>
      </c>
      <c r="J184" s="39">
        <f>X209</f>
        <v>0.20353183894701377</v>
      </c>
      <c r="K184" s="38">
        <f>ROUND(I184*J184,0)</f>
        <v>255765</v>
      </c>
      <c r="L184" s="5"/>
      <c r="M184" s="139">
        <v>0.18658</v>
      </c>
      <c r="N184" s="39">
        <f>'[1]Rates'!$M$249</f>
        <v>0.17345</v>
      </c>
      <c r="P184" s="139">
        <f>ROUND($J184*(1+$S$195),5)</f>
        <v>0.19426</v>
      </c>
      <c r="S184" s="259" t="s">
        <v>107</v>
      </c>
      <c r="T184" s="261"/>
      <c r="U184" s="100"/>
      <c r="V184" s="21"/>
    </row>
    <row r="185" spans="1:22" ht="12.75">
      <c r="A185" s="48"/>
      <c r="B185" s="35" t="s">
        <v>66</v>
      </c>
      <c r="C185" s="35" t="str">
        <f>'[1]Rates'!G250</f>
        <v>Next</v>
      </c>
      <c r="D185" s="49">
        <f>'[1]Rates'!H250</f>
        <v>112500</v>
      </c>
      <c r="E185" s="38">
        <v>4485681</v>
      </c>
      <c r="F185" s="39">
        <v>0.16086</v>
      </c>
      <c r="G185" s="38">
        <f>ROUND(E185*F185,0)</f>
        <v>721567</v>
      </c>
      <c r="H185" s="41"/>
      <c r="I185" s="38">
        <f>E185</f>
        <v>4485681</v>
      </c>
      <c r="J185" s="39">
        <f>X210</f>
        <v>0.18875832581733432</v>
      </c>
      <c r="K185" s="38">
        <f>ROUND(I185*J185,0)</f>
        <v>846710</v>
      </c>
      <c r="L185" s="5"/>
      <c r="M185" s="139">
        <v>0.17304</v>
      </c>
      <c r="N185" s="39">
        <f>'[1]Rates'!$M$250</f>
        <v>0.16086</v>
      </c>
      <c r="P185" s="139">
        <f>ROUND($J185*(1+$S$195),5)</f>
        <v>0.18016</v>
      </c>
      <c r="S185" s="259" t="s">
        <v>108</v>
      </c>
      <c r="T185" s="261"/>
      <c r="U185" s="100"/>
      <c r="V185" s="21"/>
    </row>
    <row r="186" spans="1:22" ht="12.75">
      <c r="A186" s="48"/>
      <c r="B186" s="35" t="s">
        <v>68</v>
      </c>
      <c r="C186" s="35" t="str">
        <f>'[1]Rates'!G251</f>
        <v>Next</v>
      </c>
      <c r="D186" s="49">
        <f>'[1]Rates'!H251</f>
        <v>477500</v>
      </c>
      <c r="E186" s="38">
        <v>2366239</v>
      </c>
      <c r="F186" s="39">
        <v>0.10696</v>
      </c>
      <c r="G186" s="38">
        <f>ROUND(E186*F186,0)</f>
        <v>253093</v>
      </c>
      <c r="H186" s="41"/>
      <c r="I186" s="38">
        <f>E186</f>
        <v>2366239</v>
      </c>
      <c r="J186" s="39">
        <f>X211</f>
        <v>0.12551032282371055</v>
      </c>
      <c r="K186" s="38">
        <f>ROUND(I186*J186,0)</f>
        <v>296987</v>
      </c>
      <c r="L186" s="5"/>
      <c r="M186" s="139">
        <v>0.11506</v>
      </c>
      <c r="N186" s="39">
        <f>'[1]Rates'!$M$251</f>
        <v>0.10696</v>
      </c>
      <c r="P186" s="139">
        <f>ROUND($J186*(1+$S$195),5)</f>
        <v>0.11979</v>
      </c>
      <c r="S186" s="270" t="s">
        <v>109</v>
      </c>
      <c r="T186" s="271"/>
      <c r="U186" s="100"/>
      <c r="V186" s="21"/>
    </row>
    <row r="187" spans="1:22" ht="12.75">
      <c r="A187" s="48"/>
      <c r="B187" s="35" t="s">
        <v>110</v>
      </c>
      <c r="C187" s="35" t="str">
        <f>'[1]Rates'!G252</f>
        <v>All Over</v>
      </c>
      <c r="D187" s="49">
        <f>'[1]Rates'!H252</f>
        <v>600000</v>
      </c>
      <c r="E187" s="38">
        <v>160292</v>
      </c>
      <c r="F187" s="39">
        <v>0.02363</v>
      </c>
      <c r="G187" s="38">
        <f>ROUND(E187*F187,0)</f>
        <v>3788</v>
      </c>
      <c r="H187" s="41"/>
      <c r="I187" s="38">
        <f>E187</f>
        <v>160292</v>
      </c>
      <c r="J187" s="39">
        <f>X212</f>
        <v>0.027728206136165674</v>
      </c>
      <c r="K187" s="38">
        <f>ROUND(I187*J187,0)</f>
        <v>4445</v>
      </c>
      <c r="L187" s="5"/>
      <c r="M187" s="139">
        <v>0.02542</v>
      </c>
      <c r="N187" s="39">
        <f>'[1]Rates'!$M$252</f>
        <v>0.02363</v>
      </c>
      <c r="P187" s="139">
        <f>ROUND($J187*(1+$S$195),5)</f>
        <v>0.02647</v>
      </c>
      <c r="S187" s="20"/>
      <c r="T187" s="100"/>
      <c r="U187" s="100"/>
      <c r="V187" s="21"/>
    </row>
    <row r="188" spans="1:22" ht="12.75">
      <c r="A188" s="53" t="s">
        <v>28</v>
      </c>
      <c r="C188" s="35"/>
      <c r="D188" s="49"/>
      <c r="E188" s="54">
        <f>SUM(E184:E187)</f>
        <v>8268846</v>
      </c>
      <c r="F188" s="55"/>
      <c r="G188" s="56">
        <f>SUM(G184:G187)</f>
        <v>1196411</v>
      </c>
      <c r="H188" s="41"/>
      <c r="I188" s="56">
        <f>SUM(I184:I187)</f>
        <v>8268846</v>
      </c>
      <c r="J188" s="55"/>
      <c r="K188" s="56">
        <f>SUM(K184:K187)</f>
        <v>1403907</v>
      </c>
      <c r="L188" s="5"/>
      <c r="M188" s="141"/>
      <c r="N188" s="55"/>
      <c r="P188" s="58">
        <f>($K188-$G188)/$G188</f>
        <v>0.17343203965861229</v>
      </c>
      <c r="S188" s="259" t="s">
        <v>111</v>
      </c>
      <c r="T188" s="260"/>
      <c r="U188" s="100"/>
      <c r="V188" s="21"/>
    </row>
    <row r="189" spans="1:22" ht="12.75">
      <c r="A189" s="61"/>
      <c r="B189" s="62"/>
      <c r="C189" s="62"/>
      <c r="D189" s="63"/>
      <c r="E189" s="64"/>
      <c r="F189" s="65"/>
      <c r="G189" s="66"/>
      <c r="H189" s="41"/>
      <c r="I189" s="64"/>
      <c r="J189" s="65"/>
      <c r="K189" s="66"/>
      <c r="L189" s="5"/>
      <c r="M189" s="141"/>
      <c r="N189" s="65"/>
      <c r="P189" s="141"/>
      <c r="S189" s="257">
        <f>'[1]COS Summary'!G102</f>
        <v>0.08183558410477158</v>
      </c>
      <c r="T189" s="258"/>
      <c r="U189" s="100"/>
      <c r="V189" s="21"/>
    </row>
    <row r="190" spans="1:22" ht="12.75">
      <c r="A190" s="61"/>
      <c r="B190" s="62"/>
      <c r="C190" s="62"/>
      <c r="D190" s="63"/>
      <c r="E190" s="161" t="s">
        <v>94</v>
      </c>
      <c r="F190" s="65"/>
      <c r="G190" s="66"/>
      <c r="H190" s="41"/>
      <c r="I190" s="161" t="s">
        <v>94</v>
      </c>
      <c r="J190" s="65"/>
      <c r="K190" s="66"/>
      <c r="L190" s="5"/>
      <c r="M190" s="141"/>
      <c r="N190" s="65"/>
      <c r="P190" s="141"/>
      <c r="S190" s="20"/>
      <c r="T190" s="100"/>
      <c r="U190" s="100"/>
      <c r="V190" s="21"/>
    </row>
    <row r="191" spans="1:22" ht="13.5" thickBot="1">
      <c r="A191" s="69" t="s">
        <v>30</v>
      </c>
      <c r="B191" s="70"/>
      <c r="C191" s="70"/>
      <c r="D191" s="71"/>
      <c r="E191" s="19" t="s">
        <v>31</v>
      </c>
      <c r="F191" s="19" t="s">
        <v>18</v>
      </c>
      <c r="G191" s="32" t="s">
        <v>19</v>
      </c>
      <c r="H191" s="5"/>
      <c r="I191" s="19" t="s">
        <v>31</v>
      </c>
      <c r="J191" s="19" t="s">
        <v>20</v>
      </c>
      <c r="K191" s="32" t="s">
        <v>19</v>
      </c>
      <c r="L191" s="5"/>
      <c r="M191" s="142"/>
      <c r="N191" s="32"/>
      <c r="P191" s="142"/>
      <c r="S191" s="259" t="s">
        <v>112</v>
      </c>
      <c r="T191" s="260"/>
      <c r="U191" s="100"/>
      <c r="V191" s="21"/>
    </row>
    <row r="192" spans="1:22" ht="12.75">
      <c r="A192" s="74" t="s">
        <v>113</v>
      </c>
      <c r="B192" s="61"/>
      <c r="C192" s="35" t="s">
        <v>114</v>
      </c>
      <c r="D192" s="75"/>
      <c r="E192" s="38">
        <v>110</v>
      </c>
      <c r="F192" s="166">
        <v>566.67</v>
      </c>
      <c r="G192" s="38">
        <f>E192*F192</f>
        <v>62333.7</v>
      </c>
      <c r="H192" s="5"/>
      <c r="I192" s="66">
        <f>E192</f>
        <v>110</v>
      </c>
      <c r="J192" s="84">
        <f>M192</f>
        <v>375</v>
      </c>
      <c r="K192" s="38">
        <f>I192*J192</f>
        <v>41250</v>
      </c>
      <c r="L192" s="5"/>
      <c r="M192" s="170">
        <v>375</v>
      </c>
      <c r="N192" s="166">
        <f>'[1]Rates'!$M$26</f>
        <v>566.67</v>
      </c>
      <c r="P192" s="170">
        <f>'[1]Rates'!$O$26</f>
        <v>375</v>
      </c>
      <c r="S192" s="257">
        <f>P208</f>
        <v>0.12500020584519922</v>
      </c>
      <c r="T192" s="258"/>
      <c r="U192" s="100"/>
      <c r="V192" s="21"/>
    </row>
    <row r="193" spans="1:22" ht="12.75">
      <c r="A193" s="136"/>
      <c r="B193" s="61"/>
      <c r="C193" s="35" t="s">
        <v>115</v>
      </c>
      <c r="D193" s="75"/>
      <c r="E193" s="38">
        <v>48</v>
      </c>
      <c r="F193" s="166">
        <v>212.5</v>
      </c>
      <c r="G193" s="66">
        <f>E193*F193</f>
        <v>10200</v>
      </c>
      <c r="H193" s="5"/>
      <c r="I193" s="66">
        <f>E193</f>
        <v>48</v>
      </c>
      <c r="J193" s="84">
        <f>M193</f>
        <v>187.5</v>
      </c>
      <c r="K193" s="38">
        <f>I193*J193</f>
        <v>9000</v>
      </c>
      <c r="L193" s="5"/>
      <c r="M193" s="170">
        <v>187.5</v>
      </c>
      <c r="N193" s="166">
        <f>'[1]Rates'!$M$27</f>
        <v>212.5</v>
      </c>
      <c r="P193" s="170">
        <f>'[1]Rates'!$O$27</f>
        <v>187.5</v>
      </c>
      <c r="S193" s="20"/>
      <c r="T193" s="100"/>
      <c r="U193" s="100"/>
      <c r="V193" s="21"/>
    </row>
    <row r="194" spans="1:22" ht="12.75">
      <c r="A194" s="136"/>
      <c r="B194" s="61"/>
      <c r="C194" s="35"/>
      <c r="D194" s="75"/>
      <c r="E194" s="56">
        <f>SUM(E192:E193)</f>
        <v>158</v>
      </c>
      <c r="F194" s="55"/>
      <c r="G194" s="56">
        <f>SUM(G192:G193)</f>
        <v>72533.7</v>
      </c>
      <c r="H194" s="41"/>
      <c r="I194" s="56">
        <f>SUM(I192:I193)</f>
        <v>158</v>
      </c>
      <c r="J194" s="55"/>
      <c r="K194" s="56">
        <f>SUM(K192:K193)</f>
        <v>50250</v>
      </c>
      <c r="L194" s="5"/>
      <c r="M194" s="171"/>
      <c r="N194" s="172"/>
      <c r="P194" s="171"/>
      <c r="S194" s="259" t="s">
        <v>116</v>
      </c>
      <c r="T194" s="260"/>
      <c r="U194" s="100"/>
      <c r="V194" s="21"/>
    </row>
    <row r="195" spans="1:22" ht="12.75">
      <c r="A195" s="136"/>
      <c r="B195" s="61"/>
      <c r="C195" s="61"/>
      <c r="D195" s="75"/>
      <c r="E195" s="173"/>
      <c r="F195" s="174"/>
      <c r="G195" s="174"/>
      <c r="H195" s="5"/>
      <c r="I195" s="173"/>
      <c r="J195" s="174"/>
      <c r="K195" s="174"/>
      <c r="L195" s="5"/>
      <c r="M195" s="175"/>
      <c r="N195" s="174"/>
      <c r="P195" s="175"/>
      <c r="S195" s="257">
        <f>((G208*(1+S189))-K208)/K188</f>
        <v>-0.045556326485814175</v>
      </c>
      <c r="T195" s="258"/>
      <c r="U195" s="100"/>
      <c r="V195" s="21"/>
    </row>
    <row r="196" spans="1:22" ht="12.75">
      <c r="A196" s="74" t="s">
        <v>33</v>
      </c>
      <c r="B196" s="35" t="s">
        <v>42</v>
      </c>
      <c r="C196" s="61"/>
      <c r="D196" s="75"/>
      <c r="E196" s="38">
        <v>0</v>
      </c>
      <c r="F196" s="84">
        <v>5</v>
      </c>
      <c r="G196" s="66">
        <f>E196*F196</f>
        <v>0</v>
      </c>
      <c r="H196" s="5"/>
      <c r="I196" s="66">
        <f aca="true" t="shared" si="3" ref="I196:J200">E196</f>
        <v>0</v>
      </c>
      <c r="J196" s="84">
        <f t="shared" si="3"/>
        <v>5</v>
      </c>
      <c r="K196" s="66">
        <f>I196*J196</f>
        <v>0</v>
      </c>
      <c r="L196" s="5"/>
      <c r="M196" s="146">
        <v>6</v>
      </c>
      <c r="N196" s="84">
        <f>'[1]Rates'!$M$8</f>
        <v>5</v>
      </c>
      <c r="P196" s="146">
        <f>'[1]Rates'!$O$8</f>
        <v>5</v>
      </c>
      <c r="S196" s="20"/>
      <c r="T196" s="100"/>
      <c r="U196" s="100"/>
      <c r="V196" s="21"/>
    </row>
    <row r="197" spans="1:22" ht="12.75">
      <c r="A197" s="74"/>
      <c r="B197" s="35" t="s">
        <v>43</v>
      </c>
      <c r="C197" s="61"/>
      <c r="D197" s="75"/>
      <c r="E197" s="38">
        <v>36</v>
      </c>
      <c r="F197" s="84">
        <v>5</v>
      </c>
      <c r="G197" s="66">
        <f>E197*F197</f>
        <v>180</v>
      </c>
      <c r="H197" s="5"/>
      <c r="I197" s="66">
        <f t="shared" si="3"/>
        <v>36</v>
      </c>
      <c r="J197" s="84">
        <f t="shared" si="3"/>
        <v>5</v>
      </c>
      <c r="K197" s="66">
        <f>I197*J197</f>
        <v>180</v>
      </c>
      <c r="L197" s="5"/>
      <c r="M197" s="146">
        <v>8</v>
      </c>
      <c r="N197" s="84">
        <f>'[1]Rates'!$M$9</f>
        <v>5</v>
      </c>
      <c r="P197" s="146">
        <f>'[1]Rates'!$O$9</f>
        <v>6</v>
      </c>
      <c r="S197" s="259" t="s">
        <v>117</v>
      </c>
      <c r="T197" s="260"/>
      <c r="U197" s="100"/>
      <c r="V197" s="21"/>
    </row>
    <row r="198" spans="1:22" ht="12.75">
      <c r="A198" s="61"/>
      <c r="B198" s="35" t="s">
        <v>44</v>
      </c>
      <c r="C198" s="61"/>
      <c r="D198" s="75"/>
      <c r="E198" s="38">
        <v>13</v>
      </c>
      <c r="F198" s="84">
        <v>21</v>
      </c>
      <c r="G198" s="66">
        <f>E198*F198</f>
        <v>273</v>
      </c>
      <c r="H198" s="5"/>
      <c r="I198" s="66">
        <f t="shared" si="3"/>
        <v>13</v>
      </c>
      <c r="J198" s="84">
        <f t="shared" si="3"/>
        <v>21</v>
      </c>
      <c r="K198" s="66">
        <f>I198*J198</f>
        <v>273</v>
      </c>
      <c r="L198" s="5"/>
      <c r="M198" s="146">
        <v>36</v>
      </c>
      <c r="N198" s="84">
        <f>'[1]Rates'!$M$10</f>
        <v>21</v>
      </c>
      <c r="P198" s="146">
        <f>'[1]Rates'!$O$10</f>
        <v>36</v>
      </c>
      <c r="S198" s="262">
        <f>(G208*(1+S189))-K208</f>
        <v>-63956.84564771992</v>
      </c>
      <c r="T198" s="263"/>
      <c r="U198" s="100"/>
      <c r="V198" s="21"/>
    </row>
    <row r="199" spans="1:22" ht="12.75">
      <c r="A199" s="61"/>
      <c r="B199" s="35" t="s">
        <v>45</v>
      </c>
      <c r="C199" s="61"/>
      <c r="D199" s="75"/>
      <c r="E199" s="38">
        <v>86</v>
      </c>
      <c r="F199" s="84">
        <v>55</v>
      </c>
      <c r="G199" s="66">
        <f>E199*F199</f>
        <v>4730</v>
      </c>
      <c r="H199" s="5"/>
      <c r="I199" s="66">
        <f t="shared" si="3"/>
        <v>86</v>
      </c>
      <c r="J199" s="84">
        <f t="shared" si="3"/>
        <v>55</v>
      </c>
      <c r="K199" s="66">
        <f>I199*J199</f>
        <v>4730</v>
      </c>
      <c r="L199" s="5"/>
      <c r="M199" s="146">
        <v>135</v>
      </c>
      <c r="N199" s="84">
        <f>'[1]Rates'!$M$11</f>
        <v>55</v>
      </c>
      <c r="P199" s="146">
        <f>'[1]Rates'!$O$11</f>
        <v>135</v>
      </c>
      <c r="S199" s="20"/>
      <c r="T199" s="100"/>
      <c r="U199" s="100"/>
      <c r="V199" s="21"/>
    </row>
    <row r="200" spans="1:22" ht="12.75">
      <c r="A200" s="61"/>
      <c r="B200" s="35" t="s">
        <v>72</v>
      </c>
      <c r="C200" s="61"/>
      <c r="D200" s="75"/>
      <c r="E200" s="38">
        <v>170</v>
      </c>
      <c r="F200" s="84">
        <v>244</v>
      </c>
      <c r="G200" s="66">
        <f>E200*F200</f>
        <v>41480</v>
      </c>
      <c r="H200" s="5"/>
      <c r="I200" s="66">
        <f t="shared" si="3"/>
        <v>170</v>
      </c>
      <c r="J200" s="84">
        <f t="shared" si="3"/>
        <v>244</v>
      </c>
      <c r="K200" s="66">
        <f>I200*J200</f>
        <v>41480</v>
      </c>
      <c r="L200" s="5"/>
      <c r="M200" s="146">
        <v>416</v>
      </c>
      <c r="N200" s="84">
        <f>'[1]Rates'!$M$12</f>
        <v>244</v>
      </c>
      <c r="P200" s="146">
        <f>'[1]Rates'!$O$12</f>
        <v>416</v>
      </c>
      <c r="S200" s="20"/>
      <c r="T200" s="100"/>
      <c r="U200" s="100"/>
      <c r="V200" s="21"/>
    </row>
    <row r="201" spans="1:22" ht="12.75">
      <c r="A201" s="61"/>
      <c r="D201" s="1"/>
      <c r="H201" s="1"/>
      <c r="I201" s="1"/>
      <c r="J201" s="1"/>
      <c r="K201" s="1"/>
      <c r="L201" s="5"/>
      <c r="M201" s="146">
        <v>135</v>
      </c>
      <c r="N201" s="84">
        <f>'[1]Rates'!$M$13</f>
        <v>55</v>
      </c>
      <c r="P201" s="146">
        <f>'[1]Rates'!$O$13</f>
        <v>135</v>
      </c>
      <c r="S201" s="20"/>
      <c r="T201" s="100"/>
      <c r="U201" s="100"/>
      <c r="V201" s="21"/>
    </row>
    <row r="202" spans="1:22" ht="13.5" thickBot="1">
      <c r="A202" s="61"/>
      <c r="D202" s="1"/>
      <c r="H202" s="1"/>
      <c r="I202" s="1"/>
      <c r="J202" s="1"/>
      <c r="K202" s="1"/>
      <c r="L202" s="5"/>
      <c r="M202" s="146">
        <v>416</v>
      </c>
      <c r="N202" s="84">
        <f>'[1]Rates'!$M$14</f>
        <v>244</v>
      </c>
      <c r="P202" s="146">
        <f>'[1]Rates'!$O$14</f>
        <v>416</v>
      </c>
      <c r="S202" s="59"/>
      <c r="T202" s="176"/>
      <c r="U202" s="176"/>
      <c r="V202" s="60"/>
    </row>
    <row r="203" spans="1:16" ht="12.75">
      <c r="A203" s="61"/>
      <c r="B203" s="51"/>
      <c r="C203" s="61"/>
      <c r="D203" s="75"/>
      <c r="E203" s="56">
        <f>SUM(E196:E202)</f>
        <v>305</v>
      </c>
      <c r="F203" s="55"/>
      <c r="G203" s="56">
        <f>SUM(G196:G202)</f>
        <v>46663</v>
      </c>
      <c r="H203" s="41"/>
      <c r="I203" s="56">
        <f>SUM(I196:I202)</f>
        <v>305</v>
      </c>
      <c r="J203" s="55"/>
      <c r="K203" s="56">
        <f>SUM(K196:K202)</f>
        <v>46663</v>
      </c>
      <c r="L203" s="5"/>
      <c r="M203" s="172"/>
      <c r="N203" s="172"/>
      <c r="P203" s="58">
        <f>($K203-$G203)/$G203</f>
        <v>0</v>
      </c>
    </row>
    <row r="204" spans="1:21" ht="12.75">
      <c r="A204" s="61"/>
      <c r="H204" s="5"/>
      <c r="I204" s="66"/>
      <c r="J204" s="144"/>
      <c r="K204" s="66"/>
      <c r="L204" s="5"/>
      <c r="M204" s="144"/>
      <c r="N204" s="144"/>
      <c r="P204" s="144"/>
      <c r="S204" s="47">
        <v>0.125</v>
      </c>
      <c r="T204" s="8" t="s">
        <v>118</v>
      </c>
      <c r="U204" s="77">
        <f>S207</f>
        <v>1666907.955</v>
      </c>
    </row>
    <row r="205" spans="1:21" ht="12.75">
      <c r="A205" s="108" t="s">
        <v>53</v>
      </c>
      <c r="B205" s="35"/>
      <c r="E205" s="56"/>
      <c r="F205" s="55"/>
      <c r="G205" s="56">
        <f>G194+G203</f>
        <v>119196.7</v>
      </c>
      <c r="H205" s="41"/>
      <c r="I205" s="56"/>
      <c r="J205" s="55"/>
      <c r="K205" s="56">
        <f>K194+K203</f>
        <v>96913</v>
      </c>
      <c r="L205" s="5"/>
      <c r="M205" s="88"/>
      <c r="N205" s="88"/>
      <c r="P205" s="88"/>
      <c r="S205" s="38">
        <f>G208*S204</f>
        <v>185211.995</v>
      </c>
      <c r="T205" s="8" t="s">
        <v>119</v>
      </c>
      <c r="U205" s="25">
        <f>-K205-K207</f>
        <v>-263001.26</v>
      </c>
    </row>
    <row r="206" spans="1:21" ht="13.5" thickBot="1">
      <c r="A206" s="5"/>
      <c r="B206" s="5"/>
      <c r="C206" s="5"/>
      <c r="D206" s="28"/>
      <c r="E206" s="106" t="s">
        <v>4</v>
      </c>
      <c r="F206" s="105"/>
      <c r="G206" s="111" t="s">
        <v>4</v>
      </c>
      <c r="H206" s="5"/>
      <c r="I206" s="106"/>
      <c r="J206" s="105"/>
      <c r="K206" s="111"/>
      <c r="L206" s="5"/>
      <c r="M206" s="105"/>
      <c r="N206" s="105"/>
      <c r="P206" s="105"/>
      <c r="S206" s="77">
        <f>G208</f>
        <v>1481695.96</v>
      </c>
      <c r="T206" s="8" t="s">
        <v>41</v>
      </c>
      <c r="U206" s="77">
        <f>U204+U205</f>
        <v>1403906.695</v>
      </c>
    </row>
    <row r="207" spans="1:19" ht="13.5" thickTop="1">
      <c r="A207" s="5"/>
      <c r="B207" s="51" t="s">
        <v>120</v>
      </c>
      <c r="C207" s="35"/>
      <c r="D207" s="75"/>
      <c r="E207" s="177"/>
      <c r="F207" s="178"/>
      <c r="G207" s="112">
        <v>166088.26</v>
      </c>
      <c r="H207" s="5"/>
      <c r="I207" s="4"/>
      <c r="J207" s="4"/>
      <c r="K207" s="179">
        <f>G207</f>
        <v>166088.26</v>
      </c>
      <c r="L207" s="5"/>
      <c r="M207" s="4"/>
      <c r="N207" s="4"/>
      <c r="P207" s="4"/>
      <c r="S207" s="77">
        <f>S206+S205</f>
        <v>1666907.955</v>
      </c>
    </row>
    <row r="208" spans="1:16" ht="12.75">
      <c r="A208" s="147" t="s">
        <v>121</v>
      </c>
      <c r="B208" s="5"/>
      <c r="C208" s="5"/>
      <c r="D208" s="28"/>
      <c r="E208" s="91"/>
      <c r="F208" s="5"/>
      <c r="G208" s="115">
        <f>G188+G205+G207</f>
        <v>1481695.96</v>
      </c>
      <c r="H208" s="91"/>
      <c r="I208" s="52" t="s">
        <v>58</v>
      </c>
      <c r="J208" s="112">
        <f>K208-G208</f>
        <v>185212.30000000005</v>
      </c>
      <c r="K208" s="112">
        <f>K188+K205+K207</f>
        <v>1666908.26</v>
      </c>
      <c r="L208" s="5"/>
      <c r="M208" s="5"/>
      <c r="N208" s="5"/>
      <c r="P208" s="116">
        <f>($K208-$G208)/$G208</f>
        <v>0.12500020584519922</v>
      </c>
    </row>
    <row r="209" spans="1:24" ht="13.5" thickBot="1">
      <c r="A209" s="15"/>
      <c r="B209" s="15"/>
      <c r="C209" s="15"/>
      <c r="D209" s="133"/>
      <c r="E209" s="107"/>
      <c r="F209" s="15"/>
      <c r="G209" s="107"/>
      <c r="H209" s="91"/>
      <c r="I209" s="107" t="s">
        <v>60</v>
      </c>
      <c r="J209" s="180">
        <f>J208/G208</f>
        <v>0.12500020584519922</v>
      </c>
      <c r="K209" s="107"/>
      <c r="L209" s="5"/>
      <c r="M209" s="15"/>
      <c r="N209" s="15"/>
      <c r="P209" s="15"/>
      <c r="S209" s="38">
        <f>I184</f>
        <v>1256634</v>
      </c>
      <c r="T209" s="8">
        <v>0.17345</v>
      </c>
      <c r="U209" s="38">
        <f>S209*T209</f>
        <v>217963.1673</v>
      </c>
      <c r="V209" s="47">
        <f>U209/$U$213</f>
        <v>0.18218093112188036</v>
      </c>
      <c r="W209" s="38">
        <f>$U$206*V209</f>
        <v>255765.0289033417</v>
      </c>
      <c r="X209" s="8">
        <f>W209/S209</f>
        <v>0.20353183894701377</v>
      </c>
    </row>
    <row r="210" spans="1:24" ht="12.75">
      <c r="A210" s="5"/>
      <c r="B210" s="5"/>
      <c r="C210" s="5"/>
      <c r="D210" s="28"/>
      <c r="E210" s="91"/>
      <c r="F210" s="5"/>
      <c r="G210" s="91"/>
      <c r="H210" s="91"/>
      <c r="I210" s="91"/>
      <c r="J210" s="47"/>
      <c r="K210" s="91"/>
      <c r="L210" s="5"/>
      <c r="M210" s="5"/>
      <c r="N210" s="5"/>
      <c r="P210" s="5"/>
      <c r="S210" s="38">
        <f>I185</f>
        <v>4485681</v>
      </c>
      <c r="T210" s="8">
        <v>0.16086</v>
      </c>
      <c r="U210" s="38">
        <f>S210*T210</f>
        <v>721566.64566</v>
      </c>
      <c r="V210" s="47">
        <f>U210/$U$213</f>
        <v>0.6031096216907962</v>
      </c>
      <c r="W210" s="38">
        <f>$U$206*V210</f>
        <v>846709.635710626</v>
      </c>
      <c r="X210" s="8">
        <f>W210/S210</f>
        <v>0.18875832581733432</v>
      </c>
    </row>
    <row r="211" spans="1:24" ht="12.75">
      <c r="A211" s="5"/>
      <c r="B211" s="5"/>
      <c r="C211" s="5"/>
      <c r="D211" s="28"/>
      <c r="E211" s="91"/>
      <c r="F211" s="5"/>
      <c r="G211" s="91"/>
      <c r="H211" s="91"/>
      <c r="I211" s="91"/>
      <c r="J211" s="47"/>
      <c r="K211" s="91"/>
      <c r="L211" s="5"/>
      <c r="M211" s="5"/>
      <c r="N211" s="5"/>
      <c r="P211" s="5"/>
      <c r="S211" s="38">
        <f>I186</f>
        <v>2366239</v>
      </c>
      <c r="T211" s="8">
        <v>0.10696</v>
      </c>
      <c r="U211" s="38">
        <f>S211*T211</f>
        <v>253092.92344</v>
      </c>
      <c r="V211" s="47">
        <f>U211/$U$213</f>
        <v>0.2115435604273217</v>
      </c>
      <c r="W211" s="38">
        <f>$U$206*V211</f>
        <v>296987.420768054</v>
      </c>
      <c r="X211" s="8">
        <f>W211/S211</f>
        <v>0.12551032282371055</v>
      </c>
    </row>
    <row r="212" spans="1:24" ht="12.75">
      <c r="A212" s="5"/>
      <c r="B212" s="5"/>
      <c r="C212" s="5"/>
      <c r="D212" s="28"/>
      <c r="E212" s="91"/>
      <c r="F212" s="5"/>
      <c r="G212" s="91"/>
      <c r="H212" s="91"/>
      <c r="I212" s="91"/>
      <c r="J212" s="47"/>
      <c r="K212" s="91"/>
      <c r="L212" s="5"/>
      <c r="M212" s="5"/>
      <c r="N212" s="5"/>
      <c r="P212" s="5"/>
      <c r="S212" s="38">
        <f>I187</f>
        <v>160292</v>
      </c>
      <c r="T212" s="8">
        <v>0.02363</v>
      </c>
      <c r="U212" s="38">
        <f>S212*T212</f>
        <v>3787.6999600000004</v>
      </c>
      <c r="V212" s="47">
        <f>U212/$U$213</f>
        <v>0.003165886760001716</v>
      </c>
      <c r="W212" s="38">
        <f>$U$206*V212</f>
        <v>4444.609617978268</v>
      </c>
      <c r="X212" s="8">
        <f>W212/S212</f>
        <v>0.027728206136165674</v>
      </c>
    </row>
    <row r="213" spans="1:23" ht="12.75">
      <c r="A213" s="5"/>
      <c r="B213" s="5"/>
      <c r="C213" s="5"/>
      <c r="D213" s="28"/>
      <c r="E213" s="91"/>
      <c r="F213" s="5"/>
      <c r="G213" s="91"/>
      <c r="H213" s="91"/>
      <c r="I213" s="91"/>
      <c r="J213" s="47"/>
      <c r="K213" s="91"/>
      <c r="L213" s="5"/>
      <c r="M213" s="5"/>
      <c r="N213" s="5"/>
      <c r="P213" s="5"/>
      <c r="S213" s="56">
        <f>SUM(S209:S212)</f>
        <v>8268846</v>
      </c>
      <c r="U213" s="56">
        <f>SUM(U209:U212)</f>
        <v>1196410.4363600002</v>
      </c>
      <c r="V213" s="39">
        <f>SUM(V209:V212)</f>
        <v>1</v>
      </c>
      <c r="W213" s="38">
        <f>SUM(W209:W212)</f>
        <v>1403906.695</v>
      </c>
    </row>
    <row r="214" spans="1:23" ht="12.75">
      <c r="A214" s="5"/>
      <c r="B214" s="5"/>
      <c r="C214" s="5"/>
      <c r="D214" s="28"/>
      <c r="E214" s="91"/>
      <c r="F214" s="5"/>
      <c r="G214" s="91"/>
      <c r="H214" s="91"/>
      <c r="I214" s="91"/>
      <c r="J214" s="47"/>
      <c r="K214" s="91"/>
      <c r="L214" s="5"/>
      <c r="M214" s="5"/>
      <c r="N214" s="5"/>
      <c r="P214" s="5"/>
      <c r="S214" s="38"/>
      <c r="U214" s="38"/>
      <c r="V214" s="47"/>
      <c r="W214" s="38"/>
    </row>
    <row r="215" spans="1:23" ht="12.75">
      <c r="A215" s="5"/>
      <c r="B215" s="5"/>
      <c r="C215" s="5"/>
      <c r="D215" s="28"/>
      <c r="E215" s="91"/>
      <c r="F215" s="5"/>
      <c r="G215" s="91"/>
      <c r="H215" s="91"/>
      <c r="I215" s="6"/>
      <c r="J215" s="275" t="s">
        <v>0</v>
      </c>
      <c r="K215" s="275"/>
      <c r="L215" s="275"/>
      <c r="M215" s="5"/>
      <c r="N215" s="5"/>
      <c r="P215" s="5"/>
      <c r="S215" s="38"/>
      <c r="U215" s="38"/>
      <c r="V215" s="47"/>
      <c r="W215" s="38"/>
    </row>
    <row r="216" spans="1:23" ht="12.75">
      <c r="A216" s="117" t="str">
        <f>A$2</f>
        <v>Proof of Revenue</v>
      </c>
      <c r="B216" s="5"/>
      <c r="C216" s="5"/>
      <c r="D216" s="28"/>
      <c r="E216" s="91"/>
      <c r="F216" s="5"/>
      <c r="G216" s="91"/>
      <c r="H216" s="91"/>
      <c r="I216" s="273" t="str">
        <f>$I$2</f>
        <v>DPU Exhibit 7.1SR</v>
      </c>
      <c r="J216" s="273"/>
      <c r="K216" s="273"/>
      <c r="L216" s="7"/>
      <c r="M216" s="5"/>
      <c r="N216" s="5"/>
      <c r="P216" s="5"/>
      <c r="S216" s="38"/>
      <c r="U216" s="38"/>
      <c r="V216" s="47"/>
      <c r="W216" s="38"/>
    </row>
    <row r="217" spans="1:23" ht="12.75">
      <c r="A217" s="5"/>
      <c r="B217" s="5"/>
      <c r="C217" s="5"/>
      <c r="D217" s="28"/>
      <c r="E217" s="91"/>
      <c r="F217" s="5"/>
      <c r="G217" s="91"/>
      <c r="H217" s="91"/>
      <c r="I217" s="118"/>
      <c r="J217" s="118"/>
      <c r="K217" s="118" t="s">
        <v>122</v>
      </c>
      <c r="L217" s="7"/>
      <c r="M217" s="5"/>
      <c r="N217" s="5"/>
      <c r="P217" s="5"/>
      <c r="S217" s="38"/>
      <c r="U217" s="38"/>
      <c r="V217" s="47"/>
      <c r="W217" s="38"/>
    </row>
    <row r="218" spans="1:23" ht="12.75">
      <c r="A218" s="5"/>
      <c r="B218" s="5"/>
      <c r="C218" s="5"/>
      <c r="D218" s="28"/>
      <c r="E218" s="91"/>
      <c r="F218" s="5"/>
      <c r="G218" s="91"/>
      <c r="H218" s="91"/>
      <c r="I218" s="91"/>
      <c r="J218" s="47"/>
      <c r="K218" s="91"/>
      <c r="L218" s="5"/>
      <c r="M218" s="5"/>
      <c r="N218" s="5"/>
      <c r="P218" s="5"/>
      <c r="S218" s="38"/>
      <c r="U218" s="38"/>
      <c r="V218" s="47"/>
      <c r="W218" s="38"/>
    </row>
    <row r="219" spans="1:24" ht="12.75">
      <c r="A219" s="27" t="s">
        <v>123</v>
      </c>
      <c r="B219" s="181"/>
      <c r="C219" s="5"/>
      <c r="D219" s="28"/>
      <c r="E219" s="9" t="s">
        <v>9</v>
      </c>
      <c r="F219" s="9"/>
      <c r="G219" s="9"/>
      <c r="H219" s="5"/>
      <c r="I219" s="274" t="s">
        <v>10</v>
      </c>
      <c r="J219" s="272"/>
      <c r="K219" s="272"/>
      <c r="L219" s="1"/>
      <c r="M219" s="137" t="s">
        <v>11</v>
      </c>
      <c r="N219" s="9" t="s">
        <v>12</v>
      </c>
      <c r="P219" s="137" t="s">
        <v>11</v>
      </c>
      <c r="S219" s="38">
        <f>I186</f>
        <v>2366239</v>
      </c>
      <c r="T219" s="8">
        <v>0.10696</v>
      </c>
      <c r="U219" s="38">
        <f>S219*T219</f>
        <v>253092.92344</v>
      </c>
      <c r="V219" s="47">
        <f>U219/$U$221</f>
        <v>0.09551752294007758</v>
      </c>
      <c r="W219" s="38">
        <f>$U$206*V219</f>
        <v>134097.689945391</v>
      </c>
      <c r="X219" s="8">
        <f>W219/S219</f>
        <v>0.05667123648346215</v>
      </c>
    </row>
    <row r="220" spans="1:24" ht="13.5" thickBot="1">
      <c r="A220" s="30" t="s">
        <v>17</v>
      </c>
      <c r="B220" s="17"/>
      <c r="C220" s="17"/>
      <c r="D220" s="31" t="s">
        <v>14</v>
      </c>
      <c r="E220" s="19" t="s">
        <v>14</v>
      </c>
      <c r="F220" s="19" t="s">
        <v>18</v>
      </c>
      <c r="G220" s="32" t="s">
        <v>19</v>
      </c>
      <c r="H220" s="5"/>
      <c r="I220" s="19" t="s">
        <v>14</v>
      </c>
      <c r="J220" s="19" t="s">
        <v>20</v>
      </c>
      <c r="K220" s="32" t="s">
        <v>19</v>
      </c>
      <c r="L220" s="5"/>
      <c r="M220" s="138" t="s">
        <v>21</v>
      </c>
      <c r="N220" s="32" t="s">
        <v>21</v>
      </c>
      <c r="P220" s="138" t="s">
        <v>21</v>
      </c>
      <c r="S220" s="38">
        <f>I187</f>
        <v>160292</v>
      </c>
      <c r="T220" s="8">
        <v>0.02363</v>
      </c>
      <c r="U220" s="38">
        <f>S220*T220</f>
        <v>3787.6999600000004</v>
      </c>
      <c r="V220" s="47">
        <f>U220/$U$221</f>
        <v>0.001429481760698852</v>
      </c>
      <c r="W220" s="38">
        <f>$U$206*V220</f>
        <v>2006.8590142255064</v>
      </c>
      <c r="X220" s="8">
        <f>W220/S220</f>
        <v>0.01252001980276936</v>
      </c>
    </row>
    <row r="221" spans="1:23" ht="12.75">
      <c r="A221" s="35"/>
      <c r="B221" s="35" t="s">
        <v>24</v>
      </c>
      <c r="C221" s="35" t="str">
        <f>'[1]Rates'!G249</f>
        <v>First</v>
      </c>
      <c r="D221" s="49">
        <f>'[1]Rates'!H249</f>
        <v>10000</v>
      </c>
      <c r="E221" s="38">
        <f>DSUM(billfactors,'[1]Bill Factor Input'!T$2,UT_FT1L)</f>
        <v>120000</v>
      </c>
      <c r="F221" s="39">
        <f>N221</f>
        <v>0</v>
      </c>
      <c r="G221" s="38">
        <f>ROUND(E221*F221,0)</f>
        <v>0</v>
      </c>
      <c r="H221" s="41"/>
      <c r="I221" s="38">
        <f>E221</f>
        <v>120000</v>
      </c>
      <c r="J221" s="39">
        <f>M221</f>
        <v>0</v>
      </c>
      <c r="K221" s="38">
        <f>ROUND(I221*J221,0)</f>
        <v>0</v>
      </c>
      <c r="L221" s="5"/>
      <c r="M221" s="139">
        <v>0</v>
      </c>
      <c r="N221" s="39">
        <f>'[1]Rates'!$M$257</f>
        <v>0</v>
      </c>
      <c r="P221" s="139">
        <v>0</v>
      </c>
      <c r="S221" s="56">
        <f>SUM(S209:S220)</f>
        <v>19064223</v>
      </c>
      <c r="U221" s="56">
        <f>SUM(U209:U220)</f>
        <v>2649701.4961200003</v>
      </c>
      <c r="V221" s="39">
        <f>SUM(V209:V220)</f>
        <v>2.0969470047007763</v>
      </c>
      <c r="W221" s="38">
        <f>SUM(W209:W220)</f>
        <v>2943917.9389596167</v>
      </c>
    </row>
    <row r="222" spans="1:16" ht="12.75">
      <c r="A222" s="48"/>
      <c r="B222" s="35" t="s">
        <v>66</v>
      </c>
      <c r="C222" s="35" t="str">
        <f>'[1]Rates'!G250</f>
        <v>Next</v>
      </c>
      <c r="D222" s="49">
        <f>'[1]Rates'!H250</f>
        <v>112500</v>
      </c>
      <c r="E222" s="38">
        <f>DSUM(billfactors,'[1]Bill Factor Input'!U$2,UT_FT1L)</f>
        <v>1350000</v>
      </c>
      <c r="F222" s="39">
        <f>N222</f>
        <v>0</v>
      </c>
      <c r="G222" s="38">
        <f>ROUND(E222*F222,0)</f>
        <v>0</v>
      </c>
      <c r="H222" s="41"/>
      <c r="I222" s="38">
        <f>E222</f>
        <v>1350000</v>
      </c>
      <c r="J222" s="39">
        <f>M222</f>
        <v>0</v>
      </c>
      <c r="K222" s="38">
        <f>ROUND(I222*J222,0)</f>
        <v>0</v>
      </c>
      <c r="L222" s="5"/>
      <c r="M222" s="139">
        <v>0</v>
      </c>
      <c r="N222" s="39">
        <f>'[1]Rates'!$M$258</f>
        <v>0</v>
      </c>
      <c r="P222" s="139">
        <v>0</v>
      </c>
    </row>
    <row r="223" spans="1:16" ht="12.75">
      <c r="A223" s="48"/>
      <c r="B223" s="35" t="s">
        <v>68</v>
      </c>
      <c r="C223" s="35" t="str">
        <f>'[1]Rates'!G251</f>
        <v>Next</v>
      </c>
      <c r="D223" s="49">
        <f>'[1]Rates'!H251</f>
        <v>477500</v>
      </c>
      <c r="E223" s="38">
        <f>DSUM(billfactors,'[1]Bill Factor Input'!V$2,UT_FT1L)</f>
        <v>5730000</v>
      </c>
      <c r="F223" s="39">
        <f>N223</f>
        <v>0</v>
      </c>
      <c r="G223" s="38">
        <f>ROUND(E223*F223,0)</f>
        <v>0</v>
      </c>
      <c r="H223" s="41"/>
      <c r="I223" s="38">
        <f>E223</f>
        <v>5730000</v>
      </c>
      <c r="J223" s="39">
        <f>M223</f>
        <v>0</v>
      </c>
      <c r="K223" s="38">
        <f>ROUND(I223*J223,0)</f>
        <v>0</v>
      </c>
      <c r="L223" s="5"/>
      <c r="M223" s="139">
        <v>0</v>
      </c>
      <c r="N223" s="39">
        <f>'[1]Rates'!$M$259</f>
        <v>0</v>
      </c>
      <c r="P223" s="139">
        <v>0</v>
      </c>
    </row>
    <row r="224" spans="1:16" ht="12.75">
      <c r="A224" s="48"/>
      <c r="B224" s="35" t="s">
        <v>110</v>
      </c>
      <c r="C224" s="35" t="str">
        <f>'[1]Rates'!G252</f>
        <v>All Over</v>
      </c>
      <c r="D224" s="49">
        <f>'[1]Rates'!H252</f>
        <v>600000</v>
      </c>
      <c r="E224" s="38">
        <f>DSUM(billfactors,'[1]Bill Factor Input'!W$2,UT_FT1L)</f>
        <v>19262500</v>
      </c>
      <c r="F224" s="39">
        <f>N224</f>
        <v>0</v>
      </c>
      <c r="G224" s="38">
        <f>ROUND(E224*F224,0)</f>
        <v>0</v>
      </c>
      <c r="H224" s="41"/>
      <c r="I224" s="38">
        <f>E224</f>
        <v>19262500</v>
      </c>
      <c r="J224" s="39">
        <f>M224</f>
        <v>0</v>
      </c>
      <c r="K224" s="38">
        <f>ROUND(I224*J224,0)</f>
        <v>0</v>
      </c>
      <c r="L224" s="5"/>
      <c r="M224" s="139">
        <v>0</v>
      </c>
      <c r="N224" s="39">
        <f>'[1]Rates'!$M$260</f>
        <v>0</v>
      </c>
      <c r="P224" s="139">
        <v>0</v>
      </c>
    </row>
    <row r="225" spans="1:16" ht="12.75">
      <c r="A225" s="53" t="s">
        <v>28</v>
      </c>
      <c r="C225" s="35"/>
      <c r="D225" s="49"/>
      <c r="E225" s="54">
        <f>SUM(E221:E224)</f>
        <v>26462500</v>
      </c>
      <c r="F225" s="55"/>
      <c r="G225" s="56">
        <f>SUM(G221:G224)</f>
        <v>0</v>
      </c>
      <c r="H225" s="41"/>
      <c r="I225" s="56">
        <f>SUM(I221:I224)</f>
        <v>26462500</v>
      </c>
      <c r="J225" s="55"/>
      <c r="K225" s="56">
        <f>SUM(K221:K224)</f>
        <v>0</v>
      </c>
      <c r="L225" s="5"/>
      <c r="M225" s="140"/>
      <c r="N225" s="55"/>
      <c r="P225" s="140"/>
    </row>
    <row r="226" spans="1:16" ht="12.75">
      <c r="A226" s="61"/>
      <c r="B226" s="62"/>
      <c r="C226" s="62"/>
      <c r="D226" s="63"/>
      <c r="E226" s="64"/>
      <c r="F226" s="65"/>
      <c r="G226" s="66"/>
      <c r="H226" s="41"/>
      <c r="I226" s="64"/>
      <c r="J226" s="65"/>
      <c r="K226" s="66"/>
      <c r="L226" s="5"/>
      <c r="M226" s="141"/>
      <c r="N226" s="65"/>
      <c r="P226" s="141"/>
    </row>
    <row r="227" spans="1:16" ht="12.75">
      <c r="A227" s="61"/>
      <c r="B227" s="62"/>
      <c r="C227" s="62"/>
      <c r="D227" s="63"/>
      <c r="E227" s="161" t="s">
        <v>94</v>
      </c>
      <c r="F227" s="65"/>
      <c r="G227" s="66"/>
      <c r="H227" s="41"/>
      <c r="I227" s="161" t="s">
        <v>94</v>
      </c>
      <c r="J227" s="65"/>
      <c r="K227" s="66"/>
      <c r="L227" s="5"/>
      <c r="M227" s="141"/>
      <c r="N227" s="65"/>
      <c r="P227" s="141"/>
    </row>
    <row r="228" spans="1:16" ht="13.5" thickBot="1">
      <c r="A228" s="69" t="s">
        <v>30</v>
      </c>
      <c r="B228" s="70"/>
      <c r="C228" s="70"/>
      <c r="D228" s="71"/>
      <c r="E228" s="19" t="s">
        <v>31</v>
      </c>
      <c r="F228" s="19" t="s">
        <v>18</v>
      </c>
      <c r="G228" s="32" t="s">
        <v>19</v>
      </c>
      <c r="H228" s="5"/>
      <c r="I228" s="19" t="s">
        <v>31</v>
      </c>
      <c r="J228" s="19" t="s">
        <v>20</v>
      </c>
      <c r="K228" s="32" t="s">
        <v>19</v>
      </c>
      <c r="L228" s="5"/>
      <c r="M228" s="142"/>
      <c r="N228" s="32"/>
      <c r="P228" s="142"/>
    </row>
    <row r="229" spans="1:16" ht="12.75">
      <c r="A229" s="74" t="s">
        <v>113</v>
      </c>
      <c r="B229" s="61"/>
      <c r="C229" s="35" t="s">
        <v>114</v>
      </c>
      <c r="D229" s="75"/>
      <c r="E229" s="38">
        <f>DSUM(billfactors,'[1]Bill Factor Input'!Z$2,UT_FT1L)</f>
        <v>0</v>
      </c>
      <c r="F229" s="166">
        <f>N229</f>
        <v>0</v>
      </c>
      <c r="G229" s="38">
        <f>E229*F229</f>
        <v>0</v>
      </c>
      <c r="H229" s="5"/>
      <c r="I229" s="66">
        <f>E229</f>
        <v>0</v>
      </c>
      <c r="J229" s="84">
        <f>M229</f>
        <v>0</v>
      </c>
      <c r="K229" s="38">
        <f>I229*J229</f>
        <v>0</v>
      </c>
      <c r="L229" s="5"/>
      <c r="M229" s="170">
        <v>0</v>
      </c>
      <c r="N229" s="166">
        <v>0</v>
      </c>
      <c r="P229" s="170">
        <v>0</v>
      </c>
    </row>
    <row r="230" spans="1:16" ht="12.75">
      <c r="A230" s="136"/>
      <c r="B230" s="61"/>
      <c r="C230" s="35" t="s">
        <v>115</v>
      </c>
      <c r="D230" s="75"/>
      <c r="E230" s="38">
        <f>DSUM(billfactors,'[1]Bill Factor Input'!AA$2,UT_FT1L)</f>
        <v>12</v>
      </c>
      <c r="F230" s="166">
        <f>N230</f>
        <v>0</v>
      </c>
      <c r="G230" s="66">
        <f>E230*F230</f>
        <v>0</v>
      </c>
      <c r="H230" s="5"/>
      <c r="I230" s="66">
        <f>E230</f>
        <v>12</v>
      </c>
      <c r="J230" s="84">
        <f>M230</f>
        <v>0</v>
      </c>
      <c r="K230" s="38">
        <f>I230*J230</f>
        <v>0</v>
      </c>
      <c r="L230" s="5"/>
      <c r="M230" s="170">
        <v>0</v>
      </c>
      <c r="N230" s="166">
        <v>0</v>
      </c>
      <c r="P230" s="170">
        <v>0</v>
      </c>
    </row>
    <row r="231" spans="1:16" ht="12.75">
      <c r="A231" s="136"/>
      <c r="B231" s="61"/>
      <c r="C231" s="35"/>
      <c r="D231" s="75"/>
      <c r="E231" s="56">
        <f>SUM(E229:E230)</f>
        <v>12</v>
      </c>
      <c r="F231" s="55"/>
      <c r="G231" s="56">
        <f>SUM(G229:G230)</f>
        <v>0</v>
      </c>
      <c r="H231" s="41"/>
      <c r="I231" s="56">
        <f>SUM(I229:I230)</f>
        <v>12</v>
      </c>
      <c r="J231" s="55"/>
      <c r="K231" s="56">
        <f>SUM(K229:K230)</f>
        <v>0</v>
      </c>
      <c r="L231" s="5"/>
      <c r="M231" s="171"/>
      <c r="N231" s="172"/>
      <c r="P231" s="171"/>
    </row>
    <row r="232" spans="1:16" ht="12.75">
      <c r="A232" s="136"/>
      <c r="B232" s="61"/>
      <c r="C232" s="61"/>
      <c r="D232" s="75"/>
      <c r="E232" s="173"/>
      <c r="F232" s="174"/>
      <c r="G232" s="174"/>
      <c r="H232" s="5"/>
      <c r="I232" s="173"/>
      <c r="J232" s="174"/>
      <c r="K232" s="174"/>
      <c r="L232" s="5"/>
      <c r="M232" s="175"/>
      <c r="N232" s="174"/>
      <c r="P232" s="175"/>
    </row>
    <row r="233" spans="1:16" ht="12.75">
      <c r="A233" s="74" t="s">
        <v>33</v>
      </c>
      <c r="B233" s="51" t="s">
        <v>124</v>
      </c>
      <c r="C233" s="61"/>
      <c r="D233" s="75"/>
      <c r="E233" s="38">
        <f>DSUM(billfactors,'[1]Bill Factor Input'!M$2,UT_FT1L)</f>
        <v>12</v>
      </c>
      <c r="F233" s="49">
        <f>'[1]Rates'!M262</f>
        <v>200000</v>
      </c>
      <c r="G233" s="38">
        <f>E233*F233</f>
        <v>2400000</v>
      </c>
      <c r="H233" s="5"/>
      <c r="I233" s="66">
        <f>E233</f>
        <v>12</v>
      </c>
      <c r="J233" s="38">
        <f>M233</f>
        <v>200000</v>
      </c>
      <c r="K233" s="38">
        <f>I233*J233</f>
        <v>2400000</v>
      </c>
      <c r="L233" s="5"/>
      <c r="M233" s="182">
        <f>'[1]Rules'!$F$33</f>
        <v>200000</v>
      </c>
      <c r="N233" s="38">
        <f>'[1]Rates'!$M$262</f>
        <v>200000</v>
      </c>
      <c r="P233" s="182">
        <f>'[1]Rules'!$F$33</f>
        <v>200000</v>
      </c>
    </row>
    <row r="234" spans="1:16" ht="12.75">
      <c r="A234" s="61"/>
      <c r="B234" s="51"/>
      <c r="C234" s="61"/>
      <c r="D234" s="75"/>
      <c r="E234" s="38"/>
      <c r="F234" s="144"/>
      <c r="G234" s="66"/>
      <c r="H234" s="5"/>
      <c r="I234" s="66"/>
      <c r="J234" s="144"/>
      <c r="K234" s="66"/>
      <c r="L234" s="5"/>
      <c r="M234" s="144"/>
      <c r="N234" s="144"/>
      <c r="P234" s="144"/>
    </row>
    <row r="235" spans="1:16" ht="12.75">
      <c r="A235" s="108" t="s">
        <v>53</v>
      </c>
      <c r="B235" s="35"/>
      <c r="E235" s="56"/>
      <c r="F235" s="55"/>
      <c r="G235" s="56">
        <f>G231+G233</f>
        <v>2400000</v>
      </c>
      <c r="H235" s="41"/>
      <c r="I235" s="56"/>
      <c r="J235" s="55"/>
      <c r="K235" s="56">
        <f>K231+K233</f>
        <v>2400000</v>
      </c>
      <c r="L235" s="5"/>
      <c r="M235" s="88"/>
      <c r="N235" s="88"/>
      <c r="P235" s="88"/>
    </row>
    <row r="236" spans="1:16" ht="13.5" thickBot="1">
      <c r="A236" s="5"/>
      <c r="B236" s="5"/>
      <c r="C236" s="5"/>
      <c r="D236" s="28"/>
      <c r="E236" s="106"/>
      <c r="F236" s="105"/>
      <c r="G236" s="111"/>
      <c r="H236" s="5"/>
      <c r="I236" s="106"/>
      <c r="J236" s="105"/>
      <c r="K236" s="111"/>
      <c r="L236" s="5"/>
      <c r="M236" s="105"/>
      <c r="N236" s="105"/>
      <c r="P236" s="105"/>
    </row>
    <row r="237" spans="1:16" ht="13.5" thickTop="1">
      <c r="A237" s="5"/>
      <c r="B237" s="5"/>
      <c r="C237" s="5"/>
      <c r="D237" s="28"/>
      <c r="E237" s="4"/>
      <c r="F237" s="4"/>
      <c r="G237" s="113"/>
      <c r="H237" s="5"/>
      <c r="I237" s="4"/>
      <c r="J237" s="4"/>
      <c r="K237" s="113"/>
      <c r="L237" s="5"/>
      <c r="M237" s="4"/>
      <c r="N237" s="4"/>
      <c r="P237" s="4"/>
    </row>
    <row r="238" spans="1:16" ht="12.75">
      <c r="A238" s="147" t="s">
        <v>121</v>
      </c>
      <c r="B238" s="5"/>
      <c r="C238" s="5"/>
      <c r="D238" s="28"/>
      <c r="E238" s="91" t="s">
        <v>125</v>
      </c>
      <c r="F238" s="5"/>
      <c r="G238" s="115">
        <v>2976000</v>
      </c>
      <c r="H238" s="91"/>
      <c r="I238" s="91"/>
      <c r="J238" s="5"/>
      <c r="K238" s="91">
        <f>G238</f>
        <v>2976000</v>
      </c>
      <c r="L238" s="5"/>
      <c r="M238" s="5"/>
      <c r="N238" s="5"/>
      <c r="P238" s="5"/>
    </row>
    <row r="239" spans="1:16" ht="13.5" thickBot="1">
      <c r="A239" s="15"/>
      <c r="B239" s="15"/>
      <c r="C239" s="15"/>
      <c r="D239" s="133"/>
      <c r="E239" s="107"/>
      <c r="F239" s="15"/>
      <c r="G239" s="107"/>
      <c r="H239" s="91"/>
      <c r="I239" s="107"/>
      <c r="J239" s="15"/>
      <c r="K239" s="107"/>
      <c r="L239" s="5"/>
      <c r="M239" s="15"/>
      <c r="N239" s="15"/>
      <c r="P239" s="15"/>
    </row>
    <row r="240" spans="1:16" ht="12.75">
      <c r="A240" s="5"/>
      <c r="B240" s="5"/>
      <c r="C240" s="5"/>
      <c r="D240" s="28"/>
      <c r="E240" s="91"/>
      <c r="F240" s="5"/>
      <c r="G240" s="91"/>
      <c r="H240" s="91"/>
      <c r="I240" s="91"/>
      <c r="J240" s="5"/>
      <c r="K240" s="91"/>
      <c r="L240" s="5"/>
      <c r="M240" s="5"/>
      <c r="N240" s="5"/>
      <c r="P240" s="5"/>
    </row>
    <row r="241" spans="1:16" ht="13.5" thickBot="1">
      <c r="A241" s="15"/>
      <c r="B241" s="15"/>
      <c r="C241" s="15"/>
      <c r="D241" s="133"/>
      <c r="E241" s="107"/>
      <c r="F241" s="15"/>
      <c r="G241" s="107"/>
      <c r="H241" s="91"/>
      <c r="I241" s="107"/>
      <c r="J241" s="15"/>
      <c r="K241" s="107"/>
      <c r="L241" s="5"/>
      <c r="M241" s="15"/>
      <c r="N241" s="15"/>
      <c r="P241" s="15"/>
    </row>
    <row r="242" spans="1:16" ht="12.75">
      <c r="A242" s="5"/>
      <c r="B242" s="5"/>
      <c r="C242" s="5"/>
      <c r="D242" s="28"/>
      <c r="E242" s="91"/>
      <c r="F242" s="5"/>
      <c r="G242" s="91"/>
      <c r="H242" s="91"/>
      <c r="I242" s="91"/>
      <c r="J242" s="5"/>
      <c r="K242" s="91"/>
      <c r="L242" s="5"/>
      <c r="M242" s="5"/>
      <c r="N242" s="5"/>
      <c r="P242" s="5"/>
    </row>
    <row r="243" spans="1:16" ht="12.75">
      <c r="A243" s="27" t="s">
        <v>126</v>
      </c>
      <c r="B243" s="181"/>
      <c r="C243" s="5"/>
      <c r="D243" s="272" t="s">
        <v>9</v>
      </c>
      <c r="E243" s="272"/>
      <c r="F243" s="272"/>
      <c r="G243" s="272"/>
      <c r="H243" s="5"/>
      <c r="I243" s="274" t="s">
        <v>10</v>
      </c>
      <c r="J243" s="272"/>
      <c r="K243" s="272"/>
      <c r="L243" s="1"/>
      <c r="M243" s="137" t="s">
        <v>11</v>
      </c>
      <c r="N243" s="9" t="s">
        <v>12</v>
      </c>
      <c r="P243" s="137" t="s">
        <v>11</v>
      </c>
    </row>
    <row r="244" spans="1:16" ht="13.5" thickBot="1">
      <c r="A244" s="30" t="s">
        <v>17</v>
      </c>
      <c r="B244" s="17"/>
      <c r="C244" s="17"/>
      <c r="D244" s="31" t="s">
        <v>14</v>
      </c>
      <c r="E244" s="19" t="s">
        <v>14</v>
      </c>
      <c r="F244" s="19" t="s">
        <v>18</v>
      </c>
      <c r="G244" s="32" t="s">
        <v>19</v>
      </c>
      <c r="H244" s="5"/>
      <c r="I244" s="19" t="s">
        <v>14</v>
      </c>
      <c r="J244" s="19" t="s">
        <v>20</v>
      </c>
      <c r="K244" s="32" t="s">
        <v>19</v>
      </c>
      <c r="L244" s="5"/>
      <c r="M244" s="138" t="s">
        <v>21</v>
      </c>
      <c r="N244" s="32" t="s">
        <v>21</v>
      </c>
      <c r="P244" s="138" t="s">
        <v>21</v>
      </c>
    </row>
    <row r="245" spans="1:16" ht="12.75">
      <c r="A245" s="35"/>
      <c r="B245" s="35" t="s">
        <v>24</v>
      </c>
      <c r="C245" s="35" t="str">
        <f>'[1]Rates'!G283</f>
        <v>First</v>
      </c>
      <c r="D245" s="49">
        <f>'[1]Rates'!H283</f>
        <v>100000</v>
      </c>
      <c r="E245" s="38">
        <f>DSUM(billfactors,'[1]Bill Factor Input'!T$2,UT_FT2C)</f>
        <v>150704</v>
      </c>
      <c r="F245" s="39">
        <f>N245</f>
        <v>0.1</v>
      </c>
      <c r="G245" s="38">
        <f>ROUND(E245*F245,0)</f>
        <v>15070</v>
      </c>
      <c r="H245" s="41"/>
      <c r="I245" s="38">
        <f>E245</f>
        <v>150704</v>
      </c>
      <c r="J245" s="39">
        <f>M245</f>
        <v>0.1</v>
      </c>
      <c r="K245" s="38">
        <f>ROUND(I245*J245,0)</f>
        <v>15070</v>
      </c>
      <c r="L245" s="5"/>
      <c r="M245" s="139">
        <f>'[1]Rules'!$F$29</f>
        <v>0.1</v>
      </c>
      <c r="N245" s="39">
        <f>'[1]Rates'!$M$283</f>
        <v>0.1</v>
      </c>
      <c r="P245" s="139">
        <f>'[1]Rules'!$F$29</f>
        <v>0.1</v>
      </c>
    </row>
    <row r="246" spans="1:16" ht="12.75">
      <c r="A246" s="35"/>
      <c r="B246" s="35" t="s">
        <v>66</v>
      </c>
      <c r="C246" s="35" t="str">
        <f>'[1]Rates'!G284</f>
        <v>All Over</v>
      </c>
      <c r="D246" s="49">
        <f>'[1]Rates'!H284</f>
        <v>100000</v>
      </c>
      <c r="E246" s="38">
        <v>0</v>
      </c>
      <c r="F246" s="39">
        <f>N246</f>
        <v>0.02</v>
      </c>
      <c r="G246" s="38">
        <f>ROUND(E246*F246,0)</f>
        <v>0</v>
      </c>
      <c r="H246" s="41"/>
      <c r="I246" s="38">
        <f>E246</f>
        <v>0</v>
      </c>
      <c r="J246" s="39">
        <f>M246</f>
        <v>0.02</v>
      </c>
      <c r="K246" s="38">
        <f>ROUND(I246*J246,0)</f>
        <v>0</v>
      </c>
      <c r="L246" s="5"/>
      <c r="M246" s="139">
        <f>'[1]Rules'!$F$31</f>
        <v>0.02</v>
      </c>
      <c r="N246" s="39">
        <f>'[1]Rates'!$M$284</f>
        <v>0.02</v>
      </c>
      <c r="P246" s="139">
        <f>'[1]Rules'!$F$31</f>
        <v>0.02</v>
      </c>
    </row>
    <row r="247" spans="1:16" ht="12.75">
      <c r="A247" s="53" t="s">
        <v>28</v>
      </c>
      <c r="C247" s="35"/>
      <c r="D247" s="49"/>
      <c r="E247" s="54">
        <f>SUM(E245:E245)</f>
        <v>150704</v>
      </c>
      <c r="F247" s="55"/>
      <c r="G247" s="56">
        <f>SUM(G245:G245)</f>
        <v>15070</v>
      </c>
      <c r="H247" s="41"/>
      <c r="I247" s="56">
        <f>SUM(I245:I245)</f>
        <v>150704</v>
      </c>
      <c r="J247" s="55"/>
      <c r="K247" s="56">
        <f>SUM(K245:K245)</f>
        <v>15070</v>
      </c>
      <c r="L247" s="5"/>
      <c r="M247" s="140"/>
      <c r="N247" s="55"/>
      <c r="P247" s="140"/>
    </row>
    <row r="248" spans="1:16" ht="12.75">
      <c r="A248" s="61"/>
      <c r="B248" s="62"/>
      <c r="C248" s="62"/>
      <c r="D248" s="63"/>
      <c r="E248" s="64"/>
      <c r="F248" s="65"/>
      <c r="G248" s="66"/>
      <c r="H248" s="41"/>
      <c r="I248" s="64"/>
      <c r="J248" s="65"/>
      <c r="K248" s="66"/>
      <c r="L248" s="5"/>
      <c r="M248" s="141"/>
      <c r="N248" s="65"/>
      <c r="P248" s="141"/>
    </row>
    <row r="249" spans="1:16" ht="12.75">
      <c r="A249" s="61"/>
      <c r="B249" s="62"/>
      <c r="C249" s="62"/>
      <c r="D249" s="63"/>
      <c r="E249" s="161" t="s">
        <v>94</v>
      </c>
      <c r="F249" s="65"/>
      <c r="G249" s="66"/>
      <c r="H249" s="41"/>
      <c r="I249" s="161" t="s">
        <v>94</v>
      </c>
      <c r="J249" s="65"/>
      <c r="K249" s="66"/>
      <c r="L249" s="5"/>
      <c r="M249" s="141"/>
      <c r="N249" s="65"/>
      <c r="P249" s="141"/>
    </row>
    <row r="250" spans="1:16" ht="13.5" thickBot="1">
      <c r="A250" s="69" t="s">
        <v>30</v>
      </c>
      <c r="B250" s="70"/>
      <c r="C250" s="70"/>
      <c r="D250" s="71"/>
      <c r="E250" s="19" t="s">
        <v>31</v>
      </c>
      <c r="F250" s="19" t="s">
        <v>18</v>
      </c>
      <c r="G250" s="32" t="s">
        <v>19</v>
      </c>
      <c r="H250" s="5"/>
      <c r="I250" s="19" t="s">
        <v>31</v>
      </c>
      <c r="J250" s="19" t="s">
        <v>20</v>
      </c>
      <c r="K250" s="32" t="s">
        <v>19</v>
      </c>
      <c r="L250" s="5"/>
      <c r="M250" s="142"/>
      <c r="N250" s="32"/>
      <c r="P250" s="142"/>
    </row>
    <row r="251" spans="1:16" ht="12.75">
      <c r="A251" s="74" t="s">
        <v>113</v>
      </c>
      <c r="B251" s="61"/>
      <c r="C251" s="35" t="s">
        <v>114</v>
      </c>
      <c r="D251" s="75"/>
      <c r="E251" s="38">
        <f>DSUM(billfactors,'[1]Bill Factor Input'!Z$2,UT_FT2C)</f>
        <v>12</v>
      </c>
      <c r="F251" s="166">
        <f>N251</f>
        <v>566.67</v>
      </c>
      <c r="G251" s="38">
        <f>E251*F251</f>
        <v>6800.039999999999</v>
      </c>
      <c r="H251" s="5"/>
      <c r="I251" s="66">
        <f>E251</f>
        <v>12</v>
      </c>
      <c r="J251" s="84">
        <f>M251</f>
        <v>375</v>
      </c>
      <c r="K251" s="38">
        <v>6800</v>
      </c>
      <c r="L251" s="5"/>
      <c r="M251" s="170">
        <f>'[1]Rates'!$O$26</f>
        <v>375</v>
      </c>
      <c r="N251" s="166">
        <f>'[1]Rates'!$M$26</f>
        <v>566.67</v>
      </c>
      <c r="P251" s="170">
        <f>'[1]Rates'!$O$26</f>
        <v>375</v>
      </c>
    </row>
    <row r="252" spans="1:16" ht="12.75">
      <c r="A252" s="136"/>
      <c r="B252" s="61"/>
      <c r="C252" s="35" t="s">
        <v>115</v>
      </c>
      <c r="D252" s="75"/>
      <c r="E252" s="38">
        <f>DSUM(billfactors,'[1]Bill Factor Input'!AA$2,UT_FT2C)</f>
        <v>0</v>
      </c>
      <c r="F252" s="166">
        <f>N252</f>
        <v>212.5</v>
      </c>
      <c r="G252" s="66">
        <f>E252*F252</f>
        <v>0</v>
      </c>
      <c r="H252" s="5"/>
      <c r="I252" s="66">
        <f>E252</f>
        <v>0</v>
      </c>
      <c r="J252" s="84">
        <f>M252</f>
        <v>187.5</v>
      </c>
      <c r="K252" s="38">
        <f>I252*J252</f>
        <v>0</v>
      </c>
      <c r="L252" s="5"/>
      <c r="M252" s="170">
        <f>'[1]Rates'!$O$27</f>
        <v>187.5</v>
      </c>
      <c r="N252" s="166">
        <f>'[1]Rates'!$M$27</f>
        <v>212.5</v>
      </c>
      <c r="P252" s="170">
        <f>'[1]Rates'!$O$27</f>
        <v>187.5</v>
      </c>
    </row>
    <row r="253" spans="1:16" ht="12.75">
      <c r="A253" s="136"/>
      <c r="B253" s="61"/>
      <c r="C253" s="35"/>
      <c r="D253" s="75"/>
      <c r="E253" s="56">
        <f>SUM(E251:E252)</f>
        <v>12</v>
      </c>
      <c r="F253" s="55"/>
      <c r="G253" s="56">
        <f>SUM(G251:G252)</f>
        <v>6800.039999999999</v>
      </c>
      <c r="H253" s="41"/>
      <c r="I253" s="56">
        <f>SUM(I251:I252)</f>
        <v>12</v>
      </c>
      <c r="J253" s="55"/>
      <c r="K253" s="56">
        <f>SUM(K251:K252)</f>
        <v>6800</v>
      </c>
      <c r="L253" s="5"/>
      <c r="M253" s="171"/>
      <c r="N253" s="172"/>
      <c r="P253" s="171"/>
    </row>
    <row r="254" spans="1:16" ht="12.75">
      <c r="A254" s="136"/>
      <c r="B254" s="61"/>
      <c r="C254" s="61"/>
      <c r="D254" s="75"/>
      <c r="E254" s="173"/>
      <c r="F254" s="174"/>
      <c r="G254" s="174"/>
      <c r="H254" s="5"/>
      <c r="I254" s="173"/>
      <c r="J254" s="174"/>
      <c r="K254" s="174"/>
      <c r="L254" s="5"/>
      <c r="M254" s="175"/>
      <c r="N254" s="174"/>
      <c r="P254" s="175"/>
    </row>
    <row r="255" spans="1:16" ht="12.75">
      <c r="A255" s="74" t="s">
        <v>33</v>
      </c>
      <c r="B255" s="35" t="s">
        <v>42</v>
      </c>
      <c r="C255" s="61"/>
      <c r="D255" s="75"/>
      <c r="E255" s="38">
        <v>0</v>
      </c>
      <c r="F255" s="84">
        <v>5</v>
      </c>
      <c r="G255" s="66">
        <f>E255*F255</f>
        <v>0</v>
      </c>
      <c r="H255" s="5"/>
      <c r="I255" s="66">
        <f aca="true" t="shared" si="4" ref="I255:J259">E255</f>
        <v>0</v>
      </c>
      <c r="J255" s="84">
        <f t="shared" si="4"/>
        <v>5</v>
      </c>
      <c r="K255" s="66">
        <f>I255*J255</f>
        <v>0</v>
      </c>
      <c r="L255" s="5"/>
      <c r="M255" s="146">
        <f>'[1]Rates'!$O$8</f>
        <v>5</v>
      </c>
      <c r="N255" s="84">
        <f>'[1]Rates'!$M$8</f>
        <v>5</v>
      </c>
      <c r="P255" s="146">
        <f>'[1]Rates'!$O$8</f>
        <v>5</v>
      </c>
    </row>
    <row r="256" spans="1:16" ht="12.75">
      <c r="A256" s="74"/>
      <c r="B256" s="35" t="s">
        <v>43</v>
      </c>
      <c r="C256" s="61"/>
      <c r="D256" s="75"/>
      <c r="E256" s="38">
        <v>0</v>
      </c>
      <c r="F256" s="84">
        <v>5</v>
      </c>
      <c r="G256" s="66">
        <f>E256*F256</f>
        <v>0</v>
      </c>
      <c r="H256" s="5"/>
      <c r="I256" s="66">
        <f t="shared" si="4"/>
        <v>0</v>
      </c>
      <c r="J256" s="84">
        <f t="shared" si="4"/>
        <v>5</v>
      </c>
      <c r="K256" s="66">
        <f>I256*J256</f>
        <v>0</v>
      </c>
      <c r="L256" s="5"/>
      <c r="M256" s="146">
        <f>'[1]Rates'!$O$9</f>
        <v>6</v>
      </c>
      <c r="N256" s="84">
        <f>'[1]Rates'!$M$9</f>
        <v>5</v>
      </c>
      <c r="P256" s="146">
        <f>'[1]Rates'!$O$9</f>
        <v>6</v>
      </c>
    </row>
    <row r="257" spans="1:16" ht="12.75">
      <c r="A257" s="61"/>
      <c r="B257" s="35" t="s">
        <v>44</v>
      </c>
      <c r="C257" s="61"/>
      <c r="D257" s="75"/>
      <c r="E257" s="38">
        <v>0</v>
      </c>
      <c r="F257" s="84">
        <v>21</v>
      </c>
      <c r="G257" s="66">
        <f>E257*F257</f>
        <v>0</v>
      </c>
      <c r="H257" s="5"/>
      <c r="I257" s="66">
        <f t="shared" si="4"/>
        <v>0</v>
      </c>
      <c r="J257" s="84">
        <f t="shared" si="4"/>
        <v>21</v>
      </c>
      <c r="K257" s="66">
        <f>I257*J257</f>
        <v>0</v>
      </c>
      <c r="L257" s="5"/>
      <c r="M257" s="146">
        <f>'[1]Rates'!$O$10</f>
        <v>36</v>
      </c>
      <c r="N257" s="84">
        <f>'[1]Rates'!$M$10</f>
        <v>21</v>
      </c>
      <c r="P257" s="146">
        <f>'[1]Rates'!$O$10</f>
        <v>36</v>
      </c>
    </row>
    <row r="258" spans="1:16" ht="12.75">
      <c r="A258" s="61"/>
      <c r="B258" s="35" t="s">
        <v>45</v>
      </c>
      <c r="C258" s="61"/>
      <c r="D258" s="75"/>
      <c r="E258" s="38">
        <v>12</v>
      </c>
      <c r="F258" s="84">
        <v>55</v>
      </c>
      <c r="G258" s="66">
        <f>E258*F258</f>
        <v>660</v>
      </c>
      <c r="H258" s="5"/>
      <c r="I258" s="66">
        <f t="shared" si="4"/>
        <v>12</v>
      </c>
      <c r="J258" s="84">
        <f t="shared" si="4"/>
        <v>55</v>
      </c>
      <c r="K258" s="66">
        <f>I258*J258</f>
        <v>660</v>
      </c>
      <c r="L258" s="5"/>
      <c r="M258" s="146">
        <f>'[1]Rates'!$O$11</f>
        <v>135</v>
      </c>
      <c r="N258" s="84">
        <f>'[1]Rates'!$M$11</f>
        <v>55</v>
      </c>
      <c r="P258" s="146">
        <f>'[1]Rates'!$O$11</f>
        <v>135</v>
      </c>
    </row>
    <row r="259" spans="1:16" ht="12.75">
      <c r="A259" s="61"/>
      <c r="B259" s="35" t="s">
        <v>72</v>
      </c>
      <c r="C259" s="61"/>
      <c r="D259" s="75"/>
      <c r="E259" s="38">
        <v>0</v>
      </c>
      <c r="F259" s="84">
        <v>244</v>
      </c>
      <c r="G259" s="66">
        <f>E259*F259</f>
        <v>0</v>
      </c>
      <c r="H259" s="5"/>
      <c r="I259" s="66">
        <f t="shared" si="4"/>
        <v>0</v>
      </c>
      <c r="J259" s="84">
        <f t="shared" si="4"/>
        <v>244</v>
      </c>
      <c r="K259" s="66">
        <f>I259*J259</f>
        <v>0</v>
      </c>
      <c r="L259" s="5"/>
      <c r="M259" s="146">
        <f>'[1]Rates'!$O$12</f>
        <v>416</v>
      </c>
      <c r="N259" s="84">
        <f>'[1]Rates'!$M$12</f>
        <v>244</v>
      </c>
      <c r="P259" s="146">
        <f>'[1]Rates'!$O$12</f>
        <v>416</v>
      </c>
    </row>
    <row r="260" spans="1:16" ht="12.75">
      <c r="A260" s="61"/>
      <c r="D260" s="1"/>
      <c r="H260" s="1"/>
      <c r="I260" s="1"/>
      <c r="J260" s="1"/>
      <c r="K260" s="1"/>
      <c r="L260" s="5"/>
      <c r="M260" s="146">
        <f>'[1]Rates'!$O$13</f>
        <v>135</v>
      </c>
      <c r="N260" s="84">
        <f>'[1]Rates'!$M$13</f>
        <v>55</v>
      </c>
      <c r="P260" s="146">
        <f>'[1]Rates'!$O$13</f>
        <v>135</v>
      </c>
    </row>
    <row r="261" spans="1:16" ht="12.75">
      <c r="A261" s="61"/>
      <c r="D261" s="1"/>
      <c r="H261" s="1"/>
      <c r="I261" s="1"/>
      <c r="J261" s="1"/>
      <c r="K261" s="1"/>
      <c r="L261" s="5"/>
      <c r="M261" s="146">
        <f>'[1]Rates'!$O$14</f>
        <v>416</v>
      </c>
      <c r="N261" s="84">
        <f>'[1]Rates'!$M$14</f>
        <v>244</v>
      </c>
      <c r="P261" s="146">
        <f>'[1]Rates'!$O$14</f>
        <v>416</v>
      </c>
    </row>
    <row r="262" spans="1:16" ht="12.75">
      <c r="A262" s="61"/>
      <c r="B262" s="51"/>
      <c r="C262" s="61"/>
      <c r="D262" s="75"/>
      <c r="E262" s="56">
        <f>SUM(E255:E261)</f>
        <v>12</v>
      </c>
      <c r="F262" s="55"/>
      <c r="G262" s="56">
        <f>SUM(G255:G261)</f>
        <v>660</v>
      </c>
      <c r="H262" s="41"/>
      <c r="I262" s="56">
        <f>SUM(I255:I261)</f>
        <v>12</v>
      </c>
      <c r="J262" s="55"/>
      <c r="K262" s="56">
        <f>SUM(K255:K261)</f>
        <v>660</v>
      </c>
      <c r="L262" s="5"/>
      <c r="M262" s="172"/>
      <c r="N262" s="172"/>
      <c r="P262" s="172"/>
    </row>
    <row r="263" spans="1:16" ht="12.75">
      <c r="A263" s="61"/>
      <c r="B263" s="51"/>
      <c r="C263" s="61"/>
      <c r="D263" s="75"/>
      <c r="E263" s="38"/>
      <c r="F263" s="144"/>
      <c r="G263" s="66"/>
      <c r="H263" s="5"/>
      <c r="I263" s="66"/>
      <c r="J263" s="144"/>
      <c r="K263" s="66"/>
      <c r="L263" s="5"/>
      <c r="M263" s="144"/>
      <c r="N263" s="144"/>
      <c r="P263" s="144"/>
    </row>
    <row r="264" spans="1:16" ht="12.75">
      <c r="A264" s="108" t="s">
        <v>53</v>
      </c>
      <c r="B264" s="35"/>
      <c r="E264" s="56"/>
      <c r="F264" s="55"/>
      <c r="G264" s="56">
        <f>G253+G262</f>
        <v>7460.039999999999</v>
      </c>
      <c r="H264" s="41"/>
      <c r="I264" s="56"/>
      <c r="J264" s="55"/>
      <c r="K264" s="56">
        <f>K253+K262</f>
        <v>7460</v>
      </c>
      <c r="L264" s="5"/>
      <c r="M264" s="88"/>
      <c r="N264" s="88"/>
      <c r="P264" s="88"/>
    </row>
    <row r="265" spans="1:16" ht="13.5" thickBot="1">
      <c r="A265" s="5"/>
      <c r="B265" s="5"/>
      <c r="C265" s="5"/>
      <c r="D265" s="28"/>
      <c r="E265" s="106"/>
      <c r="F265" s="105"/>
      <c r="G265" s="111"/>
      <c r="H265" s="5"/>
      <c r="I265" s="106"/>
      <c r="J265" s="105"/>
      <c r="K265" s="111"/>
      <c r="L265" s="5"/>
      <c r="M265" s="105"/>
      <c r="N265" s="105"/>
      <c r="P265" s="105"/>
    </row>
    <row r="266" spans="1:16" ht="13.5" thickTop="1">
      <c r="A266" s="5"/>
      <c r="B266" s="5"/>
      <c r="C266" s="5"/>
      <c r="D266" s="28"/>
      <c r="E266" s="4"/>
      <c r="F266" s="4"/>
      <c r="G266" s="113"/>
      <c r="H266" s="5"/>
      <c r="I266" s="4"/>
      <c r="J266" s="4"/>
      <c r="K266" s="113"/>
      <c r="L266" s="5"/>
      <c r="M266" s="4"/>
      <c r="N266" s="4"/>
      <c r="P266" s="4"/>
    </row>
    <row r="267" spans="1:16" ht="12.75">
      <c r="A267" s="147" t="s">
        <v>127</v>
      </c>
      <c r="B267" s="5"/>
      <c r="C267" s="5"/>
      <c r="D267" s="28"/>
      <c r="E267" s="91"/>
      <c r="F267" s="5"/>
      <c r="G267" s="115">
        <f>G247+G264</f>
        <v>22530.04</v>
      </c>
      <c r="H267" s="91"/>
      <c r="I267" s="91"/>
      <c r="J267" s="112">
        <f>K267-G267</f>
        <v>-0.040000000000873115</v>
      </c>
      <c r="K267" s="115">
        <f>K247+K264</f>
        <v>22530</v>
      </c>
      <c r="L267" s="5"/>
      <c r="M267" s="5"/>
      <c r="N267" s="5"/>
      <c r="P267" s="5"/>
    </row>
    <row r="268" spans="1:16" ht="13.5" thickBot="1">
      <c r="A268" s="15"/>
      <c r="B268" s="15"/>
      <c r="C268" s="15"/>
      <c r="D268" s="133"/>
      <c r="E268" s="107"/>
      <c r="F268" s="15"/>
      <c r="G268" s="107"/>
      <c r="H268" s="91"/>
      <c r="I268" s="107"/>
      <c r="J268" s="47">
        <f>J267/G267</f>
        <v>-1.7754074116545338E-06</v>
      </c>
      <c r="K268" s="107"/>
      <c r="L268" s="5"/>
      <c r="M268" s="15"/>
      <c r="N268" s="15"/>
      <c r="P268" s="15"/>
    </row>
    <row r="269" spans="1:16" ht="12.75">
      <c r="A269" s="117"/>
      <c r="B269" s="2"/>
      <c r="C269" s="2"/>
      <c r="D269" s="3"/>
      <c r="E269" s="4"/>
      <c r="F269" s="4"/>
      <c r="G269" s="4"/>
      <c r="H269" s="5"/>
      <c r="I269" s="168"/>
      <c r="J269" s="4"/>
      <c r="K269" s="4"/>
      <c r="L269" s="5"/>
      <c r="M269" s="4"/>
      <c r="N269" s="4"/>
      <c r="P269" s="4"/>
    </row>
    <row r="270" spans="1:16" ht="12.75">
      <c r="A270" s="4"/>
      <c r="B270" s="4"/>
      <c r="C270" s="4"/>
      <c r="D270" s="22"/>
      <c r="E270" s="4"/>
      <c r="F270" s="4"/>
      <c r="G270" s="66"/>
      <c r="H270" s="5"/>
      <c r="I270" s="6"/>
      <c r="J270" s="275" t="s">
        <v>0</v>
      </c>
      <c r="K270" s="275"/>
      <c r="L270" s="275"/>
      <c r="M270" s="4"/>
      <c r="N270" s="4"/>
      <c r="P270" s="4"/>
    </row>
    <row r="271" spans="1:16" ht="12.75">
      <c r="A271" s="117" t="str">
        <f>A$2</f>
        <v>Proof of Revenue</v>
      </c>
      <c r="B271" s="4"/>
      <c r="C271" s="4"/>
      <c r="D271" s="22"/>
      <c r="E271" s="4"/>
      <c r="F271" s="4"/>
      <c r="G271" s="66"/>
      <c r="H271" s="5"/>
      <c r="I271" s="273" t="str">
        <f>$I$2</f>
        <v>DPU Exhibit 7.1SR</v>
      </c>
      <c r="J271" s="273"/>
      <c r="K271" s="273"/>
      <c r="L271" s="7"/>
      <c r="M271" s="4"/>
      <c r="N271" s="4"/>
      <c r="P271" s="4"/>
    </row>
    <row r="272" spans="1:16" ht="12.75">
      <c r="A272" s="4"/>
      <c r="B272" s="4"/>
      <c r="C272" s="4"/>
      <c r="D272" s="22"/>
      <c r="E272" s="4"/>
      <c r="F272" s="4"/>
      <c r="G272" s="66"/>
      <c r="H272" s="5"/>
      <c r="I272" s="118"/>
      <c r="J272" s="118"/>
      <c r="K272" s="118" t="s">
        <v>128</v>
      </c>
      <c r="L272" s="7"/>
      <c r="M272" s="4"/>
      <c r="N272" s="4"/>
      <c r="P272" s="4"/>
    </row>
    <row r="273" spans="1:16" ht="13.5" thickBot="1">
      <c r="A273" s="4"/>
      <c r="B273" s="4"/>
      <c r="C273" s="4"/>
      <c r="D273" s="22"/>
      <c r="E273" s="4"/>
      <c r="F273" s="4"/>
      <c r="G273" s="66"/>
      <c r="H273" s="5"/>
      <c r="I273" s="118"/>
      <c r="J273" s="118"/>
      <c r="K273" s="118"/>
      <c r="L273" s="136"/>
      <c r="M273" s="4"/>
      <c r="N273" s="4"/>
      <c r="P273" s="4"/>
    </row>
    <row r="274" spans="1:22" ht="12.75">
      <c r="A274" s="27" t="s">
        <v>129</v>
      </c>
      <c r="B274" s="5"/>
      <c r="C274" s="5"/>
      <c r="D274" s="28"/>
      <c r="E274" s="9" t="s">
        <v>9</v>
      </c>
      <c r="F274" s="9"/>
      <c r="G274" s="9"/>
      <c r="H274" s="5"/>
      <c r="I274" s="274" t="s">
        <v>10</v>
      </c>
      <c r="J274" s="272"/>
      <c r="K274" s="272"/>
      <c r="L274" s="1"/>
      <c r="M274" s="137" t="s">
        <v>12</v>
      </c>
      <c r="N274" s="9" t="s">
        <v>12</v>
      </c>
      <c r="P274" s="137" t="s">
        <v>11</v>
      </c>
      <c r="S274" s="264" t="s">
        <v>105</v>
      </c>
      <c r="T274" s="265"/>
      <c r="U274" s="169"/>
      <c r="V274" s="11"/>
    </row>
    <row r="275" spans="1:22" ht="13.5" thickBot="1">
      <c r="A275" s="30" t="s">
        <v>17</v>
      </c>
      <c r="B275" s="17"/>
      <c r="C275" s="17"/>
      <c r="D275" s="31" t="s">
        <v>14</v>
      </c>
      <c r="E275" s="19" t="s">
        <v>14</v>
      </c>
      <c r="F275" s="19" t="s">
        <v>18</v>
      </c>
      <c r="G275" s="32" t="s">
        <v>19</v>
      </c>
      <c r="H275" s="5"/>
      <c r="I275" s="19" t="s">
        <v>14</v>
      </c>
      <c r="J275" s="19" t="s">
        <v>20</v>
      </c>
      <c r="K275" s="32" t="s">
        <v>19</v>
      </c>
      <c r="L275" s="5"/>
      <c r="M275" s="138" t="s">
        <v>21</v>
      </c>
      <c r="N275" s="32" t="s">
        <v>21</v>
      </c>
      <c r="P275" s="138" t="s">
        <v>21</v>
      </c>
      <c r="S275" s="259" t="s">
        <v>106</v>
      </c>
      <c r="T275" s="261"/>
      <c r="U275" s="100"/>
      <c r="V275" s="21"/>
    </row>
    <row r="276" spans="1:22" ht="12.75">
      <c r="A276" s="36" t="s">
        <v>86</v>
      </c>
      <c r="B276" s="35"/>
      <c r="C276" s="35" t="str">
        <f>'[1]Rates'!G289</f>
        <v>All Over</v>
      </c>
      <c r="D276" s="49">
        <f>'[1]Rates'!H289</f>
        <v>0</v>
      </c>
      <c r="E276" s="38">
        <f>DSUM(billfactors,'[1]Bill Factor Input'!T$2,UT_MT)</f>
        <v>21216</v>
      </c>
      <c r="F276" s="39">
        <f>N276</f>
        <v>0.29777</v>
      </c>
      <c r="G276" s="38">
        <f>ROUND(E276*F276,0)</f>
        <v>6317</v>
      </c>
      <c r="H276" s="41"/>
      <c r="I276" s="38">
        <f>E276</f>
        <v>21216</v>
      </c>
      <c r="J276" s="39">
        <v>0.46272</v>
      </c>
      <c r="K276" s="38">
        <f>ROUND(I276*J276,0)</f>
        <v>9817</v>
      </c>
      <c r="L276" s="5"/>
      <c r="M276" s="139">
        <v>0.38927</v>
      </c>
      <c r="N276" s="39">
        <f>'[1]Rates'!$M$289</f>
        <v>0.29777</v>
      </c>
      <c r="P276" s="139">
        <f>ROUND($J$276+$S$290,5)</f>
        <v>0.52146</v>
      </c>
      <c r="S276" s="259" t="s">
        <v>130</v>
      </c>
      <c r="T276" s="261"/>
      <c r="U276" s="100"/>
      <c r="V276" s="21"/>
    </row>
    <row r="277" spans="1:22" ht="12.75">
      <c r="A277" s="53" t="s">
        <v>28</v>
      </c>
      <c r="C277" s="35"/>
      <c r="D277" s="49"/>
      <c r="E277" s="54">
        <f>SUM(E276:E276)</f>
        <v>21216</v>
      </c>
      <c r="F277" s="55"/>
      <c r="G277" s="56">
        <f>SUM(G276:G276)</f>
        <v>6317</v>
      </c>
      <c r="H277" s="41"/>
      <c r="I277" s="56">
        <f>SUM(I276:I276)</f>
        <v>21216</v>
      </c>
      <c r="J277" s="55"/>
      <c r="K277" s="56">
        <f>SUM(K276:K276)</f>
        <v>9817</v>
      </c>
      <c r="L277" s="5"/>
      <c r="M277" s="140"/>
      <c r="N277" s="55"/>
      <c r="P277" s="58">
        <f>($K277-$G277)/$G277</f>
        <v>0.554060471742916</v>
      </c>
      <c r="S277" s="259" t="s">
        <v>108</v>
      </c>
      <c r="T277" s="261"/>
      <c r="U277" s="100"/>
      <c r="V277" s="21"/>
    </row>
    <row r="278" spans="1:22" ht="12.75">
      <c r="A278" s="61"/>
      <c r="B278" s="62"/>
      <c r="C278" s="62"/>
      <c r="D278" s="63"/>
      <c r="E278" s="64"/>
      <c r="F278" s="65"/>
      <c r="G278" s="66"/>
      <c r="H278" s="41"/>
      <c r="I278" s="64"/>
      <c r="J278" s="65"/>
      <c r="K278" s="66"/>
      <c r="L278" s="5"/>
      <c r="M278" s="141"/>
      <c r="N278" s="65"/>
      <c r="P278" s="141"/>
      <c r="S278" s="270" t="s">
        <v>109</v>
      </c>
      <c r="T278" s="271"/>
      <c r="U278" s="100"/>
      <c r="V278" s="21"/>
    </row>
    <row r="279" spans="1:22" ht="12.75">
      <c r="A279" s="61"/>
      <c r="B279" s="62"/>
      <c r="C279" s="62"/>
      <c r="D279" s="63"/>
      <c r="E279" s="161" t="s">
        <v>94</v>
      </c>
      <c r="F279" s="65"/>
      <c r="G279" s="66"/>
      <c r="H279" s="41"/>
      <c r="I279" s="161" t="s">
        <v>94</v>
      </c>
      <c r="J279" s="65"/>
      <c r="K279" s="66"/>
      <c r="L279" s="5"/>
      <c r="M279" s="141"/>
      <c r="N279" s="65"/>
      <c r="P279" s="141"/>
      <c r="S279" s="20"/>
      <c r="T279" s="100"/>
      <c r="U279" s="100"/>
      <c r="V279" s="21"/>
    </row>
    <row r="280" spans="1:22" ht="13.5" thickBot="1">
      <c r="A280" s="69" t="s">
        <v>30</v>
      </c>
      <c r="B280" s="70"/>
      <c r="C280" s="70"/>
      <c r="D280" s="71"/>
      <c r="E280" s="19" t="s">
        <v>31</v>
      </c>
      <c r="F280" s="19" t="s">
        <v>18</v>
      </c>
      <c r="G280" s="32" t="s">
        <v>19</v>
      </c>
      <c r="H280" s="5"/>
      <c r="I280" s="19" t="s">
        <v>31</v>
      </c>
      <c r="J280" s="19" t="s">
        <v>20</v>
      </c>
      <c r="K280" s="32" t="s">
        <v>19</v>
      </c>
      <c r="L280" s="5"/>
      <c r="M280" s="142"/>
      <c r="N280" s="32"/>
      <c r="P280" s="142"/>
      <c r="S280" s="259" t="s">
        <v>111</v>
      </c>
      <c r="T280" s="260"/>
      <c r="U280" s="100"/>
      <c r="V280" s="21"/>
    </row>
    <row r="281" spans="1:22" ht="12.75">
      <c r="A281" s="74" t="s">
        <v>113</v>
      </c>
      <c r="B281" s="61"/>
      <c r="C281" s="35" t="s">
        <v>114</v>
      </c>
      <c r="D281" s="75"/>
      <c r="E281" s="38">
        <f>DSUM(billfactors,'[1]Bill Factor Input'!Z$2,UT_MT)</f>
        <v>12</v>
      </c>
      <c r="F281" s="166">
        <f>N281</f>
        <v>666.67</v>
      </c>
      <c r="G281" s="38">
        <f>E281*F281</f>
        <v>8000.039999999999</v>
      </c>
      <c r="H281" s="5"/>
      <c r="I281" s="66">
        <f>E281</f>
        <v>12</v>
      </c>
      <c r="J281" s="84">
        <f>M281</f>
        <v>375</v>
      </c>
      <c r="K281" s="38">
        <f>I281*J281</f>
        <v>4500</v>
      </c>
      <c r="L281" s="5"/>
      <c r="M281" s="170">
        <v>375</v>
      </c>
      <c r="N281" s="84">
        <f>'[1]Rates'!$M$29</f>
        <v>666.67</v>
      </c>
      <c r="P281" s="170">
        <f>'[1]Rates'!$O$29</f>
        <v>375</v>
      </c>
      <c r="S281" s="257">
        <f>'[1]COS Summary'!G102</f>
        <v>0.08183558410477158</v>
      </c>
      <c r="T281" s="258"/>
      <c r="U281" s="100"/>
      <c r="V281" s="21"/>
    </row>
    <row r="282" spans="1:22" ht="12.75">
      <c r="A282" s="136"/>
      <c r="B282" s="61"/>
      <c r="C282" s="35" t="s">
        <v>115</v>
      </c>
      <c r="D282" s="75"/>
      <c r="E282" s="38">
        <f>DSUM(billfactors,'[1]Bill Factor Input'!AA$2,UT_MT)</f>
        <v>0</v>
      </c>
      <c r="F282" s="166">
        <f>N282</f>
        <v>250</v>
      </c>
      <c r="G282" s="66">
        <f>E282*F282</f>
        <v>0</v>
      </c>
      <c r="H282" s="5"/>
      <c r="I282" s="66">
        <f>E282</f>
        <v>0</v>
      </c>
      <c r="J282" s="84">
        <f>M282</f>
        <v>187.5</v>
      </c>
      <c r="K282" s="38">
        <f>I282*J282</f>
        <v>0</v>
      </c>
      <c r="L282" s="5"/>
      <c r="M282" s="170">
        <v>187.5</v>
      </c>
      <c r="N282" s="84">
        <f>'[1]Rates'!$M$30</f>
        <v>250</v>
      </c>
      <c r="P282" s="170">
        <f>'[1]Rates'!$O$30</f>
        <v>187.5</v>
      </c>
      <c r="S282" s="20"/>
      <c r="T282" s="100"/>
      <c r="U282" s="100"/>
      <c r="V282" s="21"/>
    </row>
    <row r="283" spans="1:22" ht="12.75">
      <c r="A283" s="136"/>
      <c r="B283" s="61"/>
      <c r="C283" s="35"/>
      <c r="D283" s="75"/>
      <c r="E283" s="56">
        <f>SUM(E281:E282)</f>
        <v>12</v>
      </c>
      <c r="F283" s="55"/>
      <c r="G283" s="56">
        <f>SUM(G281:G282)</f>
        <v>8000.039999999999</v>
      </c>
      <c r="H283" s="41"/>
      <c r="I283" s="56">
        <f>SUM(I281:I282)</f>
        <v>12</v>
      </c>
      <c r="J283" s="55"/>
      <c r="K283" s="56">
        <f>SUM(K281:K282)</f>
        <v>4500</v>
      </c>
      <c r="L283" s="5"/>
      <c r="M283" s="171"/>
      <c r="N283" s="172"/>
      <c r="P283" s="58">
        <f>($K283-$G283)/$G283</f>
        <v>-0.43750281248593753</v>
      </c>
      <c r="S283" s="259" t="s">
        <v>112</v>
      </c>
      <c r="T283" s="260"/>
      <c r="U283" s="100"/>
      <c r="V283" s="21"/>
    </row>
    <row r="284" spans="1:22" ht="12.75">
      <c r="A284" s="136"/>
      <c r="B284" s="61"/>
      <c r="C284" s="61"/>
      <c r="D284" s="75"/>
      <c r="E284" s="173"/>
      <c r="F284" s="174"/>
      <c r="G284" s="174"/>
      <c r="H284" s="5"/>
      <c r="I284" s="173"/>
      <c r="J284" s="174"/>
      <c r="K284" s="174"/>
      <c r="L284" s="5"/>
      <c r="M284" s="175"/>
      <c r="N284" s="174"/>
      <c r="P284" s="175"/>
      <c r="S284" s="257">
        <f>P297</f>
        <v>-2.6265608337133615E-06</v>
      </c>
      <c r="T284" s="258"/>
      <c r="U284" s="100"/>
      <c r="V284" s="21"/>
    </row>
    <row r="285" spans="1:22" ht="12.75">
      <c r="A285" s="74" t="s">
        <v>33</v>
      </c>
      <c r="B285" s="36" t="s">
        <v>4</v>
      </c>
      <c r="C285" s="61"/>
      <c r="D285" s="75"/>
      <c r="E285" s="38" t="s">
        <v>4</v>
      </c>
      <c r="F285" s="84" t="s">
        <v>4</v>
      </c>
      <c r="G285" s="66" t="s">
        <v>4</v>
      </c>
      <c r="H285" s="5"/>
      <c r="I285" s="66" t="s">
        <v>4</v>
      </c>
      <c r="J285" s="84" t="s">
        <v>4</v>
      </c>
      <c r="K285" s="66" t="s">
        <v>4</v>
      </c>
      <c r="L285" s="5"/>
      <c r="M285" s="146">
        <v>6</v>
      </c>
      <c r="N285" s="84">
        <f>'[1]Rates'!$M$8</f>
        <v>5</v>
      </c>
      <c r="P285" s="146">
        <f>'[1]Rates'!$O$8</f>
        <v>5</v>
      </c>
      <c r="S285" s="20"/>
      <c r="T285" s="100"/>
      <c r="U285" s="100"/>
      <c r="V285" s="21"/>
    </row>
    <row r="286" spans="1:22" ht="12.75">
      <c r="A286" s="74"/>
      <c r="B286" s="35" t="s">
        <v>42</v>
      </c>
      <c r="C286" s="61"/>
      <c r="D286" s="75"/>
      <c r="E286" s="38">
        <f>DSUM(billfactors,'[1]Bill Factor Input'!K$2,UT_MT)</f>
        <v>0</v>
      </c>
      <c r="F286" s="84">
        <f>N286</f>
        <v>5</v>
      </c>
      <c r="G286" s="66">
        <f>E286*F286</f>
        <v>0</v>
      </c>
      <c r="H286" s="5"/>
      <c r="I286" s="66">
        <f aca="true" t="shared" si="5" ref="I286:J289">E286</f>
        <v>0</v>
      </c>
      <c r="J286" s="84">
        <f t="shared" si="5"/>
        <v>5</v>
      </c>
      <c r="K286" s="66">
        <f>I286*J286</f>
        <v>0</v>
      </c>
      <c r="L286" s="5"/>
      <c r="M286" s="146">
        <v>8</v>
      </c>
      <c r="N286" s="84">
        <f>'[1]Rates'!$M$9</f>
        <v>5</v>
      </c>
      <c r="P286" s="146">
        <f>'[1]Rates'!$O$9</f>
        <v>6</v>
      </c>
      <c r="S286" s="259" t="s">
        <v>131</v>
      </c>
      <c r="T286" s="260"/>
      <c r="U286" s="100"/>
      <c r="V286" s="21"/>
    </row>
    <row r="287" spans="1:22" ht="12.75">
      <c r="A287" s="61"/>
      <c r="B287" s="35" t="s">
        <v>43</v>
      </c>
      <c r="C287" s="61"/>
      <c r="D287" s="75"/>
      <c r="E287" s="38">
        <f>DSUM(billfactorscurrent,'[9]Bill Factor Input'!L$2,UT_MT)</f>
        <v>12</v>
      </c>
      <c r="F287" s="84">
        <f>N287</f>
        <v>21</v>
      </c>
      <c r="G287" s="66">
        <f>E287*F287</f>
        <v>252</v>
      </c>
      <c r="H287" s="5"/>
      <c r="I287" s="66">
        <f t="shared" si="5"/>
        <v>12</v>
      </c>
      <c r="J287" s="84">
        <f t="shared" si="5"/>
        <v>21</v>
      </c>
      <c r="K287" s="66">
        <f>I287*J287</f>
        <v>252</v>
      </c>
      <c r="L287" s="5"/>
      <c r="M287" s="146">
        <v>36</v>
      </c>
      <c r="N287" s="84">
        <f>'[1]Rates'!$M$10</f>
        <v>21</v>
      </c>
      <c r="P287" s="146">
        <f>'[1]Rates'!$O$10</f>
        <v>36</v>
      </c>
      <c r="S287" s="262">
        <f>(G297*(1+S281))-K297</f>
        <v>1246.3173837549293</v>
      </c>
      <c r="T287" s="263"/>
      <c r="U287" s="100"/>
      <c r="V287" s="21"/>
    </row>
    <row r="288" spans="1:24" ht="12.75">
      <c r="A288" s="61"/>
      <c r="B288" s="35" t="s">
        <v>44</v>
      </c>
      <c r="C288" s="61"/>
      <c r="D288" s="75"/>
      <c r="E288" s="38">
        <f>DSUM(billfactorscurrent,'[9]Bill Factor Input'!M$2,UT_MT)</f>
        <v>12</v>
      </c>
      <c r="F288" s="84">
        <f>N288</f>
        <v>55</v>
      </c>
      <c r="G288" s="66">
        <f>E288*F288</f>
        <v>660</v>
      </c>
      <c r="H288" s="5"/>
      <c r="I288" s="66">
        <f t="shared" si="5"/>
        <v>12</v>
      </c>
      <c r="J288" s="84">
        <f t="shared" si="5"/>
        <v>55</v>
      </c>
      <c r="K288" s="66">
        <f>I288*J288</f>
        <v>660</v>
      </c>
      <c r="L288" s="5"/>
      <c r="M288" s="146">
        <v>135</v>
      </c>
      <c r="N288" s="84">
        <f>'[1]Rates'!$M$11</f>
        <v>55</v>
      </c>
      <c r="P288" s="146">
        <f>'[1]Rates'!$O$11</f>
        <v>135</v>
      </c>
      <c r="S288" s="20"/>
      <c r="T288" s="100"/>
      <c r="U288" s="100"/>
      <c r="V288" s="21"/>
      <c r="W288" s="8" t="s">
        <v>37</v>
      </c>
      <c r="X288" s="91">
        <v>15229</v>
      </c>
    </row>
    <row r="289" spans="1:24" ht="12.75">
      <c r="A289" s="61"/>
      <c r="B289" s="35" t="s">
        <v>45</v>
      </c>
      <c r="C289" s="61"/>
      <c r="D289" s="75"/>
      <c r="E289" s="38">
        <f>DSUM(billfactors,'[1]Bill Factor Input'!N$2,UT_MT)</f>
        <v>0</v>
      </c>
      <c r="F289" s="84">
        <f>N289</f>
        <v>244</v>
      </c>
      <c r="G289" s="66">
        <f>E289*F289</f>
        <v>0</v>
      </c>
      <c r="H289" s="5"/>
      <c r="I289" s="66">
        <f t="shared" si="5"/>
        <v>0</v>
      </c>
      <c r="J289" s="84">
        <f t="shared" si="5"/>
        <v>244</v>
      </c>
      <c r="K289" s="66">
        <f>I289*J289</f>
        <v>0</v>
      </c>
      <c r="L289" s="5"/>
      <c r="M289" s="146">
        <v>416</v>
      </c>
      <c r="N289" s="84">
        <f>'[1]Rates'!$M$12</f>
        <v>244</v>
      </c>
      <c r="P289" s="146">
        <f>'[1]Rates'!$O$12</f>
        <v>416</v>
      </c>
      <c r="S289" s="259" t="s">
        <v>117</v>
      </c>
      <c r="T289" s="260"/>
      <c r="U289" s="100"/>
      <c r="V289" s="21"/>
      <c r="X289" s="25">
        <f>-K294</f>
        <v>-5412</v>
      </c>
    </row>
    <row r="290" spans="1:24" ht="12.75">
      <c r="A290" s="61"/>
      <c r="B290" s="36" t="s">
        <v>4</v>
      </c>
      <c r="D290" s="1"/>
      <c r="H290" s="1"/>
      <c r="I290" s="1"/>
      <c r="J290" s="1"/>
      <c r="K290" s="1"/>
      <c r="L290" s="5"/>
      <c r="M290" s="146">
        <v>135</v>
      </c>
      <c r="N290" s="84">
        <f>'[1]Rates'!$M$13</f>
        <v>55</v>
      </c>
      <c r="P290" s="146">
        <f>'[1]Rates'!$O$13</f>
        <v>135</v>
      </c>
      <c r="S290" s="255">
        <f>S287/I277</f>
        <v>0.058744220576684075</v>
      </c>
      <c r="T290" s="256"/>
      <c r="U290" s="100"/>
      <c r="V290" s="21"/>
      <c r="X290" s="25">
        <f>X288+X289</f>
        <v>9817</v>
      </c>
    </row>
    <row r="291" spans="1:24" ht="12.75">
      <c r="A291" s="61"/>
      <c r="D291" s="1"/>
      <c r="H291" s="1"/>
      <c r="I291" s="1"/>
      <c r="J291" s="1"/>
      <c r="K291" s="1"/>
      <c r="L291" s="5"/>
      <c r="M291" s="146">
        <v>416</v>
      </c>
      <c r="N291" s="84">
        <f>'[1]Rates'!$M$14</f>
        <v>244</v>
      </c>
      <c r="P291" s="146">
        <f>'[1]Rates'!$O$14</f>
        <v>416</v>
      </c>
      <c r="S291" s="20"/>
      <c r="T291" s="100"/>
      <c r="U291" s="100"/>
      <c r="V291" s="21"/>
      <c r="X291" s="25">
        <f>I277</f>
        <v>21216</v>
      </c>
    </row>
    <row r="292" spans="1:24" ht="12.75">
      <c r="A292" s="61"/>
      <c r="B292" s="51"/>
      <c r="C292" s="61"/>
      <c r="D292" s="75"/>
      <c r="E292" s="56">
        <f>SUM(E285:E291)</f>
        <v>24</v>
      </c>
      <c r="F292" s="55"/>
      <c r="G292" s="56">
        <f>SUM(G285:G291)</f>
        <v>912</v>
      </c>
      <c r="H292" s="41"/>
      <c r="I292" s="56">
        <f>SUM(I285:I291)</f>
        <v>24</v>
      </c>
      <c r="J292" s="55"/>
      <c r="K292" s="56">
        <f>SUM(K285:K291)</f>
        <v>912</v>
      </c>
      <c r="L292" s="5"/>
      <c r="M292" s="172"/>
      <c r="N292" s="172"/>
      <c r="P292" s="58">
        <f>($K292-$G292)/$G292</f>
        <v>0</v>
      </c>
      <c r="S292" s="20"/>
      <c r="T292" s="100"/>
      <c r="U292" s="100"/>
      <c r="V292" s="21"/>
      <c r="X292" s="8">
        <f>X290/X291</f>
        <v>0.4627168174962293</v>
      </c>
    </row>
    <row r="293" spans="1:22" ht="12.75">
      <c r="A293" s="61"/>
      <c r="B293" s="51"/>
      <c r="C293" s="61"/>
      <c r="D293" s="75"/>
      <c r="E293" s="38"/>
      <c r="F293" s="144"/>
      <c r="G293" s="66"/>
      <c r="H293" s="5"/>
      <c r="I293" s="66"/>
      <c r="J293" s="144"/>
      <c r="K293" s="66"/>
      <c r="L293" s="5"/>
      <c r="M293" s="144"/>
      <c r="N293" s="144"/>
      <c r="P293" s="144"/>
      <c r="S293" s="20"/>
      <c r="T293" s="100"/>
      <c r="U293" s="100"/>
      <c r="V293" s="21"/>
    </row>
    <row r="294" spans="1:22" ht="13.5" thickBot="1">
      <c r="A294" s="108" t="s">
        <v>53</v>
      </c>
      <c r="B294" s="35"/>
      <c r="E294" s="56"/>
      <c r="F294" s="55"/>
      <c r="G294" s="56">
        <f>G283+G292</f>
        <v>8912.039999999999</v>
      </c>
      <c r="H294" s="41"/>
      <c r="I294" s="56"/>
      <c r="J294" s="55"/>
      <c r="K294" s="56">
        <f>K283+K292</f>
        <v>5412</v>
      </c>
      <c r="L294" s="5"/>
      <c r="M294" s="88"/>
      <c r="N294" s="88"/>
      <c r="P294" s="88"/>
      <c r="S294" s="59"/>
      <c r="T294" s="176"/>
      <c r="U294" s="176"/>
      <c r="V294" s="60"/>
    </row>
    <row r="295" spans="1:16" ht="13.5" thickBot="1">
      <c r="A295" s="5"/>
      <c r="B295" s="5"/>
      <c r="C295" s="5"/>
      <c r="D295" s="28"/>
      <c r="E295" s="106"/>
      <c r="F295" s="105"/>
      <c r="G295" s="111"/>
      <c r="H295" s="5"/>
      <c r="I295" s="106"/>
      <c r="J295" s="105"/>
      <c r="K295" s="111"/>
      <c r="L295" s="5"/>
      <c r="M295" s="105"/>
      <c r="N295" s="105"/>
      <c r="P295" s="105"/>
    </row>
    <row r="296" spans="1:16" ht="13.5" thickTop="1">
      <c r="A296" s="5"/>
      <c r="B296" s="5"/>
      <c r="C296" s="5"/>
      <c r="D296" s="28"/>
      <c r="E296" s="4"/>
      <c r="F296" s="4"/>
      <c r="G296" s="113"/>
      <c r="H296" s="5"/>
      <c r="I296" s="183" t="s">
        <v>60</v>
      </c>
      <c r="J296" s="116">
        <f>J297/G297</f>
        <v>-2.6265608337133615E-06</v>
      </c>
      <c r="K296" s="113"/>
      <c r="L296" s="5"/>
      <c r="M296" s="4"/>
      <c r="N296" s="4"/>
      <c r="P296" s="4"/>
    </row>
    <row r="297" spans="1:16" ht="13.5" thickBot="1">
      <c r="A297" s="147" t="s">
        <v>132</v>
      </c>
      <c r="B297" s="5"/>
      <c r="C297" s="5"/>
      <c r="D297" s="28"/>
      <c r="E297" s="91"/>
      <c r="F297" s="5"/>
      <c r="G297" s="115">
        <f>G277+G294</f>
        <v>15229.039999999999</v>
      </c>
      <c r="H297" s="91"/>
      <c r="I297" s="164" t="s">
        <v>58</v>
      </c>
      <c r="J297" s="184">
        <f>K297-G297</f>
        <v>-0.039999999999054126</v>
      </c>
      <c r="K297" s="91">
        <f>K277+K294</f>
        <v>15229</v>
      </c>
      <c r="L297" s="5"/>
      <c r="M297" s="5"/>
      <c r="N297" s="5"/>
      <c r="P297" s="116">
        <f>($K297-$G297)/$G297</f>
        <v>-2.6265608337133615E-06</v>
      </c>
    </row>
    <row r="298" spans="1:23" ht="13.5" thickBot="1">
      <c r="A298" s="15"/>
      <c r="B298" s="15"/>
      <c r="C298" s="15"/>
      <c r="D298" s="133"/>
      <c r="E298" s="107"/>
      <c r="F298" s="15"/>
      <c r="G298" s="107"/>
      <c r="H298" s="91"/>
      <c r="I298" s="164" t="s">
        <v>4</v>
      </c>
      <c r="J298" s="184" t="s">
        <v>4</v>
      </c>
      <c r="K298" s="107"/>
      <c r="L298" s="5"/>
      <c r="M298" s="15"/>
      <c r="N298" s="15"/>
      <c r="P298" s="15"/>
      <c r="V298" s="185" t="s">
        <v>133</v>
      </c>
      <c r="W298" s="185"/>
    </row>
    <row r="299" spans="1:23" ht="13.5" thickBot="1">
      <c r="A299" s="117"/>
      <c r="B299" s="2"/>
      <c r="C299" s="2"/>
      <c r="D299" s="3"/>
      <c r="E299" s="4"/>
      <c r="F299" s="4"/>
      <c r="G299" s="4"/>
      <c r="H299" s="5"/>
      <c r="I299" s="168"/>
      <c r="J299" s="4"/>
      <c r="K299" s="4"/>
      <c r="L299" s="5"/>
      <c r="M299" s="4"/>
      <c r="N299" s="4"/>
      <c r="P299" s="4"/>
      <c r="V299" s="186" t="s">
        <v>134</v>
      </c>
      <c r="W299" s="186" t="s">
        <v>134</v>
      </c>
    </row>
    <row r="300" spans="1:23" ht="12.75">
      <c r="A300" s="4"/>
      <c r="B300" s="4"/>
      <c r="C300" s="4"/>
      <c r="D300" s="22"/>
      <c r="E300" s="4"/>
      <c r="F300" s="4"/>
      <c r="G300" s="66"/>
      <c r="H300" s="5"/>
      <c r="I300" s="6"/>
      <c r="J300" s="275" t="s">
        <v>0</v>
      </c>
      <c r="K300" s="275"/>
      <c r="L300" s="275"/>
      <c r="M300" s="4"/>
      <c r="N300" s="4"/>
      <c r="P300" s="4"/>
      <c r="V300" s="42" t="e">
        <f>$J$306+#REF!</f>
        <v>#REF!</v>
      </c>
      <c r="W300" s="42" t="e">
        <f>ROUND($J$306+#REF!,5)</f>
        <v>#REF!</v>
      </c>
    </row>
    <row r="301" spans="1:23" ht="12.75">
      <c r="A301" s="117" t="str">
        <f>A$2</f>
        <v>Proof of Revenue</v>
      </c>
      <c r="B301" s="4"/>
      <c r="C301" s="4"/>
      <c r="D301" s="22"/>
      <c r="E301" s="4"/>
      <c r="F301" s="4"/>
      <c r="G301" s="66"/>
      <c r="H301" s="5"/>
      <c r="I301" s="273" t="str">
        <f>$I$2</f>
        <v>DPU Exhibit 7.1SR</v>
      </c>
      <c r="J301" s="273"/>
      <c r="K301" s="273"/>
      <c r="L301" s="7"/>
      <c r="M301" s="4"/>
      <c r="N301" s="4"/>
      <c r="P301" s="4"/>
      <c r="V301" s="42"/>
      <c r="W301" s="42"/>
    </row>
    <row r="302" spans="1:23" ht="12.75">
      <c r="A302" s="4"/>
      <c r="B302" s="4"/>
      <c r="C302" s="4"/>
      <c r="D302" s="22"/>
      <c r="E302" s="4"/>
      <c r="F302" s="4"/>
      <c r="G302" s="66"/>
      <c r="H302" s="5"/>
      <c r="I302" s="118"/>
      <c r="J302" s="118"/>
      <c r="K302" s="118" t="s">
        <v>135</v>
      </c>
      <c r="L302" s="7"/>
      <c r="M302" s="4"/>
      <c r="N302" s="4"/>
      <c r="P302" s="4"/>
      <c r="V302" s="42"/>
      <c r="W302" s="42"/>
    </row>
    <row r="303" spans="1:23" ht="13.5" thickBot="1">
      <c r="A303" s="4"/>
      <c r="B303" s="4"/>
      <c r="C303" s="4"/>
      <c r="D303" s="22"/>
      <c r="E303" s="4"/>
      <c r="F303" s="4"/>
      <c r="G303" s="66"/>
      <c r="H303" s="5"/>
      <c r="I303" s="118"/>
      <c r="J303" s="118"/>
      <c r="K303" s="118"/>
      <c r="L303" s="136"/>
      <c r="M303" s="4"/>
      <c r="N303" s="4"/>
      <c r="P303" s="4"/>
      <c r="V303" s="42"/>
      <c r="W303" s="42"/>
    </row>
    <row r="304" spans="1:20" ht="12.75">
      <c r="A304" s="27" t="s">
        <v>136</v>
      </c>
      <c r="B304" s="5"/>
      <c r="C304" s="5"/>
      <c r="D304" s="28"/>
      <c r="E304" s="9" t="s">
        <v>9</v>
      </c>
      <c r="F304" s="9"/>
      <c r="G304" s="9"/>
      <c r="H304" s="5"/>
      <c r="I304" s="274" t="s">
        <v>10</v>
      </c>
      <c r="J304" s="272"/>
      <c r="K304" s="272"/>
      <c r="L304" s="1"/>
      <c r="M304" s="29" t="s">
        <v>11</v>
      </c>
      <c r="N304" s="9" t="s">
        <v>12</v>
      </c>
      <c r="P304" s="29" t="s">
        <v>11</v>
      </c>
      <c r="S304" s="10"/>
      <c r="T304" s="11"/>
    </row>
    <row r="305" spans="1:24" ht="13.5" thickBot="1">
      <c r="A305" s="30" t="s">
        <v>17</v>
      </c>
      <c r="B305" s="17"/>
      <c r="C305" s="17"/>
      <c r="D305" s="31" t="s">
        <v>14</v>
      </c>
      <c r="E305" s="19" t="s">
        <v>14</v>
      </c>
      <c r="F305" s="19" t="s">
        <v>18</v>
      </c>
      <c r="G305" s="32" t="s">
        <v>19</v>
      </c>
      <c r="H305" s="5"/>
      <c r="I305" s="19" t="s">
        <v>14</v>
      </c>
      <c r="J305" s="19" t="s">
        <v>20</v>
      </c>
      <c r="K305" s="32" t="s">
        <v>19</v>
      </c>
      <c r="L305" s="5"/>
      <c r="M305" s="33" t="s">
        <v>21</v>
      </c>
      <c r="N305" s="32" t="s">
        <v>21</v>
      </c>
      <c r="P305" s="33" t="s">
        <v>21</v>
      </c>
      <c r="S305" s="20"/>
      <c r="T305" s="21"/>
      <c r="X305" s="8" t="s">
        <v>137</v>
      </c>
    </row>
    <row r="306" spans="1:24" ht="12.75">
      <c r="A306" s="35"/>
      <c r="B306" s="35" t="s">
        <v>24</v>
      </c>
      <c r="C306" s="35" t="str">
        <f>'[1]Rates'!G293</f>
        <v>First</v>
      </c>
      <c r="D306" s="49">
        <f>'[1]Rates'!H293</f>
        <v>20000</v>
      </c>
      <c r="E306" s="38" t="s">
        <v>4</v>
      </c>
      <c r="F306" s="39" t="s">
        <v>4</v>
      </c>
      <c r="G306" s="38" t="s">
        <v>4</v>
      </c>
      <c r="H306" s="41"/>
      <c r="I306" s="38">
        <f>(7497410+X306)</f>
        <v>7533833</v>
      </c>
      <c r="J306" s="39">
        <f>V328</f>
        <v>0.16537679284452958</v>
      </c>
      <c r="K306" s="38">
        <f>ROUND(I306*J306,0)</f>
        <v>1245921</v>
      </c>
      <c r="L306" s="5"/>
      <c r="M306" s="42">
        <v>0.27421</v>
      </c>
      <c r="N306" s="39">
        <f>'[1]Rates'!$M$293</f>
        <v>0.12059</v>
      </c>
      <c r="P306" s="42" t="e">
        <f>ROUND($J$306+#REF!,5)</f>
        <v>#REF!</v>
      </c>
      <c r="S306" s="20"/>
      <c r="T306" s="21"/>
      <c r="U306" s="38">
        <f>I306</f>
        <v>7533833</v>
      </c>
      <c r="V306" s="8">
        <v>0.19352</v>
      </c>
      <c r="W306" s="38">
        <f>V306*I306</f>
        <v>1457947.36216</v>
      </c>
      <c r="X306" s="8">
        <v>36423</v>
      </c>
    </row>
    <row r="307" spans="1:24" ht="12.75">
      <c r="A307" s="48"/>
      <c r="B307" s="35" t="s">
        <v>66</v>
      </c>
      <c r="C307" s="35" t="str">
        <f>'[1]Rates'!G294</f>
        <v>Next</v>
      </c>
      <c r="D307" s="49">
        <f>'[1]Rates'!H294</f>
        <v>80000</v>
      </c>
      <c r="E307" s="38" t="s">
        <v>4</v>
      </c>
      <c r="F307" s="39" t="s">
        <v>4</v>
      </c>
      <c r="G307" s="38" t="s">
        <v>4</v>
      </c>
      <c r="H307" s="41"/>
      <c r="I307" s="38">
        <f>18217177</f>
        <v>18217177</v>
      </c>
      <c r="J307" s="39">
        <f>J306</f>
        <v>0.16537679284452958</v>
      </c>
      <c r="K307" s="38">
        <f>ROUND(I307*J307,0)</f>
        <v>3012698</v>
      </c>
      <c r="L307" s="5"/>
      <c r="M307" s="42">
        <v>0.20566</v>
      </c>
      <c r="N307" s="39">
        <f>'[1]Rates'!$M$294</f>
        <v>0.11152</v>
      </c>
      <c r="P307" s="42">
        <f>ROUND($M$306*'[1]Rules'!$F$37,5)</f>
        <v>0.20566</v>
      </c>
      <c r="S307" s="20"/>
      <c r="T307" s="21"/>
      <c r="U307" s="38">
        <f>I307</f>
        <v>18217177</v>
      </c>
      <c r="V307" s="8">
        <v>0.17947</v>
      </c>
      <c r="W307" s="38">
        <f>V307*I307</f>
        <v>3269436.7561899996</v>
      </c>
      <c r="X307" s="8" t="s">
        <v>4</v>
      </c>
    </row>
    <row r="308" spans="1:24" ht="12.75">
      <c r="A308" s="48"/>
      <c r="B308" s="35" t="s">
        <v>68</v>
      </c>
      <c r="C308" s="35" t="str">
        <f>'[1]Rates'!G295</f>
        <v>Next</v>
      </c>
      <c r="D308" s="49">
        <f>'[1]Rates'!H295</f>
        <v>400000</v>
      </c>
      <c r="E308" s="38" t="s">
        <v>4</v>
      </c>
      <c r="F308" s="39" t="s">
        <v>4</v>
      </c>
      <c r="G308" s="38" t="s">
        <v>4</v>
      </c>
      <c r="H308" s="41"/>
      <c r="I308" s="38">
        <v>1720000</v>
      </c>
      <c r="J308" s="39">
        <f>J307</f>
        <v>0.16537679284452958</v>
      </c>
      <c r="K308" s="38">
        <f>ROUND(I308*J308,0)</f>
        <v>284448</v>
      </c>
      <c r="L308" s="5"/>
      <c r="M308" s="42">
        <v>0.16453</v>
      </c>
      <c r="N308" s="39">
        <f>'[1]Rates'!$M$295</f>
        <v>0.02465</v>
      </c>
      <c r="P308" s="42">
        <f>ROUND($M$307*'[1]Rules'!$F$39,5)</f>
        <v>0.16453</v>
      </c>
      <c r="S308" s="20" t="s">
        <v>22</v>
      </c>
      <c r="T308" s="34" t="e">
        <f>#REF!</f>
        <v>#REF!</v>
      </c>
      <c r="U308" s="38">
        <f>I308</f>
        <v>1720000</v>
      </c>
      <c r="V308" s="8">
        <v>0.11149</v>
      </c>
      <c r="W308" s="38">
        <f>V308*I308</f>
        <v>191762.80000000002</v>
      </c>
      <c r="X308" s="8" t="s">
        <v>4</v>
      </c>
    </row>
    <row r="309" spans="1:23" ht="12.75">
      <c r="A309" s="48"/>
      <c r="B309" s="36" t="s">
        <v>110</v>
      </c>
      <c r="C309" s="35" t="str">
        <f>'[1]Rates'!G296</f>
        <v>All Over</v>
      </c>
      <c r="D309" s="49">
        <f>'[1]Rates'!H296</f>
        <v>500000</v>
      </c>
      <c r="E309" s="38" t="s">
        <v>4</v>
      </c>
      <c r="F309" s="39" t="s">
        <v>4</v>
      </c>
      <c r="G309" s="38" t="s">
        <v>4</v>
      </c>
      <c r="H309" s="41"/>
      <c r="I309" s="38" t="str">
        <f>E309</f>
        <v> </v>
      </c>
      <c r="J309" s="39">
        <v>0.04746</v>
      </c>
      <c r="K309" s="38" t="s">
        <v>4</v>
      </c>
      <c r="L309" s="5"/>
      <c r="M309" s="42">
        <v>0.06581</v>
      </c>
      <c r="N309" s="39">
        <f>'[1]Rates'!$M$296</f>
        <v>0.02465</v>
      </c>
      <c r="P309" s="42">
        <f>ROUND($M$308*'[1]Rules'!$F$41,5)</f>
        <v>0.06581</v>
      </c>
      <c r="S309" s="20" t="s">
        <v>26</v>
      </c>
      <c r="T309" s="43" t="e">
        <f>#REF!</f>
        <v>#REF!</v>
      </c>
      <c r="V309" s="8" t="s">
        <v>4</v>
      </c>
      <c r="W309" s="38" t="s">
        <v>4</v>
      </c>
    </row>
    <row r="310" spans="1:23" ht="12.75">
      <c r="A310" s="53" t="s">
        <v>28</v>
      </c>
      <c r="C310" s="35"/>
      <c r="D310" s="49"/>
      <c r="E310" s="54" t="s">
        <v>4</v>
      </c>
      <c r="F310" s="55"/>
      <c r="G310" s="56" t="s">
        <v>4</v>
      </c>
      <c r="H310" s="41"/>
      <c r="I310" s="56">
        <f>SUM(I306:I309)</f>
        <v>27471010</v>
      </c>
      <c r="J310" s="55"/>
      <c r="K310" s="56">
        <f>SUM(K306:K309)</f>
        <v>4543067</v>
      </c>
      <c r="L310" s="5"/>
      <c r="M310" s="58"/>
      <c r="N310" s="55"/>
      <c r="P310" s="58"/>
      <c r="S310" s="20"/>
      <c r="T310" s="21"/>
      <c r="U310" s="56" t="s">
        <v>4</v>
      </c>
      <c r="W310" s="56">
        <f>SUM(W306:W309)</f>
        <v>4919146.918349999</v>
      </c>
    </row>
    <row r="311" spans="1:20" ht="12.75">
      <c r="A311" s="61"/>
      <c r="B311" s="62"/>
      <c r="C311" s="62"/>
      <c r="D311" s="63"/>
      <c r="E311" s="64"/>
      <c r="F311" s="65"/>
      <c r="G311" s="66"/>
      <c r="H311" s="41"/>
      <c r="I311" s="64"/>
      <c r="J311" s="65" t="s">
        <v>4</v>
      </c>
      <c r="K311" s="66"/>
      <c r="L311" s="5"/>
      <c r="M311" s="68"/>
      <c r="N311" s="65"/>
      <c r="P311" s="68"/>
      <c r="S311" s="20"/>
      <c r="T311" s="21"/>
    </row>
    <row r="312" spans="1:20" ht="13.5" thickBot="1">
      <c r="A312" s="61"/>
      <c r="B312" s="62"/>
      <c r="C312" s="62"/>
      <c r="D312" s="63"/>
      <c r="E312" s="161" t="s">
        <v>94</v>
      </c>
      <c r="F312" s="65"/>
      <c r="G312" s="66"/>
      <c r="H312" s="41"/>
      <c r="I312" s="161" t="s">
        <v>94</v>
      </c>
      <c r="J312" s="65"/>
      <c r="K312" s="66"/>
      <c r="L312" s="5"/>
      <c r="M312" s="68"/>
      <c r="N312" s="65"/>
      <c r="P312" s="68"/>
      <c r="S312" s="59"/>
      <c r="T312" s="60"/>
    </row>
    <row r="313" spans="1:16" ht="13.5" thickBot="1">
      <c r="A313" s="69" t="s">
        <v>30</v>
      </c>
      <c r="B313" s="70"/>
      <c r="C313" s="70"/>
      <c r="D313" s="71"/>
      <c r="E313" s="19" t="s">
        <v>31</v>
      </c>
      <c r="F313" s="19" t="s">
        <v>18</v>
      </c>
      <c r="G313" s="32" t="s">
        <v>19</v>
      </c>
      <c r="H313" s="5"/>
      <c r="I313" s="19" t="s">
        <v>31</v>
      </c>
      <c r="J313" s="19" t="s">
        <v>20</v>
      </c>
      <c r="K313" s="32" t="s">
        <v>19</v>
      </c>
      <c r="L313" s="5"/>
      <c r="M313" s="72"/>
      <c r="N313" s="32"/>
      <c r="P313" s="72"/>
    </row>
    <row r="314" spans="1:16" ht="12.75">
      <c r="A314" s="74" t="s">
        <v>113</v>
      </c>
      <c r="B314" s="61"/>
      <c r="C314" s="35" t="s">
        <v>114</v>
      </c>
      <c r="D314" s="75"/>
      <c r="E314" s="38" t="s">
        <v>4</v>
      </c>
      <c r="F314" s="84" t="s">
        <v>4</v>
      </c>
      <c r="G314" s="38" t="s">
        <v>4</v>
      </c>
      <c r="H314" s="5"/>
      <c r="I314" s="66">
        <v>744</v>
      </c>
      <c r="J314" s="84">
        <f>M314</f>
        <v>375</v>
      </c>
      <c r="K314" s="38">
        <f>I314*J314</f>
        <v>279000</v>
      </c>
      <c r="L314" s="5"/>
      <c r="M314" s="187">
        <v>375</v>
      </c>
      <c r="N314" s="166">
        <f>'[1]Rates'!$M$26</f>
        <v>566.67</v>
      </c>
      <c r="P314" s="187">
        <f>'[1]Rates'!$O$26</f>
        <v>375</v>
      </c>
    </row>
    <row r="315" spans="1:16" ht="12.75">
      <c r="A315" s="136"/>
      <c r="B315" s="61"/>
      <c r="C315" s="35" t="s">
        <v>115</v>
      </c>
      <c r="D315" s="75"/>
      <c r="E315" s="38" t="s">
        <v>4</v>
      </c>
      <c r="F315" s="84" t="s">
        <v>4</v>
      </c>
      <c r="G315" s="66" t="s">
        <v>4</v>
      </c>
      <c r="H315" s="5"/>
      <c r="I315" s="66">
        <v>516</v>
      </c>
      <c r="J315" s="84">
        <f>M315</f>
        <v>187.5</v>
      </c>
      <c r="K315" s="38">
        <f>I315*J315</f>
        <v>96750</v>
      </c>
      <c r="L315" s="5"/>
      <c r="M315" s="187">
        <v>187.5</v>
      </c>
      <c r="N315" s="166">
        <f>'[1]Rates'!$M$27</f>
        <v>212.5</v>
      </c>
      <c r="P315" s="187">
        <f>'[1]Rates'!$O$27</f>
        <v>187.5</v>
      </c>
    </row>
    <row r="316" spans="1:16" ht="12.75">
      <c r="A316" s="136"/>
      <c r="B316" s="61"/>
      <c r="C316" s="35"/>
      <c r="D316" s="75"/>
      <c r="E316" s="56" t="s">
        <v>4</v>
      </c>
      <c r="F316" s="55" t="s">
        <v>4</v>
      </c>
      <c r="G316" s="56" t="s">
        <v>4</v>
      </c>
      <c r="H316" s="41"/>
      <c r="I316" s="56">
        <f>SUM(I314:I315)</f>
        <v>1260</v>
      </c>
      <c r="J316" s="55"/>
      <c r="K316" s="56">
        <f>SUM(K314:K315)</f>
        <v>375750</v>
      </c>
      <c r="L316" s="5"/>
      <c r="M316" s="188"/>
      <c r="N316" s="172"/>
      <c r="P316" s="188"/>
    </row>
    <row r="317" spans="1:16" ht="12.75">
      <c r="A317" s="136"/>
      <c r="B317" s="61"/>
      <c r="C317" s="61"/>
      <c r="D317" s="75"/>
      <c r="E317" s="173"/>
      <c r="F317" s="174"/>
      <c r="G317" s="174"/>
      <c r="H317" s="5"/>
      <c r="I317" s="173"/>
      <c r="J317" s="174"/>
      <c r="K317" s="174"/>
      <c r="L317" s="5"/>
      <c r="M317" s="189"/>
      <c r="N317" s="174"/>
      <c r="P317" s="189"/>
    </row>
    <row r="318" spans="1:22" ht="12.75">
      <c r="A318" s="74" t="s">
        <v>33</v>
      </c>
      <c r="B318" s="36" t="s">
        <v>4</v>
      </c>
      <c r="C318" s="61"/>
      <c r="D318" s="75"/>
      <c r="E318" s="38" t="s">
        <v>4</v>
      </c>
      <c r="F318" s="84" t="s">
        <v>4</v>
      </c>
      <c r="G318" s="66" t="s">
        <v>4</v>
      </c>
      <c r="H318" s="5"/>
      <c r="I318" s="66">
        <f>12+84+84</f>
        <v>180</v>
      </c>
      <c r="J318" s="84">
        <v>5</v>
      </c>
      <c r="K318" s="66">
        <f>I318*J318</f>
        <v>900</v>
      </c>
      <c r="L318" s="5"/>
      <c r="M318" s="85">
        <v>6</v>
      </c>
      <c r="N318" s="84">
        <f>'[1]Rates'!$M$16</f>
        <v>5</v>
      </c>
      <c r="P318" s="85">
        <f>'[1]Rates'!$O$16</f>
        <v>5</v>
      </c>
      <c r="T318" s="8" t="s">
        <v>138</v>
      </c>
      <c r="U318" s="190">
        <v>91620</v>
      </c>
      <c r="V318" s="38">
        <v>0</v>
      </c>
    </row>
    <row r="319" spans="1:22" ht="12.75">
      <c r="A319" s="74"/>
      <c r="B319" s="36" t="s">
        <v>4</v>
      </c>
      <c r="C319" s="61"/>
      <c r="D319" s="75"/>
      <c r="E319" s="38" t="s">
        <v>4</v>
      </c>
      <c r="F319" s="84" t="s">
        <v>139</v>
      </c>
      <c r="G319" s="66" t="s">
        <v>4</v>
      </c>
      <c r="H319" s="5"/>
      <c r="I319" s="66">
        <v>0</v>
      </c>
      <c r="J319" s="84">
        <v>5</v>
      </c>
      <c r="K319" s="66">
        <f>I319*J319</f>
        <v>0</v>
      </c>
      <c r="L319" s="5"/>
      <c r="M319" s="85">
        <v>8</v>
      </c>
      <c r="N319" s="84">
        <f>'[1]Rates'!$M$17</f>
        <v>5</v>
      </c>
      <c r="P319" s="85">
        <f>'[1]Rates'!$O$17</f>
        <v>6</v>
      </c>
      <c r="T319" s="8" t="s">
        <v>140</v>
      </c>
      <c r="U319" s="190">
        <v>107182</v>
      </c>
      <c r="V319" s="38">
        <v>340475</v>
      </c>
    </row>
    <row r="320" spans="1:24" ht="12.75">
      <c r="A320" s="61"/>
      <c r="B320" s="36" t="s">
        <v>4</v>
      </c>
      <c r="C320" s="61"/>
      <c r="D320" s="75"/>
      <c r="E320" s="38" t="s">
        <v>4</v>
      </c>
      <c r="F320" s="84" t="s">
        <v>4</v>
      </c>
      <c r="G320" s="66" t="s">
        <v>4</v>
      </c>
      <c r="H320" s="5"/>
      <c r="I320" s="66">
        <v>0</v>
      </c>
      <c r="J320" s="84">
        <v>21</v>
      </c>
      <c r="K320" s="66">
        <f>I320*J320</f>
        <v>0</v>
      </c>
      <c r="L320" s="5"/>
      <c r="M320" s="85">
        <v>36</v>
      </c>
      <c r="N320" s="84">
        <f>'[1]Rates'!$M$18</f>
        <v>21</v>
      </c>
      <c r="P320" s="85">
        <f>'[1]Rates'!$O$18</f>
        <v>36</v>
      </c>
      <c r="T320" s="8" t="s">
        <v>141</v>
      </c>
      <c r="U320" s="190">
        <v>1971766</v>
      </c>
      <c r="V320" s="38">
        <v>9527302</v>
      </c>
      <c r="X320" s="8" t="s">
        <v>142</v>
      </c>
    </row>
    <row r="321" spans="1:24" ht="12.75">
      <c r="A321" s="61"/>
      <c r="B321" s="36" t="s">
        <v>4</v>
      </c>
      <c r="C321" s="61"/>
      <c r="D321" s="75"/>
      <c r="E321" s="38" t="s">
        <v>4</v>
      </c>
      <c r="F321" s="84" t="s">
        <v>4</v>
      </c>
      <c r="G321" s="66" t="s">
        <v>4</v>
      </c>
      <c r="H321" s="5"/>
      <c r="I321" s="66">
        <f>480+216+X321</f>
        <v>708</v>
      </c>
      <c r="J321" s="84">
        <v>55</v>
      </c>
      <c r="K321" s="66">
        <f>I321*J321</f>
        <v>38940</v>
      </c>
      <c r="L321" s="5"/>
      <c r="M321" s="85">
        <v>135</v>
      </c>
      <c r="N321" s="84">
        <f>'[1]Rates'!$M$19</f>
        <v>55</v>
      </c>
      <c r="P321" s="85">
        <f>'[1]Rates'!$O$19</f>
        <v>135</v>
      </c>
      <c r="T321" s="8" t="s">
        <v>143</v>
      </c>
      <c r="U321" s="191">
        <v>2591849</v>
      </c>
      <c r="V321" s="163">
        <v>16966861</v>
      </c>
      <c r="X321" s="8">
        <v>12</v>
      </c>
    </row>
    <row r="322" spans="1:22" ht="12.75">
      <c r="A322" s="61"/>
      <c r="B322" s="36" t="s">
        <v>4</v>
      </c>
      <c r="C322" s="61"/>
      <c r="D322" s="75"/>
      <c r="E322" s="38" t="s">
        <v>4</v>
      </c>
      <c r="F322" s="84" t="s">
        <v>4</v>
      </c>
      <c r="G322" s="66" t="s">
        <v>4</v>
      </c>
      <c r="H322" s="5"/>
      <c r="I322" s="66">
        <f>756+228</f>
        <v>984</v>
      </c>
      <c r="J322" s="84">
        <v>244</v>
      </c>
      <c r="K322" s="66">
        <f>I322*J322</f>
        <v>240096</v>
      </c>
      <c r="L322" s="5"/>
      <c r="M322" s="85">
        <v>416</v>
      </c>
      <c r="N322" s="84">
        <f>'[1]Rates'!$M$20</f>
        <v>244</v>
      </c>
      <c r="P322" s="85">
        <f>'[1]Rates'!$O$20</f>
        <v>416</v>
      </c>
      <c r="U322" s="190">
        <f>SUM(U315:U321)</f>
        <v>4762417</v>
      </c>
      <c r="V322" s="38">
        <f>SUM(V315:V321)</f>
        <v>26834638</v>
      </c>
    </row>
    <row r="323" spans="1:21" ht="12.75">
      <c r="A323" s="61"/>
      <c r="D323" s="1"/>
      <c r="H323" s="1"/>
      <c r="I323" s="1"/>
      <c r="J323" s="1"/>
      <c r="K323" s="1"/>
      <c r="L323" s="5"/>
      <c r="M323" s="85">
        <v>135</v>
      </c>
      <c r="N323" s="84">
        <f>'[1]Rates'!$M$21</f>
        <v>55</v>
      </c>
      <c r="P323" s="85">
        <f>'[1]Rates'!$O$21</f>
        <v>135</v>
      </c>
      <c r="U323" s="192"/>
    </row>
    <row r="324" spans="1:20" ht="12.75">
      <c r="A324" s="61"/>
      <c r="D324" s="1"/>
      <c r="H324" s="1"/>
      <c r="I324" s="1"/>
      <c r="J324" s="1"/>
      <c r="K324" s="1"/>
      <c r="L324" s="5"/>
      <c r="M324" s="85">
        <v>416</v>
      </c>
      <c r="N324" s="84">
        <f>'[1]Rates'!$M$22</f>
        <v>244</v>
      </c>
      <c r="P324" s="85">
        <f>'[1]Rates'!$O$22</f>
        <v>416</v>
      </c>
      <c r="T324" s="193" t="s">
        <v>4</v>
      </c>
    </row>
    <row r="325" spans="1:20" ht="12.75">
      <c r="A325" s="61"/>
      <c r="B325" s="51"/>
      <c r="C325" s="61"/>
      <c r="D325" s="75"/>
      <c r="E325" s="56" t="s">
        <v>4</v>
      </c>
      <c r="F325" s="102" t="s">
        <v>4</v>
      </c>
      <c r="G325" s="56" t="s">
        <v>4</v>
      </c>
      <c r="H325" s="41"/>
      <c r="I325" s="56">
        <f>SUM(I318:I324)</f>
        <v>1872</v>
      </c>
      <c r="J325" s="102">
        <f>K325/I325</f>
        <v>149.53846153846155</v>
      </c>
      <c r="K325" s="56">
        <f>SUM(K318:K324)</f>
        <v>279936</v>
      </c>
      <c r="L325" s="5"/>
      <c r="M325" s="188"/>
      <c r="N325" s="172"/>
      <c r="P325" s="188"/>
      <c r="S325" s="8" t="s">
        <v>12</v>
      </c>
      <c r="T325" s="25">
        <f>G334</f>
        <v>4794615</v>
      </c>
    </row>
    <row r="326" spans="1:22" ht="12.75">
      <c r="A326" s="61"/>
      <c r="B326" s="51"/>
      <c r="C326" s="61"/>
      <c r="D326" s="75"/>
      <c r="E326" s="177"/>
      <c r="F326" s="178"/>
      <c r="G326" s="177"/>
      <c r="H326" s="41"/>
      <c r="I326" s="177"/>
      <c r="J326" s="178"/>
      <c r="K326" s="177"/>
      <c r="L326" s="5"/>
      <c r="M326" s="194"/>
      <c r="N326" s="92"/>
      <c r="P326" s="194"/>
      <c r="S326" s="8" t="s">
        <v>118</v>
      </c>
      <c r="T326" s="25">
        <f>U335</f>
        <v>5993268.75</v>
      </c>
      <c r="V326" s="8" t="s">
        <v>4</v>
      </c>
    </row>
    <row r="327" spans="1:20" ht="13.5" thickBot="1">
      <c r="A327" s="74" t="s">
        <v>144</v>
      </c>
      <c r="B327" s="51"/>
      <c r="C327" s="61"/>
      <c r="D327" s="75"/>
      <c r="E327" s="19" t="s">
        <v>145</v>
      </c>
      <c r="F327" s="19" t="s">
        <v>26</v>
      </c>
      <c r="G327" s="195"/>
      <c r="H327" s="41"/>
      <c r="I327" s="19" t="s">
        <v>145</v>
      </c>
      <c r="J327" s="19" t="s">
        <v>26</v>
      </c>
      <c r="K327" s="177"/>
      <c r="L327" s="5"/>
      <c r="M327" s="194"/>
      <c r="N327" s="92"/>
      <c r="P327" s="194"/>
      <c r="S327" s="8" t="s">
        <v>39</v>
      </c>
      <c r="T327" s="25">
        <f>-K330</f>
        <v>-1450201.22</v>
      </c>
    </row>
    <row r="328" spans="1:22" ht="12.75">
      <c r="A328" s="74" t="s">
        <v>146</v>
      </c>
      <c r="B328" s="51"/>
      <c r="C328" s="61"/>
      <c r="D328" s="75"/>
      <c r="E328" s="38" t="s">
        <v>4</v>
      </c>
      <c r="F328" s="92" t="s">
        <v>4</v>
      </c>
      <c r="G328" s="177" t="s">
        <v>4</v>
      </c>
      <c r="H328" s="41"/>
      <c r="I328" s="38">
        <v>42127</v>
      </c>
      <c r="J328" s="92">
        <f>M328</f>
        <v>18.86</v>
      </c>
      <c r="K328" s="177">
        <f>I328*J328</f>
        <v>794515.22</v>
      </c>
      <c r="L328" s="5"/>
      <c r="M328" s="194">
        <f>18.86</f>
        <v>18.86</v>
      </c>
      <c r="N328" s="92">
        <f>'[1]Rates'!$M$36</f>
        <v>22.16</v>
      </c>
      <c r="P328" s="194">
        <f>'[1]Rates'!$O$36</f>
        <v>22.16</v>
      </c>
      <c r="S328" s="8" t="s">
        <v>41</v>
      </c>
      <c r="T328" s="25">
        <f>T326+T327</f>
        <v>4543067.53</v>
      </c>
      <c r="V328" s="8">
        <f>T328/I310</f>
        <v>0.16537679284452958</v>
      </c>
    </row>
    <row r="329" spans="1:22" ht="12.75">
      <c r="A329" s="61"/>
      <c r="B329" s="51"/>
      <c r="C329" s="61"/>
      <c r="D329" s="75"/>
      <c r="E329" s="38"/>
      <c r="F329" s="144"/>
      <c r="G329" s="66"/>
      <c r="H329" s="5"/>
      <c r="I329" s="66"/>
      <c r="J329" s="144"/>
      <c r="K329" s="66"/>
      <c r="L329" s="5"/>
      <c r="M329" s="196"/>
      <c r="N329" s="144"/>
      <c r="P329" s="196"/>
      <c r="V329" s="8" t="s">
        <v>4</v>
      </c>
    </row>
    <row r="330" spans="1:16" ht="12.75">
      <c r="A330" s="108" t="s">
        <v>53</v>
      </c>
      <c r="B330" s="35"/>
      <c r="E330" s="56"/>
      <c r="F330" s="55"/>
      <c r="G330" s="56" t="s">
        <v>4</v>
      </c>
      <c r="H330" s="41"/>
      <c r="I330" s="56"/>
      <c r="J330" s="55">
        <f>J328/12</f>
        <v>1.5716666666666665</v>
      </c>
      <c r="K330" s="56">
        <f>K316+K325+K328</f>
        <v>1450201.22</v>
      </c>
      <c r="L330" s="5"/>
      <c r="M330" s="58">
        <v>0.026984627061838788</v>
      </c>
      <c r="N330" s="88"/>
      <c r="P330" s="58" t="s">
        <v>4</v>
      </c>
    </row>
    <row r="331" spans="1:16" ht="13.5" thickBot="1">
      <c r="A331" s="5"/>
      <c r="B331" s="5"/>
      <c r="C331" s="5"/>
      <c r="D331" s="28"/>
      <c r="E331" s="106"/>
      <c r="F331" s="105"/>
      <c r="G331" s="111"/>
      <c r="H331" s="5"/>
      <c r="I331" s="106"/>
      <c r="J331" s="105"/>
      <c r="K331" s="111"/>
      <c r="L331" s="5"/>
      <c r="M331" s="162"/>
      <c r="N331" s="105"/>
      <c r="P331" s="162"/>
    </row>
    <row r="332" spans="1:16" ht="13.5" thickTop="1">
      <c r="A332" s="5"/>
      <c r="B332" s="5"/>
      <c r="C332" s="5"/>
      <c r="D332" s="28"/>
      <c r="E332" s="4"/>
      <c r="F332" s="4"/>
      <c r="G332" s="91">
        <f>U322</f>
        <v>4762417</v>
      </c>
      <c r="H332" s="91"/>
      <c r="I332" s="91"/>
      <c r="L332" s="5"/>
      <c r="M332" s="76"/>
      <c r="N332" s="4"/>
      <c r="P332" s="76"/>
    </row>
    <row r="333" spans="1:21" ht="12.75">
      <c r="A333" s="147" t="s">
        <v>147</v>
      </c>
      <c r="B333" s="5"/>
      <c r="C333" s="5"/>
      <c r="D333" s="28"/>
      <c r="E333" s="91"/>
      <c r="F333" s="5" t="s">
        <v>148</v>
      </c>
      <c r="G333" s="197">
        <f>G369</f>
        <v>32198</v>
      </c>
      <c r="I333" s="183" t="s">
        <v>60</v>
      </c>
      <c r="J333" s="116">
        <f>J334/G334</f>
        <v>0.24999988945932045</v>
      </c>
      <c r="L333" s="5"/>
      <c r="M333" s="116">
        <v>0.6943561999932665</v>
      </c>
      <c r="N333" s="5"/>
      <c r="P333" s="116">
        <f>($K334-$G332)/$G332</f>
        <v>0.2584509546308103</v>
      </c>
      <c r="U333" s="25">
        <f>G334*0.25</f>
        <v>1198653.75</v>
      </c>
    </row>
    <row r="334" spans="1:21" ht="13.5" thickBot="1">
      <c r="A334" s="15"/>
      <c r="B334" s="15"/>
      <c r="C334" s="15"/>
      <c r="D334" s="133"/>
      <c r="E334" s="107"/>
      <c r="F334" s="16"/>
      <c r="G334" s="198">
        <f>G332+G333</f>
        <v>4794615</v>
      </c>
      <c r="H334" s="91"/>
      <c r="I334" s="164" t="s">
        <v>58</v>
      </c>
      <c r="J334" s="184">
        <f>K334-G334</f>
        <v>1198653.2199999997</v>
      </c>
      <c r="K334" s="184">
        <f>K310+K330</f>
        <v>5993268.22</v>
      </c>
      <c r="L334" s="5"/>
      <c r="M334" s="165"/>
      <c r="N334" s="15"/>
      <c r="P334" s="165"/>
      <c r="U334" s="25">
        <f>G334</f>
        <v>4794615</v>
      </c>
    </row>
    <row r="335" spans="1:21" ht="12.75">
      <c r="A335" s="117"/>
      <c r="B335" s="2"/>
      <c r="C335" s="2"/>
      <c r="D335" s="3"/>
      <c r="E335" s="4"/>
      <c r="F335" s="4"/>
      <c r="G335" s="4"/>
      <c r="H335" s="5"/>
      <c r="I335" s="168"/>
      <c r="J335" s="4"/>
      <c r="K335" s="4"/>
      <c r="L335" s="5"/>
      <c r="M335" s="76"/>
      <c r="N335" s="4"/>
      <c r="P335" s="76"/>
      <c r="U335" s="25">
        <f>U333+U334</f>
        <v>5993268.75</v>
      </c>
    </row>
    <row r="336" spans="1:16" ht="12.75">
      <c r="A336" s="4"/>
      <c r="B336" s="4"/>
      <c r="C336" s="4"/>
      <c r="D336" s="22"/>
      <c r="E336" s="4"/>
      <c r="F336" s="4"/>
      <c r="G336" s="66"/>
      <c r="H336" s="5"/>
      <c r="I336" s="6"/>
      <c r="J336" s="275" t="s">
        <v>0</v>
      </c>
      <c r="K336" s="275"/>
      <c r="L336" s="275"/>
      <c r="M336" s="76"/>
      <c r="N336" s="4"/>
      <c r="P336" s="76"/>
    </row>
    <row r="337" spans="1:16" ht="12.75">
      <c r="A337" s="117" t="str">
        <f>A$2</f>
        <v>Proof of Revenue</v>
      </c>
      <c r="B337" s="4"/>
      <c r="C337" s="4"/>
      <c r="D337" s="22"/>
      <c r="E337" s="4"/>
      <c r="F337" s="4"/>
      <c r="G337" s="66"/>
      <c r="H337" s="5"/>
      <c r="I337" s="273" t="str">
        <f>$I$2</f>
        <v>DPU Exhibit 7.1SR</v>
      </c>
      <c r="J337" s="273"/>
      <c r="K337" s="273"/>
      <c r="L337" s="7"/>
      <c r="M337" s="76"/>
      <c r="N337" s="4"/>
      <c r="P337" s="76"/>
    </row>
    <row r="338" spans="1:16" ht="12.75">
      <c r="A338" s="4"/>
      <c r="B338" s="4"/>
      <c r="C338" s="4"/>
      <c r="D338" s="22"/>
      <c r="E338" s="4"/>
      <c r="F338" s="4"/>
      <c r="G338" s="66"/>
      <c r="H338" s="5"/>
      <c r="I338" s="118"/>
      <c r="J338" s="118"/>
      <c r="K338" s="118" t="s">
        <v>149</v>
      </c>
      <c r="L338" s="7"/>
      <c r="M338" s="76"/>
      <c r="N338" s="4"/>
      <c r="P338" s="76"/>
    </row>
    <row r="339" spans="1:16" ht="12.75">
      <c r="A339" s="4"/>
      <c r="B339" s="4"/>
      <c r="C339" s="4"/>
      <c r="D339" s="22"/>
      <c r="E339" s="4"/>
      <c r="F339" s="4"/>
      <c r="G339" s="66"/>
      <c r="H339" s="5"/>
      <c r="I339" s="4"/>
      <c r="J339" s="4"/>
      <c r="K339" s="4"/>
      <c r="L339" s="4"/>
      <c r="M339" s="76"/>
      <c r="N339" s="4"/>
      <c r="P339" s="76"/>
    </row>
    <row r="340" spans="1:16" ht="12.75">
      <c r="A340" s="27" t="s">
        <v>150</v>
      </c>
      <c r="B340" s="5"/>
      <c r="C340" s="5"/>
      <c r="D340" s="28"/>
      <c r="E340" s="9" t="s">
        <v>9</v>
      </c>
      <c r="F340" s="9"/>
      <c r="G340" s="9"/>
      <c r="H340" s="5"/>
      <c r="I340" s="274" t="s">
        <v>10</v>
      </c>
      <c r="J340" s="272"/>
      <c r="K340" s="272"/>
      <c r="L340" s="1"/>
      <c r="M340" s="29" t="s">
        <v>11</v>
      </c>
      <c r="N340" s="9" t="s">
        <v>12</v>
      </c>
      <c r="P340" s="29" t="s">
        <v>11</v>
      </c>
    </row>
    <row r="341" spans="1:16" ht="13.5" thickBot="1">
      <c r="A341" s="30" t="s">
        <v>17</v>
      </c>
      <c r="B341" s="17"/>
      <c r="C341" s="17"/>
      <c r="D341" s="31" t="s">
        <v>14</v>
      </c>
      <c r="E341" s="19" t="s">
        <v>14</v>
      </c>
      <c r="F341" s="19" t="s">
        <v>18</v>
      </c>
      <c r="G341" s="32" t="s">
        <v>19</v>
      </c>
      <c r="H341" s="5"/>
      <c r="I341" s="19" t="s">
        <v>14</v>
      </c>
      <c r="J341" s="19" t="s">
        <v>20</v>
      </c>
      <c r="K341" s="32" t="s">
        <v>19</v>
      </c>
      <c r="L341" s="5"/>
      <c r="M341" s="33" t="s">
        <v>21</v>
      </c>
      <c r="N341" s="32" t="s">
        <v>21</v>
      </c>
      <c r="P341" s="33" t="s">
        <v>21</v>
      </c>
    </row>
    <row r="342" spans="1:19" ht="12.75">
      <c r="A342" s="35"/>
      <c r="B342" s="35" t="s">
        <v>24</v>
      </c>
      <c r="C342" s="35" t="str">
        <f>'[1]Rates'!G309</f>
        <v>First</v>
      </c>
      <c r="D342" s="49">
        <f>'[1]Rates'!H309</f>
        <v>875</v>
      </c>
      <c r="E342" s="38">
        <f>DSUM(billfactors,'[1]Bill Factor Input'!T$2,UT_ITS)</f>
        <v>10500</v>
      </c>
      <c r="F342" s="39">
        <f>N342</f>
        <v>2.71593</v>
      </c>
      <c r="G342" s="38">
        <f>ROUND(E342*F342,0)</f>
        <v>28517</v>
      </c>
      <c r="H342" s="41"/>
      <c r="I342" s="38" t="s">
        <v>4</v>
      </c>
      <c r="J342" s="39" t="s">
        <v>4</v>
      </c>
      <c r="K342" s="38" t="s">
        <v>4</v>
      </c>
      <c r="L342" s="5"/>
      <c r="M342" s="42">
        <v>2.93824</v>
      </c>
      <c r="N342" s="39">
        <f>'[1]Rates'!$M$309</f>
        <v>2.71593</v>
      </c>
      <c r="P342" s="42">
        <f>ROUND($N$342*(1+'[1]Rules'!$F$17),5)</f>
        <v>2.93819</v>
      </c>
      <c r="S342" s="25">
        <f>J306*E346</f>
        <v>6023.518925776301</v>
      </c>
    </row>
    <row r="343" spans="1:21" ht="12.75">
      <c r="A343" s="48"/>
      <c r="B343" s="35" t="s">
        <v>66</v>
      </c>
      <c r="C343" s="35" t="str">
        <f>'[1]Rates'!G310</f>
        <v>Next</v>
      </c>
      <c r="D343" s="49">
        <f>'[1]Rates'!H310</f>
        <v>99125</v>
      </c>
      <c r="E343" s="38">
        <f>DSUM(billfactors,'[1]Bill Factor Input'!U$2,UT_ITS)</f>
        <v>25923</v>
      </c>
      <c r="F343" s="39">
        <f>N343</f>
        <v>0.11653</v>
      </c>
      <c r="G343" s="38">
        <f>ROUND(E343*F343,0)</f>
        <v>3021</v>
      </c>
      <c r="H343" s="41"/>
      <c r="I343" s="38" t="s">
        <v>4</v>
      </c>
      <c r="J343" s="39" t="s">
        <v>4</v>
      </c>
      <c r="K343" s="38" t="s">
        <v>4</v>
      </c>
      <c r="L343" s="5"/>
      <c r="M343" s="42">
        <v>0.20566</v>
      </c>
      <c r="N343" s="39">
        <f>'[1]Rates'!$M$310</f>
        <v>0.11653</v>
      </c>
      <c r="P343" s="42">
        <f>ROUND($M307*'[1]Rules'!$F$43,5)</f>
        <v>0.20566</v>
      </c>
      <c r="U343" s="25">
        <f>E346</f>
        <v>36423</v>
      </c>
    </row>
    <row r="344" spans="1:21" ht="12.75">
      <c r="A344" s="48"/>
      <c r="B344" s="35" t="s">
        <v>68</v>
      </c>
      <c r="C344" s="35" t="str">
        <f>'[1]Rates'!G311</f>
        <v>Next</v>
      </c>
      <c r="D344" s="49">
        <f>'[1]Rates'!H311</f>
        <v>400000</v>
      </c>
      <c r="E344" s="38">
        <f>DSUM(billfactors,'[1]Bill Factor Input'!V$2,UT_ITS)</f>
        <v>0</v>
      </c>
      <c r="F344" s="39">
        <f>N344</f>
        <v>0.10777</v>
      </c>
      <c r="G344" s="38">
        <f>ROUND(E344*F344,0)</f>
        <v>0</v>
      </c>
      <c r="H344" s="41"/>
      <c r="I344" s="38" t="s">
        <v>4</v>
      </c>
      <c r="J344" s="39" t="s">
        <v>4</v>
      </c>
      <c r="K344" s="38" t="s">
        <v>4</v>
      </c>
      <c r="L344" s="5"/>
      <c r="M344" s="42">
        <v>0.16453</v>
      </c>
      <c r="N344" s="39">
        <f>'[1]Rates'!$M$311</f>
        <v>0.10777</v>
      </c>
      <c r="P344" s="42">
        <f>ROUND($M308*'[1]Rules'!$F$45,5)</f>
        <v>0.16453</v>
      </c>
      <c r="U344" s="8">
        <v>9527302</v>
      </c>
    </row>
    <row r="345" spans="1:21" ht="12.75">
      <c r="A345" s="48"/>
      <c r="B345" s="35" t="s">
        <v>110</v>
      </c>
      <c r="C345" s="35" t="str">
        <f>'[1]Rates'!G312</f>
        <v>All Over</v>
      </c>
      <c r="D345" s="49">
        <f>'[1]Rates'!H312</f>
        <v>500000</v>
      </c>
      <c r="E345" s="38">
        <f>DSUM(billfactors,'[1]Bill Factor Input'!W$2,UT_ITS)</f>
        <v>0</v>
      </c>
      <c r="F345" s="39">
        <f>N345</f>
        <v>0.10777</v>
      </c>
      <c r="G345" s="38">
        <f>ROUND(E345*F345,0)</f>
        <v>0</v>
      </c>
      <c r="H345" s="41"/>
      <c r="I345" s="38" t="s">
        <v>4</v>
      </c>
      <c r="J345" s="39" t="s">
        <v>4</v>
      </c>
      <c r="K345" s="38" t="s">
        <v>4</v>
      </c>
      <c r="L345" s="5"/>
      <c r="M345" s="42">
        <v>0.06581</v>
      </c>
      <c r="N345" s="39">
        <f>'[1]Rates'!$M$312</f>
        <v>0.10777</v>
      </c>
      <c r="P345" s="42">
        <f>ROUND($M309*'[1]Rules'!$F$47,5)</f>
        <v>0.06581</v>
      </c>
      <c r="U345" s="8">
        <v>42127</v>
      </c>
    </row>
    <row r="346" spans="1:21" ht="12.75">
      <c r="A346" s="53" t="s">
        <v>28</v>
      </c>
      <c r="C346" s="35"/>
      <c r="D346" s="49"/>
      <c r="E346" s="54">
        <f>SUM(E342:E345)</f>
        <v>36423</v>
      </c>
      <c r="F346" s="55"/>
      <c r="G346" s="56">
        <f>SUM(G342:G345)</f>
        <v>31538</v>
      </c>
      <c r="H346" s="41"/>
      <c r="I346" s="56">
        <f>SUM(I342:I345)</f>
        <v>0</v>
      </c>
      <c r="J346" s="55"/>
      <c r="K346" s="56">
        <f>SUM(K342:K345)</f>
        <v>0</v>
      </c>
      <c r="L346" s="5"/>
      <c r="M346" s="58"/>
      <c r="N346" s="55"/>
      <c r="P346" s="58"/>
      <c r="U346" s="8">
        <f>U343/U344</f>
        <v>0.0038230130628797115</v>
      </c>
    </row>
    <row r="347" spans="1:21" ht="12.75">
      <c r="A347" s="61"/>
      <c r="B347" s="62"/>
      <c r="C347" s="62"/>
      <c r="D347" s="63"/>
      <c r="E347" s="64"/>
      <c r="F347" s="65"/>
      <c r="G347" s="66"/>
      <c r="H347" s="41"/>
      <c r="I347" s="64"/>
      <c r="J347" s="65"/>
      <c r="K347" s="66"/>
      <c r="L347" s="5"/>
      <c r="M347" s="68"/>
      <c r="N347" s="65"/>
      <c r="P347" s="68"/>
      <c r="S347" s="199">
        <f>U347*J328</f>
        <v>3037.4420647167476</v>
      </c>
      <c r="U347" s="8">
        <f>U346*U345</f>
        <v>161.0520712999336</v>
      </c>
    </row>
    <row r="348" spans="1:16" ht="12.75">
      <c r="A348" s="61"/>
      <c r="B348" s="62"/>
      <c r="C348" s="62"/>
      <c r="D348" s="63"/>
      <c r="E348" s="161" t="s">
        <v>94</v>
      </c>
      <c r="F348" s="65"/>
      <c r="G348" s="66"/>
      <c r="H348" s="41"/>
      <c r="I348" s="161" t="s">
        <v>94</v>
      </c>
      <c r="J348" s="65"/>
      <c r="K348" s="66"/>
      <c r="L348" s="5"/>
      <c r="M348" s="68"/>
      <c r="N348" s="65"/>
      <c r="P348" s="68"/>
    </row>
    <row r="349" spans="1:16" ht="13.5" thickBot="1">
      <c r="A349" s="69" t="s">
        <v>30</v>
      </c>
      <c r="B349" s="70"/>
      <c r="C349" s="70"/>
      <c r="D349" s="71"/>
      <c r="E349" s="19" t="s">
        <v>31</v>
      </c>
      <c r="F349" s="19" t="s">
        <v>18</v>
      </c>
      <c r="G349" s="32" t="s">
        <v>19</v>
      </c>
      <c r="H349" s="5"/>
      <c r="I349" s="19" t="s">
        <v>31</v>
      </c>
      <c r="J349" s="19" t="s">
        <v>20</v>
      </c>
      <c r="K349" s="32" t="s">
        <v>19</v>
      </c>
      <c r="L349" s="5"/>
      <c r="M349" s="72"/>
      <c r="N349" s="32"/>
      <c r="P349" s="72"/>
    </row>
    <row r="350" spans="1:16" ht="12.75">
      <c r="A350" s="74" t="s">
        <v>113</v>
      </c>
      <c r="B350" s="61"/>
      <c r="C350" s="35" t="s">
        <v>114</v>
      </c>
      <c r="D350" s="75"/>
      <c r="E350" s="38">
        <v>0</v>
      </c>
      <c r="F350" s="84">
        <f>'[1]Rates'!$M$26</f>
        <v>566.67</v>
      </c>
      <c r="G350" s="38">
        <f>E350*F350</f>
        <v>0</v>
      </c>
      <c r="H350" s="5"/>
      <c r="I350" s="66">
        <f>E350</f>
        <v>0</v>
      </c>
      <c r="J350" s="84" t="s">
        <v>4</v>
      </c>
      <c r="K350" s="38" t="s">
        <v>4</v>
      </c>
      <c r="L350" s="5"/>
      <c r="M350" s="187">
        <v>375</v>
      </c>
      <c r="N350" s="166">
        <f>'[1]Rates'!$M$26</f>
        <v>566.67</v>
      </c>
      <c r="P350" s="187">
        <f>'[1]Rates'!$O$26</f>
        <v>375</v>
      </c>
    </row>
    <row r="351" spans="1:16" ht="12.75">
      <c r="A351" s="136"/>
      <c r="B351" s="61"/>
      <c r="C351" s="35" t="s">
        <v>115</v>
      </c>
      <c r="D351" s="75"/>
      <c r="E351" s="38">
        <f>DSUM(billfactors,'[1]Bill Factor Input'!AA$2,UT_ITS)</f>
        <v>0</v>
      </c>
      <c r="F351" s="84">
        <f>'[1]Rates'!$M$27</f>
        <v>212.5</v>
      </c>
      <c r="G351" s="66">
        <f>E351*F351</f>
        <v>0</v>
      </c>
      <c r="H351" s="5"/>
      <c r="I351" s="66">
        <f>E351</f>
        <v>0</v>
      </c>
      <c r="J351" s="84" t="s">
        <v>4</v>
      </c>
      <c r="K351" s="38" t="s">
        <v>4</v>
      </c>
      <c r="L351" s="5"/>
      <c r="M351" s="187">
        <v>187.5</v>
      </c>
      <c r="N351" s="166">
        <f>'[1]Rates'!$M$27</f>
        <v>212.5</v>
      </c>
      <c r="P351" s="187">
        <f>'[1]Rates'!$O$27</f>
        <v>187.5</v>
      </c>
    </row>
    <row r="352" spans="1:16" ht="12.75">
      <c r="A352" s="136"/>
      <c r="B352" s="61"/>
      <c r="C352" s="35"/>
      <c r="D352" s="75"/>
      <c r="E352" s="56">
        <f>SUM(E350:E351)</f>
        <v>0</v>
      </c>
      <c r="F352" s="55"/>
      <c r="G352" s="56">
        <f>SUM(G350:G351)</f>
        <v>0</v>
      </c>
      <c r="H352" s="41"/>
      <c r="I352" s="56">
        <f>SUM(I350:I351)</f>
        <v>0</v>
      </c>
      <c r="J352" s="55"/>
      <c r="K352" s="56">
        <f>SUM(K350:K351)</f>
        <v>0</v>
      </c>
      <c r="L352" s="5"/>
      <c r="M352" s="188"/>
      <c r="N352" s="172"/>
      <c r="P352" s="188"/>
    </row>
    <row r="353" spans="1:16" ht="12.75">
      <c r="A353" s="136"/>
      <c r="B353" s="61"/>
      <c r="C353" s="61"/>
      <c r="D353" s="75"/>
      <c r="E353" s="173"/>
      <c r="F353" s="174"/>
      <c r="G353" s="174"/>
      <c r="H353" s="5"/>
      <c r="I353" s="173"/>
      <c r="J353" s="174"/>
      <c r="K353" s="174"/>
      <c r="L353" s="5"/>
      <c r="M353" s="189"/>
      <c r="N353" s="174"/>
      <c r="P353" s="189"/>
    </row>
    <row r="354" spans="1:16" ht="12.75">
      <c r="A354" s="74" t="s">
        <v>33</v>
      </c>
      <c r="B354" s="35" t="s">
        <v>42</v>
      </c>
      <c r="C354" s="61"/>
      <c r="D354" s="75"/>
      <c r="E354" s="38">
        <f>DSUM(billfactors,'[1]Bill Factor Input'!J$2,UT_ITS)</f>
        <v>0</v>
      </c>
      <c r="F354" s="84">
        <f>N354</f>
        <v>5</v>
      </c>
      <c r="G354" s="66">
        <f>E354*F354</f>
        <v>0</v>
      </c>
      <c r="H354" s="5"/>
      <c r="I354" s="66">
        <f aca="true" t="shared" si="6" ref="I354:J356">E354</f>
        <v>0</v>
      </c>
      <c r="J354" s="84">
        <f t="shared" si="6"/>
        <v>5</v>
      </c>
      <c r="K354" s="66">
        <f>I354*J354</f>
        <v>0</v>
      </c>
      <c r="L354" s="5"/>
      <c r="M354" s="85">
        <v>6</v>
      </c>
      <c r="N354" s="84">
        <f>'[1]Rates'!$M$16</f>
        <v>5</v>
      </c>
      <c r="P354" s="85">
        <f>'[1]Rates'!$O$16</f>
        <v>5</v>
      </c>
    </row>
    <row r="355" spans="1:16" ht="12.75">
      <c r="A355" s="74"/>
      <c r="B355" s="35" t="s">
        <v>43</v>
      </c>
      <c r="C355" s="61"/>
      <c r="D355" s="75"/>
      <c r="E355" s="38">
        <f>DSUM(billfactors,'[1]Bill Factor Input'!K$2,UT_ITS)</f>
        <v>0</v>
      </c>
      <c r="F355" s="84">
        <f>N355</f>
        <v>5</v>
      </c>
      <c r="G355" s="66">
        <f>E355*F355</f>
        <v>0</v>
      </c>
      <c r="H355" s="5"/>
      <c r="I355" s="66">
        <f t="shared" si="6"/>
        <v>0</v>
      </c>
      <c r="J355" s="84">
        <f t="shared" si="6"/>
        <v>5</v>
      </c>
      <c r="K355" s="66">
        <f>I355*J355</f>
        <v>0</v>
      </c>
      <c r="L355" s="5"/>
      <c r="M355" s="85">
        <v>8</v>
      </c>
      <c r="N355" s="84">
        <f>'[1]Rates'!$M$17</f>
        <v>5</v>
      </c>
      <c r="P355" s="85">
        <f>'[1]Rates'!$O$17</f>
        <v>6</v>
      </c>
    </row>
    <row r="356" spans="1:16" ht="12.75">
      <c r="A356" s="61"/>
      <c r="B356" s="35" t="s">
        <v>44</v>
      </c>
      <c r="C356" s="61"/>
      <c r="D356" s="75"/>
      <c r="E356" s="38">
        <f>DSUM(billfactors,'[1]Bill Factor Input'!L$2,UT_ITS)</f>
        <v>0</v>
      </c>
      <c r="F356" s="84">
        <f>N356</f>
        <v>21</v>
      </c>
      <c r="G356" s="66">
        <f>E356*F356</f>
        <v>0</v>
      </c>
      <c r="H356" s="5"/>
      <c r="I356" s="66">
        <f t="shared" si="6"/>
        <v>0</v>
      </c>
      <c r="J356" s="84">
        <f t="shared" si="6"/>
        <v>21</v>
      </c>
      <c r="K356" s="66">
        <f>I356*J356</f>
        <v>0</v>
      </c>
      <c r="L356" s="5"/>
      <c r="M356" s="85">
        <v>36</v>
      </c>
      <c r="N356" s="84">
        <f>'[1]Rates'!$M$18</f>
        <v>21</v>
      </c>
      <c r="P356" s="85">
        <f>'[1]Rates'!$O$18</f>
        <v>36</v>
      </c>
    </row>
    <row r="357" spans="1:16" ht="12.75">
      <c r="A357" s="61"/>
      <c r="B357" s="35" t="s">
        <v>45</v>
      </c>
      <c r="C357" s="61"/>
      <c r="D357" s="75"/>
      <c r="E357" s="38">
        <f>DSUM(billfactors,'[1]Bill Factor Input'!M$2,UT_ITS)</f>
        <v>12</v>
      </c>
      <c r="F357" s="84">
        <f>N357</f>
        <v>55</v>
      </c>
      <c r="G357" s="66">
        <f>E357*F357</f>
        <v>660</v>
      </c>
      <c r="H357" s="5"/>
      <c r="I357" s="66">
        <v>0</v>
      </c>
      <c r="J357" s="84">
        <f>F357</f>
        <v>55</v>
      </c>
      <c r="K357" s="66" t="s">
        <v>4</v>
      </c>
      <c r="L357" s="5"/>
      <c r="M357" s="85">
        <v>135</v>
      </c>
      <c r="N357" s="84">
        <f>'[1]Rates'!$M$19</f>
        <v>55</v>
      </c>
      <c r="P357" s="85">
        <f>'[1]Rates'!$O$19</f>
        <v>135</v>
      </c>
    </row>
    <row r="358" spans="1:16" ht="12.75">
      <c r="A358" s="61"/>
      <c r="B358" s="35" t="s">
        <v>72</v>
      </c>
      <c r="C358" s="61"/>
      <c r="D358" s="75"/>
      <c r="E358" s="38">
        <f>DSUM(billfactors,'[1]Bill Factor Input'!N$2,UT_ITS)</f>
        <v>0</v>
      </c>
      <c r="F358" s="84">
        <f>N358</f>
        <v>244</v>
      </c>
      <c r="G358" s="66">
        <f>E358*F358</f>
        <v>0</v>
      </c>
      <c r="H358" s="5"/>
      <c r="I358" s="66">
        <f>E358</f>
        <v>0</v>
      </c>
      <c r="J358" s="84">
        <f>F358</f>
        <v>244</v>
      </c>
      <c r="K358" s="66">
        <f>I358*J358</f>
        <v>0</v>
      </c>
      <c r="L358" s="5"/>
      <c r="M358" s="85">
        <v>416</v>
      </c>
      <c r="N358" s="84">
        <f>'[1]Rates'!$M$20</f>
        <v>244</v>
      </c>
      <c r="P358" s="85">
        <f>'[1]Rates'!$O$20</f>
        <v>416</v>
      </c>
    </row>
    <row r="359" spans="1:16" ht="12.75">
      <c r="A359" s="61"/>
      <c r="D359" s="1"/>
      <c r="H359" s="1"/>
      <c r="I359" s="1"/>
      <c r="J359" s="1"/>
      <c r="K359" s="1"/>
      <c r="L359" s="5"/>
      <c r="M359" s="85">
        <v>135</v>
      </c>
      <c r="N359" s="84">
        <f>'[1]Rates'!$M$21</f>
        <v>55</v>
      </c>
      <c r="P359" s="85">
        <f>'[1]Rates'!$O$21</f>
        <v>135</v>
      </c>
    </row>
    <row r="360" spans="1:16" ht="12.75">
      <c r="A360" s="61"/>
      <c r="D360" s="1"/>
      <c r="H360" s="1"/>
      <c r="I360" s="1"/>
      <c r="J360" s="1"/>
      <c r="K360" s="1"/>
      <c r="L360" s="5"/>
      <c r="M360" s="85">
        <v>416</v>
      </c>
      <c r="N360" s="84">
        <f>'[1]Rates'!$M$22</f>
        <v>244</v>
      </c>
      <c r="P360" s="85">
        <f>'[1]Rates'!$O$22</f>
        <v>416</v>
      </c>
    </row>
    <row r="361" spans="1:19" ht="12.75">
      <c r="A361" s="61"/>
      <c r="B361" s="51"/>
      <c r="C361" s="61"/>
      <c r="D361" s="75"/>
      <c r="E361" s="56">
        <f>SUM(E354:E360)</f>
        <v>12</v>
      </c>
      <c r="F361" s="55"/>
      <c r="G361" s="56">
        <f>SUM(G354:G360)</f>
        <v>660</v>
      </c>
      <c r="H361" s="41"/>
      <c r="I361" s="56">
        <f>SUM(I354:I360)</f>
        <v>0</v>
      </c>
      <c r="J361" s="55"/>
      <c r="K361" s="56">
        <f>SUM(K354:K360)</f>
        <v>0</v>
      </c>
      <c r="L361" s="5"/>
      <c r="M361" s="188"/>
      <c r="N361" s="172"/>
      <c r="P361" s="188"/>
      <c r="S361" s="25">
        <f>G361</f>
        <v>660</v>
      </c>
    </row>
    <row r="362" spans="1:16" ht="12.75">
      <c r="A362" s="61"/>
      <c r="B362" s="51"/>
      <c r="C362" s="61"/>
      <c r="D362" s="75"/>
      <c r="E362" s="177"/>
      <c r="F362" s="178"/>
      <c r="G362" s="177"/>
      <c r="H362" s="41"/>
      <c r="I362" s="177"/>
      <c r="J362" s="178"/>
      <c r="K362" s="177"/>
      <c r="L362" s="5"/>
      <c r="M362" s="194"/>
      <c r="N362" s="92"/>
      <c r="P362" s="194"/>
    </row>
    <row r="363" spans="1:16" ht="13.5" thickBot="1">
      <c r="A363" s="200"/>
      <c r="B363" s="51"/>
      <c r="C363" s="61"/>
      <c r="D363" s="75"/>
      <c r="E363" s="19" t="s">
        <v>145</v>
      </c>
      <c r="F363" s="19" t="s">
        <v>26</v>
      </c>
      <c r="G363" s="195"/>
      <c r="H363" s="41"/>
      <c r="I363" s="19" t="s">
        <v>145</v>
      </c>
      <c r="J363" s="19" t="s">
        <v>26</v>
      </c>
      <c r="K363" s="177"/>
      <c r="L363" s="5"/>
      <c r="M363" s="194"/>
      <c r="N363" s="92"/>
      <c r="P363" s="194"/>
    </row>
    <row r="364" spans="1:20" ht="12.75">
      <c r="A364" s="74" t="s">
        <v>144</v>
      </c>
      <c r="B364" s="51"/>
      <c r="C364" s="61"/>
      <c r="D364" s="75"/>
      <c r="E364" s="38">
        <f>'[1]Bill Factor Input'!AB29</f>
        <v>0</v>
      </c>
      <c r="F364" s="92" t="s">
        <v>4</v>
      </c>
      <c r="G364" s="177" t="s">
        <v>4</v>
      </c>
      <c r="H364" s="41"/>
      <c r="I364" s="38">
        <f>DSUM(billfactors,'[1]Bill Factor Input'!AB$2,UT_ITS)</f>
        <v>0</v>
      </c>
      <c r="J364" s="92">
        <v>0</v>
      </c>
      <c r="K364" s="177">
        <f>I364*J364</f>
        <v>0</v>
      </c>
      <c r="L364" s="5"/>
      <c r="M364" s="194">
        <v>18.86</v>
      </c>
      <c r="N364" s="92">
        <f>'[1]Rates'!$M$36</f>
        <v>22.16</v>
      </c>
      <c r="P364" s="194">
        <f>'[1]Rates'!$O$36</f>
        <v>22.16</v>
      </c>
      <c r="S364" s="201">
        <f>SUM(S342:S361)</f>
        <v>9720.96099049305</v>
      </c>
      <c r="T364" s="77">
        <f>G369-S364</f>
        <v>22477.039009506952</v>
      </c>
    </row>
    <row r="365" spans="1:16" ht="12.75">
      <c r="A365" s="74" t="s">
        <v>146</v>
      </c>
      <c r="B365" s="51"/>
      <c r="C365" s="61"/>
      <c r="D365" s="75"/>
      <c r="E365" s="38"/>
      <c r="F365" s="144"/>
      <c r="G365" s="66"/>
      <c r="H365" s="5"/>
      <c r="I365" s="66"/>
      <c r="J365" s="144"/>
      <c r="K365" s="66"/>
      <c r="L365" s="5"/>
      <c r="M365" s="144"/>
      <c r="N365" s="144"/>
      <c r="P365" s="144"/>
    </row>
    <row r="366" spans="1:16" ht="12.75">
      <c r="A366" s="108" t="s">
        <v>53</v>
      </c>
      <c r="B366" s="35"/>
      <c r="E366" s="56"/>
      <c r="F366" s="55"/>
      <c r="G366" s="56">
        <f>G357</f>
        <v>660</v>
      </c>
      <c r="H366" s="41"/>
      <c r="I366" s="56"/>
      <c r="J366" s="55"/>
      <c r="K366" s="56">
        <f>K352+K361+K364</f>
        <v>0</v>
      </c>
      <c r="L366" s="5"/>
      <c r="M366" s="88"/>
      <c r="N366" s="88"/>
      <c r="P366" s="58">
        <f>($K366-$G366)/$G366</f>
        <v>-1</v>
      </c>
    </row>
    <row r="367" spans="1:16" ht="13.5" thickBot="1">
      <c r="A367" s="5"/>
      <c r="B367" s="5"/>
      <c r="C367" s="5"/>
      <c r="D367" s="28"/>
      <c r="E367" s="106"/>
      <c r="F367" s="105"/>
      <c r="G367" s="111"/>
      <c r="H367" s="5"/>
      <c r="I367" s="106"/>
      <c r="J367" s="105"/>
      <c r="K367" s="111"/>
      <c r="L367" s="5"/>
      <c r="M367" s="105"/>
      <c r="N367" s="105"/>
      <c r="P367" s="105"/>
    </row>
    <row r="368" spans="1:16" ht="13.5" thickTop="1">
      <c r="A368" s="5"/>
      <c r="B368" s="5"/>
      <c r="C368" s="5"/>
      <c r="D368" s="28"/>
      <c r="E368" s="144"/>
      <c r="F368" s="4"/>
      <c r="G368" s="113"/>
      <c r="H368" s="5"/>
      <c r="I368" s="4"/>
      <c r="J368" s="4"/>
      <c r="K368" s="113"/>
      <c r="L368" s="5"/>
      <c r="M368" s="4"/>
      <c r="N368" s="4"/>
      <c r="P368" s="4"/>
    </row>
    <row r="369" spans="1:16" ht="12.75">
      <c r="A369" s="147" t="s">
        <v>151</v>
      </c>
      <c r="B369" s="5"/>
      <c r="C369" s="5"/>
      <c r="D369" s="28"/>
      <c r="E369" s="91"/>
      <c r="F369" s="5" t="s">
        <v>12</v>
      </c>
      <c r="G369" s="115">
        <f>G346+G366</f>
        <v>32198</v>
      </c>
      <c r="H369" s="91"/>
      <c r="I369" s="91"/>
      <c r="J369" s="91">
        <f>K369-G369</f>
        <v>-32198</v>
      </c>
      <c r="K369" s="91">
        <f>K346+K366</f>
        <v>0</v>
      </c>
      <c r="L369" s="5"/>
      <c r="M369" s="5"/>
      <c r="N369" s="5"/>
      <c r="P369" s="116">
        <f>($K369-$G369)/$G369</f>
        <v>-1</v>
      </c>
    </row>
    <row r="370" spans="1:16" ht="13.5" thickBot="1">
      <c r="A370" s="15"/>
      <c r="B370" s="15"/>
      <c r="C370" s="15"/>
      <c r="D370" s="133"/>
      <c r="E370" s="107"/>
      <c r="F370" s="15"/>
      <c r="G370" s="107"/>
      <c r="H370" s="91"/>
      <c r="I370" s="107"/>
      <c r="J370" s="116">
        <f>J369/G369</f>
        <v>-1</v>
      </c>
      <c r="K370" s="107"/>
      <c r="L370" s="5"/>
      <c r="M370" s="15"/>
      <c r="N370" s="15"/>
      <c r="P370" s="15"/>
    </row>
    <row r="371" spans="1:16" ht="12.75">
      <c r="A371" s="117"/>
      <c r="B371" s="2"/>
      <c r="C371" s="2"/>
      <c r="D371" s="3"/>
      <c r="E371" s="4"/>
      <c r="F371" s="4"/>
      <c r="G371" s="4"/>
      <c r="H371" s="5"/>
      <c r="I371" s="168"/>
      <c r="J371" s="4"/>
      <c r="K371" s="4"/>
      <c r="L371" s="5"/>
      <c r="M371" s="4"/>
      <c r="N371" s="4"/>
      <c r="P371" s="4"/>
    </row>
    <row r="372" spans="1:16" ht="12.75">
      <c r="A372" s="4"/>
      <c r="B372" s="4"/>
      <c r="C372" s="4"/>
      <c r="D372" s="22"/>
      <c r="E372" s="4"/>
      <c r="F372" s="4"/>
      <c r="G372" s="66"/>
      <c r="H372" s="5"/>
      <c r="I372" s="6"/>
      <c r="J372" s="275" t="s">
        <v>0</v>
      </c>
      <c r="K372" s="275"/>
      <c r="L372" s="275"/>
      <c r="M372" s="4"/>
      <c r="N372" s="4"/>
      <c r="P372" s="4"/>
    </row>
    <row r="373" spans="1:16" ht="12.75">
      <c r="A373" s="117" t="str">
        <f>A$2</f>
        <v>Proof of Revenue</v>
      </c>
      <c r="B373" s="4"/>
      <c r="C373" s="4"/>
      <c r="D373" s="22"/>
      <c r="E373" s="4"/>
      <c r="F373" s="4"/>
      <c r="G373" s="66"/>
      <c r="H373" s="5"/>
      <c r="I373" s="273" t="str">
        <f>$I$2</f>
        <v>DPU Exhibit 7.1SR</v>
      </c>
      <c r="J373" s="273"/>
      <c r="K373" s="273"/>
      <c r="L373" s="7"/>
      <c r="M373" s="4"/>
      <c r="N373" s="4"/>
      <c r="P373" s="4"/>
    </row>
    <row r="374" spans="1:16" ht="12.75">
      <c r="A374" s="4"/>
      <c r="B374" s="4"/>
      <c r="C374" s="4"/>
      <c r="D374" s="22"/>
      <c r="E374" s="4"/>
      <c r="F374" s="4"/>
      <c r="G374" s="66"/>
      <c r="H374" s="5"/>
      <c r="I374" s="118"/>
      <c r="J374" s="118"/>
      <c r="K374" s="118" t="s">
        <v>152</v>
      </c>
      <c r="L374" s="7"/>
      <c r="M374" s="4"/>
      <c r="N374" s="4"/>
      <c r="P374" s="4"/>
    </row>
    <row r="375" spans="1:16" ht="12.75">
      <c r="A375" s="4"/>
      <c r="B375" s="4"/>
      <c r="C375" s="4"/>
      <c r="D375" s="22"/>
      <c r="E375" s="4"/>
      <c r="F375" s="4"/>
      <c r="G375" s="66"/>
      <c r="H375" s="5"/>
      <c r="I375" s="4"/>
      <c r="J375" s="4"/>
      <c r="K375" s="4"/>
      <c r="L375" s="5"/>
      <c r="M375" s="4"/>
      <c r="N375" s="4"/>
      <c r="P375" s="4"/>
    </row>
    <row r="376" spans="1:16" ht="12.75">
      <c r="A376" s="147" t="s">
        <v>153</v>
      </c>
      <c r="B376" s="5"/>
      <c r="C376" s="5"/>
      <c r="D376" s="28"/>
      <c r="E376" s="9" t="s">
        <v>9</v>
      </c>
      <c r="F376" s="9"/>
      <c r="G376" s="9"/>
      <c r="H376" s="5"/>
      <c r="I376" s="274" t="s">
        <v>10</v>
      </c>
      <c r="J376" s="272"/>
      <c r="K376" s="272"/>
      <c r="L376" s="1"/>
      <c r="M376" s="137" t="s">
        <v>11</v>
      </c>
      <c r="N376" s="9" t="s">
        <v>12</v>
      </c>
      <c r="P376" s="137" t="s">
        <v>11</v>
      </c>
    </row>
    <row r="377" spans="1:16" ht="13.5" thickBot="1">
      <c r="A377" s="30" t="s">
        <v>17</v>
      </c>
      <c r="B377" s="17"/>
      <c r="C377" s="17"/>
      <c r="D377" s="31" t="s">
        <v>14</v>
      </c>
      <c r="E377" s="19" t="s">
        <v>14</v>
      </c>
      <c r="F377" s="19" t="s">
        <v>18</v>
      </c>
      <c r="G377" s="32" t="s">
        <v>19</v>
      </c>
      <c r="H377" s="5"/>
      <c r="I377" s="19" t="s">
        <v>14</v>
      </c>
      <c r="J377" s="19" t="s">
        <v>20</v>
      </c>
      <c r="K377" s="32" t="s">
        <v>19</v>
      </c>
      <c r="L377" s="5"/>
      <c r="M377" s="138" t="s">
        <v>21</v>
      </c>
      <c r="N377" s="32" t="s">
        <v>21</v>
      </c>
      <c r="P377" s="138" t="s">
        <v>21</v>
      </c>
    </row>
    <row r="378" spans="1:16" ht="12.75">
      <c r="A378" s="35"/>
      <c r="B378" s="35" t="s">
        <v>24</v>
      </c>
      <c r="C378" s="35" t="str">
        <f>'[1]Rates'!G243</f>
        <v>All Over</v>
      </c>
      <c r="D378" s="35">
        <f>'[1]Rates'!H243</f>
        <v>0</v>
      </c>
      <c r="E378" s="38">
        <f>DSUM(billfactors,'[1]Bill Factor Input'!T$2,UT_E1)</f>
        <v>0</v>
      </c>
      <c r="F378" s="39">
        <f>'[1]Rates'!$M$243</f>
        <v>1.66829</v>
      </c>
      <c r="G378" s="38">
        <f>ROUND(E378*F378,0)</f>
        <v>0</v>
      </c>
      <c r="H378" s="41"/>
      <c r="I378" s="38">
        <f>E378</f>
        <v>0</v>
      </c>
      <c r="J378" s="39">
        <f>M378</f>
        <v>1.8048154866061494</v>
      </c>
      <c r="K378" s="38">
        <f>I378*J378</f>
        <v>0</v>
      </c>
      <c r="L378" s="5"/>
      <c r="M378" s="139">
        <f>$N$378*(1+'[1]Rules'!$F$49)</f>
        <v>1.8048154866061494</v>
      </c>
      <c r="N378" s="39">
        <f>'[1]Rates'!$M$243</f>
        <v>1.66829</v>
      </c>
      <c r="P378" s="139">
        <f>ROUND($N$378*(1+'[1]Rules'!$F$49),5)</f>
        <v>1.80482</v>
      </c>
    </row>
    <row r="379" spans="1:16" ht="12.75">
      <c r="A379" s="53" t="s">
        <v>28</v>
      </c>
      <c r="C379" s="35"/>
      <c r="D379" s="49"/>
      <c r="E379" s="56">
        <f>SUM(E378:E378)</f>
        <v>0</v>
      </c>
      <c r="F379" s="55"/>
      <c r="G379" s="56">
        <f>SUM(G378:G378)</f>
        <v>0</v>
      </c>
      <c r="H379" s="41"/>
      <c r="I379" s="56">
        <f>SUM(I378:I378)</f>
        <v>0</v>
      </c>
      <c r="J379" s="55"/>
      <c r="K379" s="56">
        <f>SUM(K378:K378)</f>
        <v>0</v>
      </c>
      <c r="L379" s="5"/>
      <c r="M379" s="55"/>
      <c r="N379" s="55"/>
      <c r="P379" s="55"/>
    </row>
    <row r="380" spans="1:16" ht="13.5" thickBot="1">
      <c r="A380" s="5"/>
      <c r="B380" s="5"/>
      <c r="C380" s="5"/>
      <c r="D380" s="28"/>
      <c r="E380" s="106"/>
      <c r="F380" s="105"/>
      <c r="G380" s="111"/>
      <c r="H380" s="5"/>
      <c r="I380" s="106"/>
      <c r="J380" s="105"/>
      <c r="K380" s="111"/>
      <c r="L380" s="5"/>
      <c r="M380" s="105"/>
      <c r="N380" s="105"/>
      <c r="P380" s="105"/>
    </row>
    <row r="381" spans="1:16" ht="13.5" thickTop="1">
      <c r="A381" s="5"/>
      <c r="B381" s="5"/>
      <c r="C381" s="5"/>
      <c r="D381" s="28"/>
      <c r="E381" s="4"/>
      <c r="F381" s="4"/>
      <c r="G381" s="113"/>
      <c r="H381" s="5"/>
      <c r="I381" s="4"/>
      <c r="J381" s="4"/>
      <c r="K381" s="113"/>
      <c r="L381" s="5"/>
      <c r="M381" s="4"/>
      <c r="N381" s="4"/>
      <c r="P381" s="4"/>
    </row>
    <row r="382" spans="1:16" ht="12.75">
      <c r="A382" s="147" t="s">
        <v>154</v>
      </c>
      <c r="B382" s="5"/>
      <c r="C382" s="5"/>
      <c r="D382" s="28"/>
      <c r="E382" s="91"/>
      <c r="F382" s="5"/>
      <c r="G382" s="91">
        <f>G379</f>
        <v>0</v>
      </c>
      <c r="H382" s="91"/>
      <c r="I382" s="91"/>
      <c r="J382" s="5"/>
      <c r="K382" s="91">
        <f>K379</f>
        <v>0</v>
      </c>
      <c r="L382" s="5"/>
      <c r="M382" s="5"/>
      <c r="N382" s="5"/>
      <c r="P382" s="5"/>
    </row>
    <row r="383" spans="8:16" ht="12.75">
      <c r="H383" s="1"/>
      <c r="I383" s="1"/>
      <c r="J383" s="1"/>
      <c r="K383" s="1"/>
      <c r="L383" s="5"/>
      <c r="M383" s="5"/>
      <c r="N383" s="5"/>
      <c r="P383" s="5"/>
    </row>
    <row r="384" spans="1:16" ht="13.5" thickBo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P384" s="5"/>
    </row>
    <row r="385" spans="1:14" ht="12.75">
      <c r="A385" s="202"/>
      <c r="B385" s="203"/>
      <c r="C385" s="203"/>
      <c r="D385" s="204"/>
      <c r="E385" s="203"/>
      <c r="F385" s="203"/>
      <c r="G385" s="205"/>
      <c r="H385" s="203"/>
      <c r="I385" s="203"/>
      <c r="J385" s="203"/>
      <c r="K385" s="206"/>
      <c r="L385" s="5"/>
      <c r="M385" s="207"/>
      <c r="N385" s="208"/>
    </row>
    <row r="386" spans="1:14" ht="12.75">
      <c r="A386" s="209" t="s">
        <v>155</v>
      </c>
      <c r="B386" s="210"/>
      <c r="C386" s="210"/>
      <c r="D386" s="211"/>
      <c r="E386" s="212"/>
      <c r="F386" s="189" t="s">
        <v>156</v>
      </c>
      <c r="G386" s="212"/>
      <c r="H386" s="213"/>
      <c r="I386" s="212"/>
      <c r="J386" s="189" t="s">
        <v>157</v>
      </c>
      <c r="K386" s="214"/>
      <c r="L386" s="5"/>
      <c r="M386" s="268"/>
      <c r="N386" s="269"/>
    </row>
    <row r="387" spans="1:14" ht="13.5" thickBot="1">
      <c r="A387" s="215"/>
      <c r="B387" s="213" t="s">
        <v>158</v>
      </c>
      <c r="C387" s="213"/>
      <c r="D387" s="216"/>
      <c r="E387" s="33" t="s">
        <v>14</v>
      </c>
      <c r="F387" s="217"/>
      <c r="G387" s="218" t="s">
        <v>19</v>
      </c>
      <c r="H387" s="213"/>
      <c r="I387" s="33" t="s">
        <v>14</v>
      </c>
      <c r="J387" s="219" t="s">
        <v>159</v>
      </c>
      <c r="K387" s="220" t="s">
        <v>19</v>
      </c>
      <c r="L387" s="5"/>
      <c r="M387" s="266"/>
      <c r="N387" s="267"/>
    </row>
    <row r="388" spans="1:14" ht="12.75">
      <c r="A388" s="215"/>
      <c r="B388" s="213"/>
      <c r="C388" s="221" t="s">
        <v>160</v>
      </c>
      <c r="D388" s="216"/>
      <c r="E388" s="222">
        <f>E11</f>
        <v>63152743</v>
      </c>
      <c r="F388" s="213"/>
      <c r="G388" s="223">
        <f>G38</f>
        <v>178006777.41797873</v>
      </c>
      <c r="H388" s="213"/>
      <c r="I388" s="222">
        <f>I11</f>
        <v>63609777.44443588</v>
      </c>
      <c r="J388" s="223">
        <f aca="true" t="shared" si="7" ref="J388:J393">K388-G388</f>
        <v>8025371.245876402</v>
      </c>
      <c r="K388" s="224">
        <f>K38</f>
        <v>186032148.66385514</v>
      </c>
      <c r="L388" s="5"/>
      <c r="M388" s="225"/>
      <c r="N388" s="226"/>
    </row>
    <row r="389" spans="1:14" ht="12.75">
      <c r="A389" s="215"/>
      <c r="B389" s="213"/>
      <c r="C389" s="221" t="s">
        <v>161</v>
      </c>
      <c r="D389" s="216"/>
      <c r="E389" s="222">
        <f>E53</f>
        <v>25849162</v>
      </c>
      <c r="F389" s="213"/>
      <c r="G389" s="222">
        <f>G76</f>
        <v>41138500.81202227</v>
      </c>
      <c r="H389" s="213"/>
      <c r="I389" s="222">
        <f>I53</f>
        <v>26036227.555564124</v>
      </c>
      <c r="J389" s="223">
        <f t="shared" si="7"/>
        <v>1840269.4884502143</v>
      </c>
      <c r="K389" s="227">
        <f>K75</f>
        <v>42978770.30047248</v>
      </c>
      <c r="L389" s="5"/>
      <c r="M389" s="225"/>
      <c r="N389" s="226"/>
    </row>
    <row r="390" spans="1:14" ht="12.75">
      <c r="A390" s="215"/>
      <c r="B390" s="213"/>
      <c r="C390" s="74" t="s">
        <v>162</v>
      </c>
      <c r="D390" s="216"/>
      <c r="E390" s="222">
        <f>E87</f>
        <v>644104</v>
      </c>
      <c r="F390" s="213"/>
      <c r="G390" s="222">
        <v>0</v>
      </c>
      <c r="H390" s="213"/>
      <c r="I390" s="222">
        <f>I87</f>
        <v>0</v>
      </c>
      <c r="J390" s="223">
        <f t="shared" si="7"/>
        <v>0</v>
      </c>
      <c r="K390" s="227">
        <f>K100</f>
        <v>0</v>
      </c>
      <c r="L390" s="5"/>
      <c r="M390" s="225"/>
      <c r="N390" s="226"/>
    </row>
    <row r="391" spans="1:14" ht="12.75">
      <c r="A391" s="215"/>
      <c r="B391" s="213"/>
      <c r="C391" s="213" t="s">
        <v>163</v>
      </c>
      <c r="D391" s="216"/>
      <c r="E391" s="222">
        <f>E105</f>
        <v>137419</v>
      </c>
      <c r="F391" s="213"/>
      <c r="G391" s="222">
        <f>G108</f>
        <v>351339</v>
      </c>
      <c r="H391" s="213"/>
      <c r="I391" s="222">
        <f>I105</f>
        <v>137419</v>
      </c>
      <c r="J391" s="223">
        <f t="shared" si="7"/>
        <v>330302</v>
      </c>
      <c r="K391" s="227">
        <f>K108</f>
        <v>681641</v>
      </c>
      <c r="L391" s="5"/>
      <c r="M391" s="225"/>
      <c r="N391" s="226"/>
    </row>
    <row r="392" spans="1:14" ht="12.75">
      <c r="A392" s="215"/>
      <c r="B392" s="213"/>
      <c r="C392" s="213" t="s">
        <v>164</v>
      </c>
      <c r="D392" s="216"/>
      <c r="E392" s="222">
        <f>E123</f>
        <v>7624129</v>
      </c>
      <c r="F392" s="213"/>
      <c r="G392" s="222">
        <f>G137</f>
        <v>3866562</v>
      </c>
      <c r="H392" s="213"/>
      <c r="I392" s="222">
        <f>I123</f>
        <v>7158193</v>
      </c>
      <c r="J392" s="228">
        <f t="shared" si="7"/>
        <v>386657</v>
      </c>
      <c r="K392" s="229">
        <f>K137</f>
        <v>4253219</v>
      </c>
      <c r="L392" s="5"/>
      <c r="M392" s="230"/>
      <c r="N392" s="231"/>
    </row>
    <row r="393" spans="1:14" ht="12.75">
      <c r="A393" s="215"/>
      <c r="B393" s="213" t="s">
        <v>165</v>
      </c>
      <c r="C393" s="213"/>
      <c r="D393" s="216"/>
      <c r="E393" s="232">
        <f>SUM(E388:E392)</f>
        <v>97407557</v>
      </c>
      <c r="F393" s="233"/>
      <c r="G393" s="234">
        <f>SUM(G388:G392)</f>
        <v>223363179.230001</v>
      </c>
      <c r="H393" s="213"/>
      <c r="I393" s="232">
        <f>SUM(I388:I392)</f>
        <v>96941617</v>
      </c>
      <c r="J393" s="223">
        <f t="shared" si="7"/>
        <v>10582599.73432663</v>
      </c>
      <c r="K393" s="235">
        <f>SUM(K388:K392)</f>
        <v>233945778.96432763</v>
      </c>
      <c r="L393" s="5"/>
      <c r="M393" s="236"/>
      <c r="N393" s="237"/>
    </row>
    <row r="394" spans="1:14" ht="12.75">
      <c r="A394" s="215"/>
      <c r="B394" s="213"/>
      <c r="C394" s="213"/>
      <c r="D394" s="216"/>
      <c r="E394" s="213"/>
      <c r="F394" s="213"/>
      <c r="G394" s="213"/>
      <c r="H394" s="213"/>
      <c r="I394" s="213"/>
      <c r="J394" s="213"/>
      <c r="K394" s="238"/>
      <c r="L394" s="5"/>
      <c r="M394" s="239"/>
      <c r="N394" s="240"/>
    </row>
    <row r="395" spans="1:14" ht="12.75">
      <c r="A395" s="215"/>
      <c r="B395" s="213" t="s">
        <v>166</v>
      </c>
      <c r="C395" s="213"/>
      <c r="D395" s="216"/>
      <c r="E395" s="213"/>
      <c r="F395" s="213"/>
      <c r="G395" s="213"/>
      <c r="H395" s="213"/>
      <c r="I395" s="213"/>
      <c r="J395" s="213"/>
      <c r="K395" s="238"/>
      <c r="L395" s="5"/>
      <c r="M395" s="239"/>
      <c r="N395" s="240"/>
    </row>
    <row r="396" spans="1:14" ht="12.75">
      <c r="A396" s="215"/>
      <c r="B396" s="213"/>
      <c r="C396" s="221" t="s">
        <v>167</v>
      </c>
      <c r="D396" s="216"/>
      <c r="E396" s="222">
        <f>E149</f>
        <v>1510068</v>
      </c>
      <c r="F396" s="213"/>
      <c r="G396" s="223">
        <f>G164</f>
        <v>510598</v>
      </c>
      <c r="H396" s="213"/>
      <c r="I396" s="222">
        <f>I149</f>
        <v>1687419</v>
      </c>
      <c r="J396" s="223">
        <f>K396-G396</f>
        <v>0</v>
      </c>
      <c r="K396" s="224">
        <f>K164</f>
        <v>510598</v>
      </c>
      <c r="L396" s="5"/>
      <c r="M396" s="225"/>
      <c r="N396" s="226"/>
    </row>
    <row r="397" spans="1:14" ht="12.75">
      <c r="A397" s="215"/>
      <c r="B397" s="213"/>
      <c r="C397" s="74" t="s">
        <v>168</v>
      </c>
      <c r="D397" s="216"/>
      <c r="E397" s="222">
        <f>E171</f>
        <v>316974</v>
      </c>
      <c r="F397" s="213"/>
      <c r="G397" s="222">
        <v>0</v>
      </c>
      <c r="H397" s="213"/>
      <c r="I397" s="222">
        <f>I171</f>
        <v>0</v>
      </c>
      <c r="J397" s="223">
        <f>K397-G397</f>
        <v>0</v>
      </c>
      <c r="K397" s="227">
        <f>K179</f>
        <v>0</v>
      </c>
      <c r="L397" s="5"/>
      <c r="M397" s="225"/>
      <c r="N397" s="226"/>
    </row>
    <row r="398" spans="1:14" ht="12.75">
      <c r="A398" s="215"/>
      <c r="B398" s="213"/>
      <c r="C398" s="221" t="s">
        <v>169</v>
      </c>
      <c r="D398" s="216"/>
      <c r="E398" s="222">
        <f>E379</f>
        <v>0</v>
      </c>
      <c r="F398" s="213"/>
      <c r="G398" s="222">
        <f>G382</f>
        <v>0</v>
      </c>
      <c r="H398" s="213"/>
      <c r="I398" s="222">
        <f>I379</f>
        <v>0</v>
      </c>
      <c r="J398" s="228">
        <f>K398-G398</f>
        <v>0</v>
      </c>
      <c r="K398" s="227">
        <f>K382</f>
        <v>0</v>
      </c>
      <c r="L398" s="5"/>
      <c r="M398" s="230"/>
      <c r="N398" s="231"/>
    </row>
    <row r="399" spans="1:14" ht="12.75">
      <c r="A399" s="215"/>
      <c r="B399" s="213" t="s">
        <v>170</v>
      </c>
      <c r="C399" s="213"/>
      <c r="D399" s="216"/>
      <c r="E399" s="232">
        <f>SUM(E396:E398)</f>
        <v>1827042</v>
      </c>
      <c r="F399" s="233"/>
      <c r="G399" s="234">
        <f>SUM(G396:G398)</f>
        <v>510598</v>
      </c>
      <c r="H399" s="213"/>
      <c r="I399" s="232">
        <f>SUM(I396:I398)</f>
        <v>1687419</v>
      </c>
      <c r="J399" s="223">
        <f>K399-G399</f>
        <v>0</v>
      </c>
      <c r="K399" s="235">
        <f>SUM(K396:K398)</f>
        <v>510598</v>
      </c>
      <c r="L399" s="5"/>
      <c r="M399" s="241"/>
      <c r="N399" s="237"/>
    </row>
    <row r="400" spans="1:14" ht="13.5" thickBot="1">
      <c r="A400" s="215"/>
      <c r="B400" s="213"/>
      <c r="C400" s="213"/>
      <c r="D400" s="216"/>
      <c r="E400" s="217"/>
      <c r="F400" s="217"/>
      <c r="G400" s="217"/>
      <c r="H400" s="213"/>
      <c r="I400" s="217"/>
      <c r="J400" s="217"/>
      <c r="K400" s="242"/>
      <c r="L400" s="5"/>
      <c r="M400" s="239"/>
      <c r="N400" s="240"/>
    </row>
    <row r="401" spans="1:14" ht="12.75">
      <c r="A401" s="215"/>
      <c r="B401" s="213"/>
      <c r="C401" s="213"/>
      <c r="D401" s="216"/>
      <c r="E401" s="213"/>
      <c r="F401" s="213"/>
      <c r="G401" s="213"/>
      <c r="H401" s="213"/>
      <c r="I401" s="213"/>
      <c r="J401" s="213"/>
      <c r="K401" s="238"/>
      <c r="L401" s="5"/>
      <c r="M401" s="239"/>
      <c r="N401" s="240"/>
    </row>
    <row r="402" spans="1:14" ht="12.75">
      <c r="A402" s="215"/>
      <c r="B402" s="213" t="s">
        <v>171</v>
      </c>
      <c r="C402" s="213"/>
      <c r="D402" s="216"/>
      <c r="E402" s="222">
        <f>E393+E399</f>
        <v>99234599</v>
      </c>
      <c r="F402" s="213"/>
      <c r="G402" s="223">
        <f>G393+G399</f>
        <v>223873777.230001</v>
      </c>
      <c r="H402" s="213"/>
      <c r="I402" s="222">
        <f>I393+I399</f>
        <v>98629036</v>
      </c>
      <c r="J402" s="223">
        <f>K402-G402</f>
        <v>10582599.73432663</v>
      </c>
      <c r="K402" s="224">
        <f>K393+K399</f>
        <v>234456376.96432763</v>
      </c>
      <c r="L402" s="5"/>
      <c r="M402" s="239"/>
      <c r="N402" s="240"/>
    </row>
    <row r="403" spans="1:14" ht="12.75">
      <c r="A403" s="215"/>
      <c r="B403" s="213"/>
      <c r="C403" s="213"/>
      <c r="D403" s="216"/>
      <c r="E403" s="213"/>
      <c r="F403" s="213"/>
      <c r="G403" s="213"/>
      <c r="H403" s="213"/>
      <c r="I403" s="213"/>
      <c r="J403" s="213"/>
      <c r="K403" s="238"/>
      <c r="L403" s="5"/>
      <c r="M403" s="239"/>
      <c r="N403" s="240"/>
    </row>
    <row r="404" spans="1:14" ht="12.75">
      <c r="A404" s="215"/>
      <c r="B404" s="213" t="s">
        <v>172</v>
      </c>
      <c r="C404" s="213"/>
      <c r="D404" s="216"/>
      <c r="E404" s="213"/>
      <c r="F404" s="213"/>
      <c r="G404" s="213"/>
      <c r="H404" s="213"/>
      <c r="I404" s="213"/>
      <c r="J404" s="213"/>
      <c r="K404" s="238"/>
      <c r="L404" s="5"/>
      <c r="M404" s="239"/>
      <c r="N404" s="240"/>
    </row>
    <row r="405" spans="1:14" ht="12.75">
      <c r="A405" s="215"/>
      <c r="B405" s="213"/>
      <c r="C405" s="213" t="s">
        <v>173</v>
      </c>
      <c r="D405" s="216"/>
      <c r="E405" s="222">
        <f>E188</f>
        <v>8268846</v>
      </c>
      <c r="F405" s="213"/>
      <c r="G405" s="223">
        <f>G208</f>
        <v>1481695.96</v>
      </c>
      <c r="H405" s="213"/>
      <c r="I405" s="222">
        <f>I188</f>
        <v>8268846</v>
      </c>
      <c r="J405" s="223">
        <f aca="true" t="shared" si="8" ref="J405:J411">K405-G405</f>
        <v>185212.30000000005</v>
      </c>
      <c r="K405" s="224">
        <f>K208</f>
        <v>1666908.26</v>
      </c>
      <c r="L405" s="5"/>
      <c r="M405" s="225"/>
      <c r="N405" s="226"/>
    </row>
    <row r="406" spans="1:14" ht="12.75">
      <c r="A406" s="215"/>
      <c r="B406" s="213"/>
      <c r="C406" s="213" t="s">
        <v>174</v>
      </c>
      <c r="D406" s="216"/>
      <c r="E406" s="222">
        <f>E225</f>
        <v>26462500</v>
      </c>
      <c r="F406" s="213"/>
      <c r="G406" s="222">
        <f>G238</f>
        <v>2976000</v>
      </c>
      <c r="H406" s="213"/>
      <c r="I406" s="222">
        <f>I225</f>
        <v>26462500</v>
      </c>
      <c r="J406" s="223">
        <f t="shared" si="8"/>
        <v>0</v>
      </c>
      <c r="K406" s="227">
        <f>K238</f>
        <v>2976000</v>
      </c>
      <c r="L406" s="5"/>
      <c r="M406" s="225"/>
      <c r="N406" s="226"/>
    </row>
    <row r="407" spans="1:14" ht="12.75">
      <c r="A407" s="215"/>
      <c r="B407" s="213"/>
      <c r="C407" s="213" t="s">
        <v>175</v>
      </c>
      <c r="D407" s="216"/>
      <c r="E407" s="222">
        <f>E247</f>
        <v>150704</v>
      </c>
      <c r="F407" s="213"/>
      <c r="G407" s="222">
        <f>G267</f>
        <v>22530.04</v>
      </c>
      <c r="H407" s="213"/>
      <c r="I407" s="222">
        <f>I247</f>
        <v>150704</v>
      </c>
      <c r="J407" s="223">
        <f t="shared" si="8"/>
        <v>-0.040000000000873115</v>
      </c>
      <c r="K407" s="227">
        <f>K267</f>
        <v>22530</v>
      </c>
      <c r="L407" s="5"/>
      <c r="M407" s="225"/>
      <c r="N407" s="226"/>
    </row>
    <row r="408" spans="1:14" ht="12.75">
      <c r="A408" s="215"/>
      <c r="B408" s="213"/>
      <c r="C408" s="213" t="s">
        <v>176</v>
      </c>
      <c r="D408" s="216"/>
      <c r="E408" s="222">
        <f>E277</f>
        <v>21216</v>
      </c>
      <c r="F408" s="213"/>
      <c r="G408" s="222">
        <f>G297</f>
        <v>15229.039999999999</v>
      </c>
      <c r="H408" s="213"/>
      <c r="I408" s="222">
        <f>I277</f>
        <v>21216</v>
      </c>
      <c r="J408" s="223">
        <f t="shared" si="8"/>
        <v>-0.039999999999054126</v>
      </c>
      <c r="K408" s="227">
        <f>K297</f>
        <v>15229</v>
      </c>
      <c r="L408" s="5"/>
      <c r="M408" s="225"/>
      <c r="N408" s="226"/>
    </row>
    <row r="409" spans="1:14" ht="12.75">
      <c r="A409" s="215"/>
      <c r="B409" s="213"/>
      <c r="C409" s="243" t="s">
        <v>177</v>
      </c>
      <c r="D409" s="216"/>
      <c r="E409" s="222">
        <f>V322</f>
        <v>26834638</v>
      </c>
      <c r="F409" s="213"/>
      <c r="G409" s="222">
        <f>G334</f>
        <v>4794615</v>
      </c>
      <c r="H409" s="213"/>
      <c r="I409" s="222">
        <f>I310</f>
        <v>27471010</v>
      </c>
      <c r="J409" s="223">
        <f t="shared" si="8"/>
        <v>1198653.2199999997</v>
      </c>
      <c r="K409" s="227">
        <f>K334</f>
        <v>5993268.22</v>
      </c>
      <c r="L409" s="5"/>
      <c r="M409" s="225"/>
      <c r="N409" s="226"/>
    </row>
    <row r="410" spans="1:14" ht="12.75">
      <c r="A410" s="215"/>
      <c r="B410" s="213"/>
      <c r="C410" s="74" t="s">
        <v>178</v>
      </c>
      <c r="D410" s="216"/>
      <c r="E410" s="222">
        <f>E346</f>
        <v>36423</v>
      </c>
      <c r="F410" s="213"/>
      <c r="G410" s="222">
        <v>0</v>
      </c>
      <c r="H410" s="213"/>
      <c r="I410" s="222">
        <f>I346</f>
        <v>0</v>
      </c>
      <c r="J410" s="228">
        <f t="shared" si="8"/>
        <v>0</v>
      </c>
      <c r="K410" s="227">
        <f>K369</f>
        <v>0</v>
      </c>
      <c r="L410" s="5"/>
      <c r="M410" s="230"/>
      <c r="N410" s="231"/>
    </row>
    <row r="411" spans="1:14" ht="13.5" thickBot="1">
      <c r="A411" s="215"/>
      <c r="B411" s="213" t="s">
        <v>179</v>
      </c>
      <c r="C411" s="213"/>
      <c r="D411" s="216"/>
      <c r="E411" s="232">
        <f>SUM(E405:E410)</f>
        <v>61774327</v>
      </c>
      <c r="F411" s="233"/>
      <c r="G411" s="234">
        <f>SUM(G405:G410)</f>
        <v>9290070.04</v>
      </c>
      <c r="H411" s="213"/>
      <c r="I411" s="232">
        <f>SUM(I405:I410)</f>
        <v>62374276</v>
      </c>
      <c r="J411" s="223">
        <f t="shared" si="8"/>
        <v>1383865.4400000013</v>
      </c>
      <c r="K411" s="235">
        <f>SUM(K405:K410)</f>
        <v>10673935.48</v>
      </c>
      <c r="L411" s="5"/>
      <c r="M411" s="244"/>
      <c r="N411" s="245"/>
    </row>
    <row r="412" spans="1:16" ht="13.5" thickBot="1">
      <c r="A412" s="215"/>
      <c r="B412" s="213"/>
      <c r="C412" s="213"/>
      <c r="D412" s="216"/>
      <c r="E412" s="246"/>
      <c r="F412" s="246"/>
      <c r="G412" s="246"/>
      <c r="H412" s="213"/>
      <c r="I412" s="246"/>
      <c r="J412" s="246"/>
      <c r="K412" s="247"/>
      <c r="L412" s="5"/>
      <c r="M412" s="5"/>
      <c r="N412" s="5"/>
      <c r="P412" s="5"/>
    </row>
    <row r="413" spans="1:16" ht="13.5" thickTop="1">
      <c r="A413" s="215"/>
      <c r="B413" s="213"/>
      <c r="C413" s="213"/>
      <c r="D413" s="216"/>
      <c r="E413" s="213"/>
      <c r="F413" s="213"/>
      <c r="G413" s="213"/>
      <c r="H413" s="213"/>
      <c r="I413" s="213"/>
      <c r="J413" s="213"/>
      <c r="K413" s="238"/>
      <c r="L413" s="5"/>
      <c r="M413" s="5"/>
      <c r="N413" s="5"/>
      <c r="P413" s="5"/>
    </row>
    <row r="414" spans="1:16" ht="12.75">
      <c r="A414" s="215"/>
      <c r="B414" s="213" t="s">
        <v>180</v>
      </c>
      <c r="C414" s="213"/>
      <c r="D414" s="216"/>
      <c r="E414" s="222">
        <f>E402+E411</f>
        <v>161008926</v>
      </c>
      <c r="F414" s="213"/>
      <c r="G414" s="223">
        <f>G402+G411</f>
        <v>233163847.270001</v>
      </c>
      <c r="H414" s="213"/>
      <c r="I414" s="222">
        <f>I402+I411</f>
        <v>161003312</v>
      </c>
      <c r="J414" s="223">
        <f>K414-G414</f>
        <v>11966465.174326628</v>
      </c>
      <c r="K414" s="224">
        <f>K402+K411</f>
        <v>245130312.44432762</v>
      </c>
      <c r="L414" s="5"/>
      <c r="M414" s="5"/>
      <c r="N414" s="5"/>
      <c r="P414" s="5"/>
    </row>
    <row r="415" spans="1:16" ht="12.75">
      <c r="A415" s="215"/>
      <c r="B415" s="213" t="s">
        <v>181</v>
      </c>
      <c r="C415" s="213"/>
      <c r="D415" s="216"/>
      <c r="E415" s="222"/>
      <c r="F415" s="213"/>
      <c r="G415" s="223">
        <f>'[1]COS Summary'!$G$164</f>
        <v>5974098.95366651</v>
      </c>
      <c r="H415" s="213"/>
      <c r="I415" s="222"/>
      <c r="J415" s="223">
        <f>K415-G415</f>
        <v>0</v>
      </c>
      <c r="K415" s="224">
        <f>G415</f>
        <v>5974098.95366651</v>
      </c>
      <c r="L415" s="5"/>
      <c r="M415" s="5"/>
      <c r="N415" s="5"/>
      <c r="P415" s="5"/>
    </row>
    <row r="416" spans="1:16" ht="6.75" customHeight="1" thickBot="1">
      <c r="A416" s="215"/>
      <c r="B416" s="213"/>
      <c r="C416" s="213"/>
      <c r="D416" s="216"/>
      <c r="E416" s="246"/>
      <c r="F416" s="246"/>
      <c r="G416" s="246"/>
      <c r="H416" s="213"/>
      <c r="I416" s="246"/>
      <c r="J416" s="246"/>
      <c r="K416" s="247"/>
      <c r="L416" s="5"/>
      <c r="M416" s="5"/>
      <c r="N416" s="5"/>
      <c r="P416" s="5"/>
    </row>
    <row r="417" spans="1:16" ht="6.75" customHeight="1" thickTop="1">
      <c r="A417" s="215"/>
      <c r="B417" s="213"/>
      <c r="C417" s="213"/>
      <c r="D417" s="216"/>
      <c r="E417" s="213"/>
      <c r="F417" s="213"/>
      <c r="G417" s="213"/>
      <c r="H417" s="213"/>
      <c r="I417" s="213"/>
      <c r="J417" s="213"/>
      <c r="K417" s="238"/>
      <c r="L417" s="5"/>
      <c r="M417" s="5"/>
      <c r="N417" s="5"/>
      <c r="P417" s="5"/>
    </row>
    <row r="418" spans="1:16" ht="12.75">
      <c r="A418" s="215"/>
      <c r="B418" s="213" t="s">
        <v>182</v>
      </c>
      <c r="C418" s="213"/>
      <c r="D418" s="216"/>
      <c r="E418" s="222"/>
      <c r="F418" s="213"/>
      <c r="G418" s="223">
        <f>SUM(G414:G417)</f>
        <v>239137946.2236675</v>
      </c>
      <c r="H418" s="213"/>
      <c r="I418" s="222"/>
      <c r="J418" s="213" t="s">
        <v>183</v>
      </c>
      <c r="K418" s="224">
        <f>K402+K411+K415</f>
        <v>251104411.39799413</v>
      </c>
      <c r="L418" s="5"/>
      <c r="M418" s="5"/>
      <c r="N418" s="5"/>
      <c r="P418" s="5"/>
    </row>
    <row r="419" spans="1:16" ht="12.75">
      <c r="A419" s="215"/>
      <c r="B419" s="213"/>
      <c r="C419" s="213"/>
      <c r="D419" s="216"/>
      <c r="E419" s="213"/>
      <c r="F419" s="213"/>
      <c r="G419" s="213"/>
      <c r="H419" s="213"/>
      <c r="I419" s="213"/>
      <c r="J419" s="213"/>
      <c r="K419" s="238" t="s">
        <v>4</v>
      </c>
      <c r="L419" s="5"/>
      <c r="M419" s="5"/>
      <c r="N419" s="5"/>
      <c r="P419" s="5"/>
    </row>
    <row r="420" spans="1:13" ht="12.75">
      <c r="A420" s="215"/>
      <c r="B420" s="213" t="s">
        <v>184</v>
      </c>
      <c r="C420" s="213"/>
      <c r="D420" s="216"/>
      <c r="E420" s="213"/>
      <c r="F420" s="213"/>
      <c r="G420" s="213"/>
      <c r="H420" s="213"/>
      <c r="I420" s="213"/>
      <c r="J420" s="213" t="s">
        <v>118</v>
      </c>
      <c r="K420" s="227">
        <f>'[1]COS Sum'!F85</f>
        <v>251104535.8750561</v>
      </c>
      <c r="M420" s="5"/>
    </row>
    <row r="421" spans="1:13" ht="12.75">
      <c r="A421" s="215"/>
      <c r="B421" s="213" t="s">
        <v>64</v>
      </c>
      <c r="C421" s="213"/>
      <c r="D421" s="216"/>
      <c r="E421" s="213"/>
      <c r="F421" s="213"/>
      <c r="G421" s="213"/>
      <c r="H421" s="213"/>
      <c r="I421" s="213"/>
      <c r="J421" s="213"/>
      <c r="K421" s="249">
        <f>K418-K420</f>
        <v>-124.4770619571209</v>
      </c>
      <c r="M421" s="5"/>
    </row>
    <row r="422" spans="1:11" ht="13.5" thickBot="1">
      <c r="A422" s="250"/>
      <c r="B422" s="217"/>
      <c r="C422" s="217"/>
      <c r="D422" s="217"/>
      <c r="E422" s="217"/>
      <c r="F422" s="217"/>
      <c r="G422" s="217"/>
      <c r="H422" s="217"/>
      <c r="I422" s="217"/>
      <c r="J422" s="217"/>
      <c r="K422" s="251"/>
    </row>
    <row r="427" ht="12.75">
      <c r="K427" s="252">
        <f>K388+K389+K392+K396+K405+K409</f>
        <v>241434912.44432762</v>
      </c>
    </row>
    <row r="429" spans="10:11" ht="12.75">
      <c r="J429" s="252">
        <f aca="true" t="shared" si="9" ref="J429:J434">$J$391*K429</f>
        <v>254506.65003611552</v>
      </c>
      <c r="K429" s="52">
        <f>K388/$K$427</f>
        <v>0.7705271237719284</v>
      </c>
    </row>
    <row r="430" spans="10:11" ht="12.75">
      <c r="J430" s="252">
        <f t="shared" si="9"/>
        <v>58798.34711585097</v>
      </c>
      <c r="K430" s="52">
        <f>K389/$K$427</f>
        <v>0.17801389975189666</v>
      </c>
    </row>
    <row r="431" spans="10:11" ht="12.75">
      <c r="J431" s="252">
        <f t="shared" si="9"/>
        <v>5818.73900470771</v>
      </c>
      <c r="K431" s="52">
        <f>K392/$K$427</f>
        <v>0.017616420744372453</v>
      </c>
    </row>
    <row r="432" spans="10:11" ht="12.75">
      <c r="J432" s="252">
        <f t="shared" si="9"/>
        <v>698.5383302213564</v>
      </c>
      <c r="K432" s="52">
        <f>K396/$K$427</f>
        <v>0.002114847413038239</v>
      </c>
    </row>
    <row r="433" spans="10:11" ht="12.75">
      <c r="J433" s="252">
        <f t="shared" si="9"/>
        <v>2280.461953577152</v>
      </c>
      <c r="K433" s="52">
        <f>K405/$K$427</f>
        <v>0.006904172404578694</v>
      </c>
    </row>
    <row r="434" spans="10:11" ht="12.75">
      <c r="J434" s="252">
        <f t="shared" si="9"/>
        <v>8199.2635595273</v>
      </c>
      <c r="K434" s="52">
        <f>K409/$K$427</f>
        <v>0.024823535914185506</v>
      </c>
    </row>
    <row r="436" spans="10:11" ht="12.75">
      <c r="J436" s="252">
        <f>SUM(J429:J434)</f>
        <v>330302.00000000006</v>
      </c>
      <c r="K436">
        <f>SUM(K429:K434)</f>
        <v>1</v>
      </c>
    </row>
  </sheetData>
  <sheetProtection/>
  <mergeCells count="66">
    <mergeCell ref="J300:L300"/>
    <mergeCell ref="I301:K301"/>
    <mergeCell ref="J110:L110"/>
    <mergeCell ref="I111:K111"/>
    <mergeCell ref="I144:K144"/>
    <mergeCell ref="J215:L215"/>
    <mergeCell ref="J336:L336"/>
    <mergeCell ref="I337:K337"/>
    <mergeCell ref="J372:L372"/>
    <mergeCell ref="I373:K373"/>
    <mergeCell ref="J77:L77"/>
    <mergeCell ref="I78:K78"/>
    <mergeCell ref="J140:L140"/>
    <mergeCell ref="J1:L1"/>
    <mergeCell ref="J40:L40"/>
    <mergeCell ref="I41:K41"/>
    <mergeCell ref="I114:K114"/>
    <mergeCell ref="I2:K2"/>
    <mergeCell ref="I44:K44"/>
    <mergeCell ref="S191:T191"/>
    <mergeCell ref="S183:T183"/>
    <mergeCell ref="S184:T184"/>
    <mergeCell ref="S185:T185"/>
    <mergeCell ref="S186:T186"/>
    <mergeCell ref="S188:T188"/>
    <mergeCell ref="S189:T189"/>
    <mergeCell ref="E3:G3"/>
    <mergeCell ref="I376:K376"/>
    <mergeCell ref="I274:K274"/>
    <mergeCell ref="I304:K304"/>
    <mergeCell ref="I340:K340"/>
    <mergeCell ref="I5:K5"/>
    <mergeCell ref="I243:K243"/>
    <mergeCell ref="I81:K81"/>
    <mergeCell ref="I182:K182"/>
    <mergeCell ref="E81:G81"/>
    <mergeCell ref="E103:G103"/>
    <mergeCell ref="I141:K141"/>
    <mergeCell ref="S275:T275"/>
    <mergeCell ref="S276:T276"/>
    <mergeCell ref="D243:G243"/>
    <mergeCell ref="I103:K103"/>
    <mergeCell ref="I219:K219"/>
    <mergeCell ref="I216:K216"/>
    <mergeCell ref="J270:L270"/>
    <mergeCell ref="I271:K271"/>
    <mergeCell ref="S198:T198"/>
    <mergeCell ref="S182:T182"/>
    <mergeCell ref="M387:N387"/>
    <mergeCell ref="M386:N386"/>
    <mergeCell ref="S192:T192"/>
    <mergeCell ref="S194:T194"/>
    <mergeCell ref="S195:T195"/>
    <mergeCell ref="S278:T278"/>
    <mergeCell ref="S280:T280"/>
    <mergeCell ref="S274:T274"/>
    <mergeCell ref="M3:N3"/>
    <mergeCell ref="S290:T290"/>
    <mergeCell ref="S281:T281"/>
    <mergeCell ref="S283:T283"/>
    <mergeCell ref="S284:T284"/>
    <mergeCell ref="S286:T286"/>
    <mergeCell ref="S277:T277"/>
    <mergeCell ref="S287:T287"/>
    <mergeCell ref="S289:T289"/>
    <mergeCell ref="S197:T197"/>
  </mergeCells>
  <hyperlinks>
    <hyperlink ref="S364" r:id="rId1" display="=@sum(S342:S361"/>
  </hyperlinks>
  <printOptions horizontalCentered="1"/>
  <pageMargins left="0.75" right="0.75" top="1" bottom="1" header="0.5" footer="0.5"/>
  <pageSetup fitToHeight="0" fitToWidth="1" horizontalDpi="1200" verticalDpi="1200" orientation="portrait" scale="68" r:id="rId3"/>
  <rowBreaks count="8" manualBreakCount="8">
    <brk id="39" max="10" man="1"/>
    <brk id="76" max="10" man="1"/>
    <brk id="109" max="10" man="1"/>
    <brk id="139" max="10" man="1"/>
    <brk id="269" max="10" man="1"/>
    <brk id="299" max="10" man="1"/>
    <brk id="335" max="10" man="1"/>
    <brk id="37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dcterms:created xsi:type="dcterms:W3CDTF">2008-10-07T20:11:40Z</dcterms:created>
  <dcterms:modified xsi:type="dcterms:W3CDTF">2008-10-08T13:40:08Z</dcterms:modified>
  <cp:category>::ODMA\GRPWISE\ASPOSUPT.PUPSC.PUPSCDocs:59352.1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