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1370" windowHeight="11640" tabRatio="853" activeTab="0"/>
  </bookViews>
  <sheets>
    <sheet name="QGC Exhibit 7.6R" sheetId="1" r:id="rId1"/>
    <sheet name="Typical Volumes" sheetId="2" r:id="rId2"/>
    <sheet name="GS July 1 Rates" sheetId="3" r:id="rId3"/>
    <sheet name="GS-1 Current" sheetId="4" r:id="rId4"/>
    <sheet name="GS Residential Proposed" sheetId="5" r:id="rId5"/>
    <sheet name="PGSC" sheetId="6" r:id="rId6"/>
    <sheet name="GS-1 Proposed" sheetId="7" r:id="rId7"/>
    <sheet name="Small GSC" sheetId="8" r:id="rId8"/>
    <sheet name="Large GSC" sheetId="9" r:id="rId9"/>
    <sheet name="GSS-1" sheetId="10" r:id="rId10"/>
    <sheet name="F1 Data" sheetId="11" r:id="rId11"/>
    <sheet name="I4 Data" sheetId="12" r:id="rId12"/>
    <sheet name="F1 Jul" sheetId="13" r:id="rId13"/>
    <sheet name="F1 Current" sheetId="14" r:id="rId14"/>
    <sheet name="Proposed F1" sheetId="15" r:id="rId15"/>
    <sheet name="I4 Jul" sheetId="16" r:id="rId16"/>
    <sheet name="I4-Rate Current" sheetId="17" r:id="rId17"/>
    <sheet name="Proposed I4" sheetId="18" r:id="rId18"/>
    <sheet name="IS4" sheetId="19" r:id="rId19"/>
    <sheet name="July ITS" sheetId="20" r:id="rId20"/>
    <sheet name="IT-S 4 Aug" sheetId="21" r:id="rId21"/>
    <sheet name="Proposed ITS" sheetId="22" r:id="rId22"/>
  </sheets>
  <definedNames>
    <definedName name="_gss1">'GS-1 Current'!$E$55</definedName>
    <definedName name="_gss2">'GS-1 Current'!$F$55</definedName>
    <definedName name="_gsw1">'GS-1 Current'!$C$55</definedName>
    <definedName name="_gsw2">'GS-1 Current'!$D$55</definedName>
    <definedName name="adsfasd">#REF!</definedName>
    <definedName name="adsgase">#REF!</definedName>
    <definedName name="asdfwa">#REF!</definedName>
    <definedName name="asdgas">#REF!</definedName>
    <definedName name="asdggrz">#REF!</definedName>
    <definedName name="asdgwae">#REF!</definedName>
    <definedName name="asdsaew">#REF!</definedName>
    <definedName name="augblk1">'IS4'!$C$31</definedName>
    <definedName name="augblk1c">'IS4'!$F$31</definedName>
    <definedName name="augblk2">'IS4'!$D$31</definedName>
    <definedName name="augblk2c">'IS4'!$G$31</definedName>
    <definedName name="augblk3c">'IS4'!$H$31</definedName>
    <definedName name="DPU_GS_F1_Analysis" localSheetId="10">'F1 Data'!$A$3:$O$654</definedName>
    <definedName name="DPU_GS_F1_Analysis_1" localSheetId="11">'I4 Data'!$A$3:$N$74</definedName>
    <definedName name="f1blk1">'F1 Current'!$D$29</definedName>
    <definedName name="f1blk2">'F1 Current'!$E$29</definedName>
    <definedName name="f1blk3">'F1 Current'!$F$29</definedName>
    <definedName name="f1julblk1">'F1 Jul'!$G$29</definedName>
    <definedName name="f1julblk2">'F1 Jul'!$H$29</definedName>
    <definedName name="f1juls1">'F1 Jul'!$M$29</definedName>
    <definedName name="f1juls2">'F1 Jul'!$N$29</definedName>
    <definedName name="f1juls3">'F1 Jul'!$O$29</definedName>
    <definedName name="f1julw1">'F1 Jul'!$J$29</definedName>
    <definedName name="f1julw2">'F1 Jul'!$K$29</definedName>
    <definedName name="f1julw3">'F1 Jul'!$L$29</definedName>
    <definedName name="f1s1">'F1 Current'!$J$29</definedName>
    <definedName name="f1s2">'F1 Current'!$K$29</definedName>
    <definedName name="f1s3">'F1 Current'!$L$29</definedName>
    <definedName name="f1w1">'F1 Current'!$G$29</definedName>
    <definedName name="f1w2">'F1 Current'!$H$29</definedName>
    <definedName name="f1w3">'F1 Current'!$I$29</definedName>
    <definedName name="g2100scblk2">'Small GSC'!$P$3</definedName>
    <definedName name="gsblk1">'GS-1 Current'!$B$55</definedName>
    <definedName name="gsblk2">'GS-1 Current'!#REF!</definedName>
    <definedName name="gsblock1">'GS Residential Proposed'!$B$32</definedName>
    <definedName name="gsc21blk2">'Small GSC'!$Q$3</definedName>
    <definedName name="gscblk1">#REF!</definedName>
    <definedName name="gscblk2">#REF!</definedName>
    <definedName name="gscblk3">#REF!</definedName>
    <definedName name="gscs1">#REF!</definedName>
    <definedName name="gscs2">#REF!</definedName>
    <definedName name="gscs3">#REF!</definedName>
    <definedName name="gscw2">#REF!</definedName>
    <definedName name="gscw3">#REF!</definedName>
    <definedName name="gsrw1">'GS-1 Proposed'!$D$32</definedName>
    <definedName name="gsrw2">'GS-1 Proposed'!$E$32</definedName>
    <definedName name="gss1p">'GSS-1'!$B$17</definedName>
    <definedName name="gss1pw">'GSS-1'!$C$17</definedName>
    <definedName name="gss1s">'GSS-1'!$B$15</definedName>
    <definedName name="gss1wjul">'GSS-1'!$B$16</definedName>
    <definedName name="gss2w">'GSS-1'!$C$15</definedName>
    <definedName name="gssummer1">'GS Residential Proposed'!$E$32</definedName>
    <definedName name="gssummer2">'GS Residential Proposed'!$F$32</definedName>
    <definedName name="gsswjul">'GSS-1'!$C$16</definedName>
    <definedName name="gswinter1">'GS Residential Proposed'!$C$32</definedName>
    <definedName name="gswinter2">'GS Residential Proposed'!$D$32</definedName>
    <definedName name="I4blk1">'I4-Rate Current'!$C$23</definedName>
    <definedName name="I4blk1cost">'I4-Rate Current'!$F$23</definedName>
    <definedName name="I4blk2">'I4-Rate Current'!$D$23</definedName>
    <definedName name="I4blk2cost">'I4-Rate Current'!$G$23</definedName>
    <definedName name="I4blk3">'I4-Rate Current'!$E$23</definedName>
    <definedName name="I4blk3cost">'I4-Rate Current'!$H$23</definedName>
    <definedName name="I4julblk1">'I4 Jul'!$C$23</definedName>
    <definedName name="I4julblk1cost">'I4 Jul'!$F$23</definedName>
    <definedName name="I4julblk2">'I4 Jul'!$D$23</definedName>
    <definedName name="I4julblk2cost">'I4 Jul'!$G$23</definedName>
    <definedName name="I4julblk3cost">'I4 Jul'!$H$23</definedName>
    <definedName name="is4blk1">'IS4'!$C$29</definedName>
    <definedName name="is4blk1cost">'IS4'!$F$29</definedName>
    <definedName name="is4blk2">'IS4'!$D$29</definedName>
    <definedName name="is4blk2cost">'IS4'!$G$29</definedName>
    <definedName name="is4blk3cost">'IS4'!$H$29</definedName>
    <definedName name="ITS1blk2">'Proposed ITS'!$G$15</definedName>
    <definedName name="ITSf1blk1">'Proposed ITS'!$F$15</definedName>
    <definedName name="ITSf1s1">'Proposed ITS'!$M$15</definedName>
    <definedName name="ITSf1s2">'Proposed ITS'!$N$15</definedName>
    <definedName name="ITSf1s3">'Proposed ITS'!$O$15</definedName>
    <definedName name="ITSf1w1">'Proposed ITS'!$J$15</definedName>
    <definedName name="ITSf1w2">'Proposed ITS'!$K$15</definedName>
    <definedName name="ITSf1w3">'Proposed ITS'!$L$15</definedName>
    <definedName name="jgsblk1">'GS July 1 Rates'!$B$32</definedName>
    <definedName name="jgss1">'GS July 1 Rates'!$E$32</definedName>
    <definedName name="jgss2">'GS July 1 Rates'!$F$32</definedName>
    <definedName name="jgsw1">'GS July 1 Rates'!$C$32</definedName>
    <definedName name="jgsw2">'GS July 1 Rates'!$D$32</definedName>
    <definedName name="jul1blk1">'IS4'!$C$30</definedName>
    <definedName name="jul1blk2">'IS4'!$D$30</definedName>
    <definedName name="julblk1">'IS4'!$F$30</definedName>
    <definedName name="julblk2">'IS4'!$G$30</definedName>
    <definedName name="julblk3">'IS4'!$H$30</definedName>
    <definedName name="julgsblk1">'GS July 1 Rates'!$B$55</definedName>
    <definedName name="julgss1">'GS July 1 Rates'!$E$55</definedName>
    <definedName name="julgss2">'GS July 1 Rates'!$F$55</definedName>
    <definedName name="julgsw1">'GS July 1 Rates'!$C$55</definedName>
    <definedName name="julgsw2">'GS July 1 Rates'!$D$55</definedName>
    <definedName name="julitsf1blk1">'July ITS'!$F$14</definedName>
    <definedName name="julitsf1blk2">'July ITS'!$G$14</definedName>
    <definedName name="julitsf1s1">'July ITS'!$L$14</definedName>
    <definedName name="julitsf1s2">'July ITS'!$M$14</definedName>
    <definedName name="julitsf1s3">'July ITS'!$N$14</definedName>
    <definedName name="julitsf1w1">'July ITS'!$I$14</definedName>
    <definedName name="julitsf1w2">'July ITS'!$J$14</definedName>
    <definedName name="julitsf1w3">'July ITS'!$K$14</definedName>
    <definedName name="lgscblk1">'Large GSC'!$P$3</definedName>
    <definedName name="lgscblk2">'Large GSC'!$Q$3</definedName>
    <definedName name="lgscs1">'Large GSC'!$V$3</definedName>
    <definedName name="lgscs2">'Large GSC'!$W$3</definedName>
    <definedName name="lgscw2">'Large GSC'!$T$3</definedName>
    <definedName name="lpgscs3">'Large GSC'!$X$3</definedName>
    <definedName name="lpgscw1">'Large GSC'!$S$3</definedName>
    <definedName name="lpgscw3">'Large GSC'!$U$3</definedName>
    <definedName name="Pf1blk1">#REF!</definedName>
    <definedName name="Pf1blk2">#REF!</definedName>
    <definedName name="Pf1blk3">#REF!</definedName>
    <definedName name="pf1s1">#REF!</definedName>
    <definedName name="pf1s2">#REF!</definedName>
    <definedName name="pf1s3">#REF!</definedName>
    <definedName name="pf1w1">#REF!</definedName>
    <definedName name="pf1w2">#REF!</definedName>
    <definedName name="pf1w3">#REF!</definedName>
    <definedName name="pg21cs1">'Small GSC'!$V$3</definedName>
    <definedName name="pg21cs2">'Small GSC'!$W$3</definedName>
    <definedName name="pgs21cw1">'Small GSC'!$S$3</definedName>
    <definedName name="pgs21s3">'Small GSC'!$X$3</definedName>
    <definedName name="pgs21w2">'Small GSC'!$T$3</definedName>
    <definedName name="pgsblk1">'GS-1 Proposed'!$D$8</definedName>
    <definedName name="pgsblk2">'GS-1 Proposed'!$E$8</definedName>
    <definedName name="pgsblk3">'GS-1 Proposed'!$F$8</definedName>
    <definedName name="pgsc21w3">'Small GSC'!$U$3</definedName>
    <definedName name="pgscf1blk1">'PGSC'!$H$28</definedName>
    <definedName name="pgscf1blk2">'PGSC'!$I$28</definedName>
    <definedName name="pgscf1s1">'PGSC'!$N$28</definedName>
    <definedName name="pgscf1s2">'PGSC'!$O$28</definedName>
    <definedName name="pgscf1s3">'PGSC'!$P$28</definedName>
    <definedName name="pgscf1w1">'PGSC'!$K$28</definedName>
    <definedName name="pgscf1w2">'PGSC'!$L$28</definedName>
    <definedName name="pgscf1w3">'PGSC'!$M$28</definedName>
    <definedName name="pgscw1">#REF!</definedName>
    <definedName name="pgsrblk1">'GS-1 Proposed'!$C$32</definedName>
    <definedName name="pgsrs1">'GS-1 Proposed'!$F$32</definedName>
    <definedName name="pgsrs2">'GS-1 Proposed'!$G$32</definedName>
    <definedName name="pgsrw1">'GS-1 Proposed'!$D$32</definedName>
    <definedName name="pgsrw2">'GS-1 Proposed'!$G$32</definedName>
    <definedName name="pgss1">'GS-1 Proposed'!$J$8</definedName>
    <definedName name="pgss2">'GS-1 Proposed'!$K$8</definedName>
    <definedName name="pgss3">'GS-1 Proposed'!$L$8</definedName>
    <definedName name="pgsw1">'GS-1 Proposed'!$G$8</definedName>
    <definedName name="pgsw2">'GS-1 Proposed'!$H$8</definedName>
    <definedName name="pgsw3">'GS-1 Proposed'!$I$8</definedName>
    <definedName name="pI4blk1">'Proposed I4'!$C$23</definedName>
    <definedName name="pI4blk1cost">'Proposed I4'!$F$23</definedName>
    <definedName name="pI4blk2">'Proposed I4'!$D$23</definedName>
    <definedName name="pI4blk2cost">'Proposed I4'!$G$23</definedName>
    <definedName name="PI4blk3cost">'Proposed I4'!$H$23</definedName>
    <definedName name="pITSf1blk1">'IT-S 4 Aug'!$F$14</definedName>
    <definedName name="pITSf1blk2">'IT-S 4 Aug'!$G$14</definedName>
    <definedName name="pITSf1s1">'IT-S 4 Aug'!$L$14</definedName>
    <definedName name="pITSf1s2">'IT-S 4 Aug'!$M$14</definedName>
    <definedName name="pITSf1s3">'IT-S 4 Aug'!$N$14</definedName>
    <definedName name="pITSf1w1">'IT-S 4 Aug'!$I$14</definedName>
    <definedName name="pITSf1w2">'IT-S 4 Aug'!$J$14</definedName>
    <definedName name="pITSf1w3">'IT-S 4 Aug'!$K$14</definedName>
    <definedName name="_xlnm.Print_Area" localSheetId="10">'F1 Data'!$A$3:$O$25</definedName>
    <definedName name="_xlnm.Print_Area" localSheetId="0">'QGC Exhibit 7.6R'!$A$1:$K$46</definedName>
    <definedName name="proposedf1blk1">'Proposed F1'!$C$29</definedName>
    <definedName name="proposedf1blk2">'Proposed F1'!$D$29</definedName>
    <definedName name="proposedf1s1">'Proposed F1'!$I$29</definedName>
    <definedName name="proposedf1s2">'Proposed F1'!$J$29</definedName>
    <definedName name="proposedf1s3">'Proposed F1'!$K$29</definedName>
    <definedName name="proposedf1w1">'Proposed F1'!$F$29</definedName>
    <definedName name="proposedf1w2">'Proposed F1'!$G$29</definedName>
    <definedName name="proposedf1w3">'Proposed F1'!$H$29</definedName>
    <definedName name="usage">'GS-1 Proposed'!#REF!</definedName>
    <definedName name="yearlyusage">'GS-1 Current'!$B$6</definedName>
  </definedNames>
  <calcPr fullCalcOnLoad="1"/>
</workbook>
</file>

<file path=xl/sharedStrings.xml><?xml version="1.0" encoding="utf-8"?>
<sst xmlns="http://schemas.openxmlformats.org/spreadsheetml/2006/main" count="2104" uniqueCount="216">
  <si>
    <t>August 15, 2008 Rates</t>
  </si>
  <si>
    <t>July 1, 2008 Rates</t>
  </si>
  <si>
    <t>Summer</t>
  </si>
  <si>
    <t>DNG</t>
  </si>
  <si>
    <t>SNG</t>
  </si>
  <si>
    <t>Commodity Cost</t>
  </si>
  <si>
    <t>First 45</t>
  </si>
  <si>
    <t>Next 155</t>
  </si>
  <si>
    <t>All over 200</t>
  </si>
  <si>
    <t>Winter</t>
  </si>
  <si>
    <t>CET Tax / DSM</t>
  </si>
  <si>
    <t xml:space="preserve">Jan </t>
  </si>
  <si>
    <t>Decatherm Usage</t>
  </si>
  <si>
    <t>Avg</t>
  </si>
  <si>
    <t>IS-4</t>
  </si>
  <si>
    <t>ITS</t>
  </si>
  <si>
    <t xml:space="preserve"> TS</t>
  </si>
  <si>
    <t>GS-1/GSR</t>
  </si>
  <si>
    <t>GS-1/GSC</t>
  </si>
  <si>
    <t>GSS/GSR</t>
  </si>
  <si>
    <t>F-1/FS</t>
  </si>
  <si>
    <t>I-4/IS</t>
  </si>
  <si>
    <t>IS-4/IS</t>
  </si>
  <si>
    <t>Total Dth</t>
  </si>
  <si>
    <t>Target</t>
  </si>
  <si>
    <t>GS-1 Typical Spread</t>
  </si>
  <si>
    <t>F-1 Typical Spread</t>
  </si>
  <si>
    <t>I-4 Typical Spread</t>
  </si>
  <si>
    <t>Block 1</t>
  </si>
  <si>
    <t>Block 2</t>
  </si>
  <si>
    <t>Block 3</t>
  </si>
  <si>
    <t>f1w1</t>
  </si>
  <si>
    <t>f1w2</t>
  </si>
  <si>
    <t>f1w3</t>
  </si>
  <si>
    <t>f1s1</t>
  </si>
  <si>
    <t>f1s2</t>
  </si>
  <si>
    <t>f1s3</t>
  </si>
  <si>
    <t>block1</t>
  </si>
  <si>
    <t>block2</t>
  </si>
  <si>
    <t>block 3</t>
  </si>
  <si>
    <t>GSw1</t>
  </si>
  <si>
    <t>Gsw2</t>
  </si>
  <si>
    <t>GSS1</t>
  </si>
  <si>
    <t>gss2</t>
  </si>
  <si>
    <t>total</t>
  </si>
  <si>
    <t>GS Proposed</t>
  </si>
  <si>
    <t>I4 Rate Schedule</t>
  </si>
  <si>
    <t>block 1</t>
  </si>
  <si>
    <t>block 2</t>
  </si>
  <si>
    <t>Yearly Usage</t>
  </si>
  <si>
    <t>Usage</t>
  </si>
  <si>
    <t>Monthly BSF</t>
  </si>
  <si>
    <t>Monthly Total $</t>
  </si>
  <si>
    <t xml:space="preserve">I4 Median </t>
  </si>
  <si>
    <t>Blk 1 Costs</t>
  </si>
  <si>
    <t>Blk 2 Costs</t>
  </si>
  <si>
    <t>Blk 3 Costs</t>
  </si>
  <si>
    <t>DTH</t>
  </si>
  <si>
    <t>Grand Average</t>
  </si>
  <si>
    <t>Month</t>
  </si>
  <si>
    <t>GS-1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</si>
  <si>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</si>
  <si>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</si>
  <si>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</si>
  <si>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</si>
  <si>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</si>
  <si>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</si>
  <si>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</si>
  <si>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</si>
  <si>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</si>
  <si>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</si>
  <si>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</si>
  <si>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</si>
  <si>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</si>
  <si>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Average</t>
  </si>
  <si>
    <t>Monthly %</t>
  </si>
  <si>
    <t>Monthly #</t>
  </si>
  <si>
    <t>F1 Current</t>
  </si>
  <si>
    <t>Scenario 1</t>
  </si>
  <si>
    <t xml:space="preserve">Scenario 2: </t>
  </si>
  <si>
    <t xml:space="preserve">Scenario 3: </t>
  </si>
  <si>
    <t>GS1 Normalization</t>
  </si>
  <si>
    <t>Monthly DTH</t>
  </si>
  <si>
    <t>Monthly Usage</t>
  </si>
  <si>
    <t>Grand Mean</t>
  </si>
  <si>
    <t>BSF/Month</t>
  </si>
  <si>
    <t>Proposed</t>
  </si>
  <si>
    <t>GSR</t>
  </si>
  <si>
    <t>Small</t>
  </si>
  <si>
    <t>Medium</t>
  </si>
  <si>
    <t>Large</t>
  </si>
  <si>
    <t>GSC</t>
  </si>
  <si>
    <t>GSS</t>
  </si>
  <si>
    <t>F-1</t>
  </si>
  <si>
    <t>I4</t>
  </si>
  <si>
    <t xml:space="preserve">Small </t>
  </si>
  <si>
    <t>FT2</t>
  </si>
  <si>
    <t>IT</t>
  </si>
  <si>
    <t>August 15, 2008 rates</t>
  </si>
  <si>
    <t>July 1, 08 Rates</t>
  </si>
  <si>
    <t>GSS Normalization</t>
  </si>
  <si>
    <t>* Distribution based off of GS1</t>
  </si>
  <si>
    <t>July</t>
  </si>
  <si>
    <t>August</t>
  </si>
  <si>
    <t>GSR-S1</t>
  </si>
  <si>
    <t>GSR-S2</t>
  </si>
  <si>
    <t>GSR-W1</t>
  </si>
  <si>
    <t>GSR-W2</t>
  </si>
  <si>
    <t>GS-1 Proposed Residential</t>
  </si>
  <si>
    <t>Current</t>
  </si>
  <si>
    <t>FS</t>
  </si>
  <si>
    <t>IS</t>
  </si>
  <si>
    <t>IT / FT2</t>
  </si>
  <si>
    <t>TS</t>
  </si>
  <si>
    <t>IT/ F-3</t>
  </si>
  <si>
    <t>GSCW3</t>
  </si>
  <si>
    <t>GSCW1</t>
  </si>
  <si>
    <t>GSCW2</t>
  </si>
  <si>
    <t>GSCS1</t>
  </si>
  <si>
    <t>GSCS2</t>
  </si>
  <si>
    <t>GSCS3</t>
  </si>
  <si>
    <t>Proposed GSC</t>
  </si>
  <si>
    <t>Rate Schedule</t>
  </si>
  <si>
    <t>Small (Apt)</t>
  </si>
  <si>
    <t>Annual</t>
  </si>
  <si>
    <t>Dth</t>
  </si>
  <si>
    <t>A</t>
  </si>
  <si>
    <t>B</t>
  </si>
  <si>
    <t>C</t>
  </si>
  <si>
    <t>D</t>
  </si>
  <si>
    <t>E</t>
  </si>
  <si>
    <t>F</t>
  </si>
  <si>
    <t>G</t>
  </si>
  <si>
    <t>% Change From</t>
  </si>
  <si>
    <t>Rates Effective</t>
  </si>
  <si>
    <t>Annual Total Bill Amounts</t>
  </si>
  <si>
    <t>At Rates Effective</t>
  </si>
  <si>
    <t>Size</t>
  </si>
  <si>
    <t>H</t>
  </si>
  <si>
    <t>I</t>
  </si>
  <si>
    <t>RATE</t>
  </si>
  <si>
    <t>BSF</t>
  </si>
  <si>
    <t xml:space="preserve">UTI4    </t>
  </si>
  <si>
    <t xml:space="preserve">UTIS4   </t>
  </si>
  <si>
    <t xml:space="preserve">UTF1    </t>
  </si>
  <si>
    <t>Rate</t>
  </si>
  <si>
    <t>200707</t>
  </si>
  <si>
    <t>200708</t>
  </si>
  <si>
    <t>200709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</si>
  <si>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</si>
  <si>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</si>
  <si>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</si>
  <si>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</si>
  <si>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</si>
  <si>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</si>
  <si>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</si>
  <si>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</si>
  <si>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</si>
  <si>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Grand Total</t>
  </si>
  <si>
    <t>IT/TS</t>
  </si>
  <si>
    <t>ITS/TS</t>
  </si>
  <si>
    <t>IT/F-3</t>
  </si>
  <si>
    <t>FT2 / TS</t>
  </si>
  <si>
    <t>IT / FT2 / TS</t>
  </si>
  <si>
    <t>Totals</t>
  </si>
  <si>
    <t>IS4 Rate Schedule - Service Extension</t>
  </si>
  <si>
    <t>CET/ DSM</t>
  </si>
  <si>
    <t>Proposed GS Rates Residential</t>
  </si>
  <si>
    <t>GSC - Proposed</t>
  </si>
  <si>
    <t>CET</t>
  </si>
  <si>
    <t>DSM</t>
  </si>
  <si>
    <t>F1 Proposed</t>
  </si>
  <si>
    <t>Blk1Cost</t>
  </si>
  <si>
    <t>Blk2Cost</t>
  </si>
  <si>
    <t>Blk3Cost</t>
  </si>
  <si>
    <t>Block 4</t>
  </si>
  <si>
    <t>ITS August</t>
  </si>
  <si>
    <t>June</t>
  </si>
  <si>
    <t>Adiministrative Fee</t>
  </si>
  <si>
    <t>* Summer &amp; Winter Block Rates calculated on the same basis</t>
  </si>
  <si>
    <t>ITS Proposed</t>
  </si>
  <si>
    <t>block 4</t>
  </si>
  <si>
    <t>Blk4Cost</t>
  </si>
  <si>
    <t>J</t>
  </si>
  <si>
    <t>Jul to Aug</t>
  </si>
  <si>
    <t>Aug to Proposed</t>
  </si>
  <si>
    <t>Jul to Proposed</t>
  </si>
  <si>
    <t>ITS July</t>
  </si>
  <si>
    <t>* $6.8 figure includes SNG</t>
  </si>
  <si>
    <t>* Figure includes Commodity Cost + SNG</t>
  </si>
  <si>
    <t xml:space="preserve">* Figure includes commodity cost + SNG </t>
  </si>
  <si>
    <t>* CET/DSM rate added to proposed</t>
  </si>
  <si>
    <t>Average Total</t>
  </si>
  <si>
    <t>* Gas cost calculated at 6.54266 DTH</t>
  </si>
  <si>
    <t>* Summer &amp; Winter Block Rates calculated on the same $ basis</t>
  </si>
  <si>
    <t>Summer 1</t>
  </si>
  <si>
    <t>Winter 1</t>
  </si>
  <si>
    <t>COMMODITY</t>
  </si>
  <si>
    <t xml:space="preserve">* Gas cost calculated at 6.54266 DTH </t>
  </si>
  <si>
    <t>GSCw1</t>
  </si>
  <si>
    <t>GSCw2</t>
  </si>
  <si>
    <t>GSCw3</t>
  </si>
  <si>
    <t>GSCs1</t>
  </si>
  <si>
    <t>GSCs2</t>
  </si>
  <si>
    <t>GSCs3</t>
  </si>
  <si>
    <t>Summer1</t>
  </si>
  <si>
    <t>Winter1</t>
  </si>
  <si>
    <t>Summer2</t>
  </si>
  <si>
    <t>Winter2</t>
  </si>
  <si>
    <t>itsw1</t>
  </si>
  <si>
    <t>itsw2</t>
  </si>
  <si>
    <t>itsw3</t>
  </si>
  <si>
    <t>itss1</t>
  </si>
  <si>
    <t>itss2</t>
  </si>
  <si>
    <t>itss3</t>
  </si>
  <si>
    <t>COMPARISON OF TYPICAL CUSTOMERS BILLED AT CURRENT AND PROPOSED RATES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</si>
</sst>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0.000%"/>
    <numFmt numFmtId="168" formatCode="&quot;$&quot;#,##0.00000"/>
    <numFmt numFmtId="169" formatCode="0.00000"/>
    <numFmt numFmtId="170" formatCode="#,##0.0_);\(#,##0.0\)"/>
    <numFmt numFmtId="171" formatCode="0.00_);\(0.00\)"/>
    <numFmt numFmtId="172" formatCode="_(* #,##0.000000_);_(* \(#,##0.000000\);_(* &quot;-&quot;??_);_(@_)"/>
    <numFmt numFmtId="173" formatCode="_(&quot;$&quot;* #,##0_);_(&quot;$&quot;* \(#,##0\);_(&quot;$&quot;* &quot;-&quot;??_);_(@_)"/>
    <numFmt numFmtId="174" formatCode="_(* #,##0.0_);_(* \(#,##0.0\);_(* &quot;-&quot;??_);_(@_)"/>
    <numFmt numFmtId="175" formatCode="_(* #,##0.000_);_(* \(#,##0.000\);_(* &quot;-&quot;??_);_(@_)"/>
    <numFmt numFmtId="176" formatCode="_(&quot;$&quot;* #,##0.0_);_(&quot;$&quot;* \(#,##0.0\);_(&quot;$&quot;* &quot;-&quot;??_);_(@_)"/>
    <numFmt numFmtId="177" formatCode="[$-409]dddd\,\ mmmm\ dd\,\ yyyy"/>
    <numFmt numFmtId="178" formatCode="[$-409]h:mm:ss\ AM/PM"/>
    <numFmt numFmtId="179" formatCode="0.0000"/>
    <numFmt numFmtId="180" formatCode="0.000"/>
    <numFmt numFmtId="181" formatCode="0.0"/>
    <numFmt numFmtId="182" formatCode="_(* #,##0.00000_);_(* \(#,##0.00000\);_(* &quot;-&quot;?????_);_(@_)"/>
    <numFmt numFmtId="183" formatCode="0.000000"/>
    <numFmt numFmtId="184" formatCode="0.0000000"/>
    <numFmt numFmtId="185" formatCode="0.0%"/>
    <numFmt numFmtId="186" formatCode="#,##0.0"/>
    <numFmt numFmtId="187" formatCode="0.0000%"/>
    <numFmt numFmtId="188" formatCode="0.00000%"/>
    <numFmt numFmtId="189" formatCode="#,##0.000_);\(#,##0.000\)"/>
    <numFmt numFmtId="190" formatCode="#,##0.0000_);\(#,##0.0000\)"/>
    <numFmt numFmtId="191" formatCode="&quot;$&quot;#,##0.00"/>
    <numFmt numFmtId="192" formatCode="###,##0"/>
    <numFmt numFmtId="193" formatCode="&quot;$&quot;#,##0.0000_);\(&quot;$&quot;#,##0.0000\)"/>
    <numFmt numFmtId="194" formatCode="mm/dd/yy"/>
    <numFmt numFmtId="195" formatCode="&quot;$&quot;#,##0.00000_);\(&quot;$&quot;#,##0.00000\)"/>
    <numFmt numFmtId="196" formatCode="&quot;$&quot;#,##0.000_);\(&quot;$&quot;#,##0.000\)"/>
    <numFmt numFmtId="197" formatCode="&quot;$&quot;###,###.00"/>
    <numFmt numFmtId="198" formatCode="mmmm\ d\,\ yyyy"/>
    <numFmt numFmtId="199" formatCode="#,##0.00000_);[Red]\(#,##0.00000\)"/>
    <numFmt numFmtId="200" formatCode="m/d/yy;@"/>
    <numFmt numFmtId="201" formatCode="dd\-mmm\-yy"/>
  </numFmts>
  <fonts count="3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omic Sans MS"/>
      <family val="4"/>
    </font>
    <font>
      <u val="singleAccounting"/>
      <sz val="11"/>
      <color indexed="8"/>
      <name val="Calibri"/>
      <family val="2"/>
    </font>
    <font>
      <b/>
      <sz val="10"/>
      <color indexed="8"/>
      <name val="Comic Sans MS"/>
      <family val="4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Swiss"/>
      <family val="2"/>
    </font>
    <font>
      <sz val="10"/>
      <name val="MS Sans Serif"/>
      <family val="2"/>
    </font>
    <font>
      <sz val="8"/>
      <color indexed="8"/>
      <name val="Comic Sans MS"/>
      <family val="4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medium">
        <color indexed="62"/>
      </bottom>
    </border>
    <border>
      <left/>
      <right style="thin">
        <color indexed="62"/>
      </right>
      <top style="thin">
        <color indexed="62"/>
      </top>
      <bottom style="medium">
        <color indexed="62"/>
      </bottom>
    </border>
    <border>
      <left/>
      <right style="thin">
        <color indexed="62"/>
      </right>
      <top/>
      <bottom/>
    </border>
    <border>
      <left/>
      <right/>
      <top/>
      <bottom style="thin"/>
    </border>
    <border>
      <left/>
      <right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62"/>
      </right>
      <top style="double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double">
        <color indexed="62"/>
      </top>
      <bottom style="thin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12" fillId="23" borderId="0">
      <alignment/>
      <protection/>
    </xf>
    <xf numFmtId="0" fontId="12" fillId="23" borderId="0">
      <alignment/>
      <protection/>
    </xf>
    <xf numFmtId="0" fontId="12" fillId="23" borderId="0">
      <alignment/>
      <protection/>
    </xf>
    <xf numFmtId="0" fontId="12" fillId="23" borderId="0">
      <alignment/>
      <protection/>
    </xf>
    <xf numFmtId="0" fontId="12" fillId="23" borderId="0">
      <alignment/>
      <protection/>
    </xf>
    <xf numFmtId="0" fontId="12" fillId="23" borderId="0">
      <alignment/>
      <protection/>
    </xf>
    <xf numFmtId="0" fontId="12" fillId="23" borderId="0">
      <alignment/>
      <protection/>
    </xf>
    <xf numFmtId="0" fontId="12" fillId="23" borderId="0">
      <alignment/>
      <protection/>
    </xf>
    <xf numFmtId="0" fontId="12" fillId="23" borderId="0">
      <alignment/>
      <protection/>
    </xf>
    <xf numFmtId="0" fontId="12" fillId="23" borderId="0">
      <alignment/>
      <protection/>
    </xf>
    <xf numFmtId="0" fontId="12" fillId="23" borderId="0">
      <alignment/>
      <protection/>
    </xf>
    <xf numFmtId="0" fontId="0" fillId="24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42" applyNumberFormat="1" applyFont="1" applyAlignment="1">
      <alignment/>
    </xf>
    <xf numFmtId="3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44" fontId="0" fillId="0" borderId="0" xfId="55" applyFont="1" applyAlignment="1">
      <alignment/>
    </xf>
    <xf numFmtId="166" fontId="2" fillId="0" borderId="0" xfId="42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1" fillId="0" borderId="0" xfId="0" applyFont="1" applyAlignment="1">
      <alignment/>
    </xf>
    <xf numFmtId="44" fontId="3" fillId="0" borderId="0" xfId="55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>
      <alignment/>
    </xf>
    <xf numFmtId="43" fontId="0" fillId="0" borderId="0" xfId="42" applyFont="1" applyAlignment="1">
      <alignment/>
    </xf>
    <xf numFmtId="44" fontId="0" fillId="0" borderId="0" xfId="55" applyFont="1" applyAlignment="1">
      <alignment/>
    </xf>
    <xf numFmtId="44" fontId="0" fillId="0" borderId="0" xfId="55" applyFont="1" applyBorder="1" applyAlignment="1">
      <alignment/>
    </xf>
    <xf numFmtId="164" fontId="2" fillId="0" borderId="0" xfId="42" applyNumberFormat="1" applyFont="1" applyBorder="1" applyAlignment="1">
      <alignment/>
    </xf>
    <xf numFmtId="164" fontId="4" fillId="0" borderId="10" xfId="42" applyNumberFormat="1" applyFont="1" applyBorder="1" applyAlignment="1">
      <alignment/>
    </xf>
    <xf numFmtId="164" fontId="4" fillId="0" borderId="11" xfId="42" applyNumberFormat="1" applyFont="1" applyBorder="1" applyAlignment="1">
      <alignment/>
    </xf>
    <xf numFmtId="165" fontId="2" fillId="0" borderId="0" xfId="42" applyNumberFormat="1" applyFont="1" applyAlignment="1">
      <alignment/>
    </xf>
    <xf numFmtId="172" fontId="2" fillId="0" borderId="0" xfId="42" applyNumberFormat="1" applyFont="1" applyAlignment="1">
      <alignment/>
    </xf>
    <xf numFmtId="6" fontId="1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44" fontId="1" fillId="0" borderId="0" xfId="55" applyFont="1" applyAlignment="1">
      <alignment/>
    </xf>
    <xf numFmtId="43" fontId="0" fillId="0" borderId="0" xfId="42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15" fontId="5" fillId="0" borderId="14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5" fontId="0" fillId="0" borderId="0" xfId="0" applyNumberFormat="1" applyAlignment="1">
      <alignment/>
    </xf>
    <xf numFmtId="3" fontId="1" fillId="0" borderId="0" xfId="55" applyNumberFormat="1" applyFont="1" applyAlignment="1">
      <alignment/>
    </xf>
    <xf numFmtId="16" fontId="0" fillId="0" borderId="0" xfId="0" applyNumberFormat="1" applyAlignment="1">
      <alignment/>
    </xf>
    <xf numFmtId="0" fontId="6" fillId="0" borderId="14" xfId="0" applyFont="1" applyBorder="1" applyAlignment="1">
      <alignment/>
    </xf>
    <xf numFmtId="3" fontId="0" fillId="0" borderId="0" xfId="0" applyNumberForma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7" xfId="0" applyNumberFormat="1" applyBorder="1" applyAlignment="1">
      <alignment horizontal="center"/>
    </xf>
    <xf numFmtId="10" fontId="0" fillId="0" borderId="0" xfId="92" applyNumberFormat="1" applyFont="1" applyAlignment="1">
      <alignment horizontal="center"/>
    </xf>
    <xf numFmtId="0" fontId="0" fillId="0" borderId="14" xfId="0" applyBorder="1" applyAlignment="1">
      <alignment horizontal="center"/>
    </xf>
    <xf numFmtId="169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164" fontId="2" fillId="0" borderId="0" xfId="42" applyNumberFormat="1" applyFont="1" applyAlignment="1">
      <alignment/>
    </xf>
    <xf numFmtId="164" fontId="2" fillId="0" borderId="0" xfId="42" applyNumberFormat="1" applyFont="1" applyBorder="1" applyAlignment="1">
      <alignment/>
    </xf>
    <xf numFmtId="172" fontId="2" fillId="0" borderId="0" xfId="42" applyNumberFormat="1" applyFont="1" applyAlignment="1">
      <alignment/>
    </xf>
    <xf numFmtId="165" fontId="2" fillId="0" borderId="0" xfId="42" applyNumberFormat="1" applyFont="1" applyAlignment="1">
      <alignment/>
    </xf>
    <xf numFmtId="164" fontId="1" fillId="0" borderId="0" xfId="0" applyNumberFormat="1" applyFont="1" applyAlignment="1">
      <alignment/>
    </xf>
    <xf numFmtId="44" fontId="0" fillId="0" borderId="0" xfId="55" applyFont="1" applyAlignment="1">
      <alignment/>
    </xf>
    <xf numFmtId="6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66" fontId="2" fillId="0" borderId="0" xfId="42" applyNumberFormat="1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44" fontId="0" fillId="0" borderId="0" xfId="55" applyFont="1" applyBorder="1" applyAlignment="1">
      <alignment/>
    </xf>
    <xf numFmtId="43" fontId="0" fillId="0" borderId="0" xfId="42" applyFont="1" applyAlignment="1">
      <alignment/>
    </xf>
    <xf numFmtId="43" fontId="0" fillId="0" borderId="0" xfId="42" applyNumberFormat="1" applyFont="1" applyAlignment="1">
      <alignment/>
    </xf>
    <xf numFmtId="188" fontId="0" fillId="0" borderId="0" xfId="92" applyNumberFormat="1" applyFont="1" applyAlignment="1">
      <alignment/>
    </xf>
    <xf numFmtId="44" fontId="0" fillId="0" borderId="0" xfId="0" applyNumberFormat="1" applyAlignment="1">
      <alignment/>
    </xf>
    <xf numFmtId="3" fontId="4" fillId="0" borderId="0" xfId="0" applyNumberFormat="1" applyFont="1" applyFill="1" applyBorder="1" applyAlignment="1">
      <alignment/>
    </xf>
    <xf numFmtId="186" fontId="4" fillId="0" borderId="18" xfId="0" applyNumberFormat="1" applyFont="1" applyBorder="1" applyAlignment="1">
      <alignment/>
    </xf>
    <xf numFmtId="186" fontId="4" fillId="0" borderId="19" xfId="0" applyNumberFormat="1" applyFont="1" applyBorder="1" applyAlignment="1">
      <alignment/>
    </xf>
    <xf numFmtId="44" fontId="0" fillId="0" borderId="0" xfId="55" applyFont="1" applyAlignment="1">
      <alignment/>
    </xf>
    <xf numFmtId="164" fontId="0" fillId="0" borderId="13" xfId="0" applyNumberFormat="1" applyBorder="1" applyAlignment="1">
      <alignment/>
    </xf>
    <xf numFmtId="164" fontId="0" fillId="0" borderId="0" xfId="42" applyNumberFormat="1" applyFont="1" applyFill="1" applyAlignment="1">
      <alignment/>
    </xf>
    <xf numFmtId="164" fontId="0" fillId="0" borderId="20" xfId="42" applyNumberFormat="1" applyFont="1" applyFill="1" applyBorder="1" applyAlignment="1">
      <alignment/>
    </xf>
    <xf numFmtId="164" fontId="0" fillId="0" borderId="20" xfId="42" applyNumberFormat="1" applyFont="1" applyBorder="1" applyAlignment="1">
      <alignment/>
    </xf>
    <xf numFmtId="164" fontId="0" fillId="0" borderId="20" xfId="42" applyNumberFormat="1" applyFont="1" applyFill="1" applyBorder="1" applyAlignment="1">
      <alignment/>
    </xf>
    <xf numFmtId="164" fontId="0" fillId="0" borderId="20" xfId="42" applyNumberFormat="1" applyFont="1" applyFill="1" applyBorder="1" applyAlignment="1">
      <alignment/>
    </xf>
    <xf numFmtId="164" fontId="0" fillId="0" borderId="0" xfId="42" applyNumberFormat="1" applyFont="1" applyAlignment="1">
      <alignment/>
    </xf>
    <xf numFmtId="164" fontId="0" fillId="0" borderId="0" xfId="42" applyNumberFormat="1" applyFont="1" applyFill="1" applyAlignment="1">
      <alignment/>
    </xf>
    <xf numFmtId="164" fontId="0" fillId="0" borderId="0" xfId="42" applyNumberFormat="1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64" fontId="4" fillId="0" borderId="0" xfId="42" applyNumberFormat="1" applyFont="1" applyAlignment="1">
      <alignment/>
    </xf>
    <xf numFmtId="0" fontId="1" fillId="0" borderId="0" xfId="0" applyFont="1" applyBorder="1" applyAlignment="1">
      <alignment/>
    </xf>
    <xf numFmtId="170" fontId="10" fillId="0" borderId="0" xfId="0" applyNumberFormat="1" applyFont="1" applyFill="1" applyAlignment="1" applyProtection="1">
      <alignment horizontal="right"/>
      <protection/>
    </xf>
    <xf numFmtId="170" fontId="11" fillId="0" borderId="0" xfId="0" applyNumberFormat="1" applyFont="1" applyFill="1" applyAlignment="1" applyProtection="1">
      <alignment horizontal="right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14" xfId="0" applyFont="1" applyBorder="1" applyAlignment="1">
      <alignment horizontal="center"/>
    </xf>
    <xf numFmtId="183" fontId="11" fillId="0" borderId="0" xfId="0" applyNumberFormat="1" applyFont="1" applyAlignment="1">
      <alignment/>
    </xf>
    <xf numFmtId="181" fontId="11" fillId="0" borderId="21" xfId="0" applyNumberFormat="1" applyFont="1" applyBorder="1" applyAlignment="1">
      <alignment/>
    </xf>
    <xf numFmtId="183" fontId="11" fillId="0" borderId="21" xfId="0" applyNumberFormat="1" applyFont="1" applyBorder="1" applyAlignment="1">
      <alignment/>
    </xf>
    <xf numFmtId="170" fontId="11" fillId="0" borderId="0" xfId="0" applyNumberFormat="1" applyFont="1" applyAlignment="1">
      <alignment/>
    </xf>
    <xf numFmtId="170" fontId="11" fillId="0" borderId="21" xfId="0" applyNumberFormat="1" applyFont="1" applyBorder="1" applyAlignment="1">
      <alignment/>
    </xf>
    <xf numFmtId="164" fontId="2" fillId="0" borderId="0" xfId="42" applyNumberFormat="1" applyFont="1" applyAlignment="1">
      <alignment/>
    </xf>
    <xf numFmtId="175" fontId="2" fillId="0" borderId="0" xfId="42" applyNumberFormat="1" applyFont="1" applyAlignment="1">
      <alignment/>
    </xf>
    <xf numFmtId="183" fontId="11" fillId="0" borderId="0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Font="1" applyAlignment="1">
      <alignment/>
    </xf>
    <xf numFmtId="44" fontId="0" fillId="0" borderId="0" xfId="55" applyFont="1" applyBorder="1" applyAlignment="1">
      <alignment/>
    </xf>
    <xf numFmtId="44" fontId="0" fillId="0" borderId="0" xfId="55" applyFont="1" applyAlignment="1">
      <alignment/>
    </xf>
    <xf numFmtId="170" fontId="11" fillId="0" borderId="0" xfId="0" applyNumberFormat="1" applyFont="1" applyFill="1" applyAlignment="1">
      <alignment/>
    </xf>
    <xf numFmtId="170" fontId="11" fillId="0" borderId="21" xfId="0" applyNumberFormat="1" applyFont="1" applyFill="1" applyBorder="1" applyAlignment="1">
      <alignment/>
    </xf>
    <xf numFmtId="188" fontId="0" fillId="0" borderId="0" xfId="92" applyNumberFormat="1" applyFont="1" applyAlignment="1">
      <alignment/>
    </xf>
    <xf numFmtId="0" fontId="0" fillId="0" borderId="13" xfId="0" applyFill="1" applyBorder="1" applyAlignment="1">
      <alignment/>
    </xf>
    <xf numFmtId="164" fontId="2" fillId="0" borderId="0" xfId="42" applyNumberFormat="1" applyFont="1" applyBorder="1" applyAlignment="1">
      <alignment/>
    </xf>
    <xf numFmtId="0" fontId="14" fillId="0" borderId="0" xfId="0" applyFont="1" applyAlignment="1">
      <alignment/>
    </xf>
    <xf numFmtId="10" fontId="0" fillId="0" borderId="0" xfId="92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/>
    </xf>
    <xf numFmtId="164" fontId="0" fillId="0" borderId="0" xfId="42" applyNumberFormat="1" applyFont="1" applyFill="1" applyBorder="1" applyAlignment="1">
      <alignment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Fill="1" applyBorder="1" applyAlignment="1">
      <alignment/>
    </xf>
    <xf numFmtId="164" fontId="0" fillId="0" borderId="0" xfId="42" applyNumberFormat="1" applyFont="1" applyFill="1" applyBorder="1" applyAlignment="1">
      <alignment/>
    </xf>
    <xf numFmtId="164" fontId="0" fillId="0" borderId="23" xfId="42" applyNumberFormat="1" applyFont="1" applyFill="1" applyBorder="1" applyAlignment="1">
      <alignment/>
    </xf>
    <xf numFmtId="164" fontId="0" fillId="0" borderId="23" xfId="42" applyNumberFormat="1" applyFont="1" applyBorder="1" applyAlignment="1">
      <alignment/>
    </xf>
    <xf numFmtId="164" fontId="0" fillId="0" borderId="23" xfId="42" applyNumberFormat="1" applyFont="1" applyFill="1" applyBorder="1" applyAlignment="1">
      <alignment/>
    </xf>
    <xf numFmtId="164" fontId="0" fillId="0" borderId="23" xfId="42" applyNumberFormat="1" applyFont="1" applyFill="1" applyBorder="1" applyAlignment="1">
      <alignment/>
    </xf>
    <xf numFmtId="0" fontId="5" fillId="0" borderId="24" xfId="0" applyFont="1" applyBorder="1" applyAlignment="1">
      <alignment/>
    </xf>
    <xf numFmtId="0" fontId="1" fillId="0" borderId="0" xfId="0" applyFont="1" applyAlignment="1">
      <alignment horizontal="center"/>
    </xf>
    <xf numFmtId="15" fontId="5" fillId="0" borderId="14" xfId="0" applyNumberFormat="1" applyFont="1" applyBorder="1" applyAlignment="1">
      <alignment horizontal="center" wrapText="1" shrinkToFit="1"/>
    </xf>
    <xf numFmtId="43" fontId="0" fillId="0" borderId="0" xfId="42" applyFont="1" applyAlignment="1">
      <alignment/>
    </xf>
    <xf numFmtId="43" fontId="0" fillId="0" borderId="0" xfId="42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164" fontId="16" fillId="0" borderId="23" xfId="42" applyNumberFormat="1" applyFont="1" applyFill="1" applyBorder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3" fontId="16" fillId="0" borderId="17" xfId="0" applyNumberFormat="1" applyFont="1" applyBorder="1" applyAlignment="1">
      <alignment horizontal="center"/>
    </xf>
    <xf numFmtId="164" fontId="16" fillId="0" borderId="20" xfId="42" applyNumberFormat="1" applyFont="1" applyFill="1" applyBorder="1" applyAlignment="1">
      <alignment/>
    </xf>
    <xf numFmtId="164" fontId="16" fillId="0" borderId="0" xfId="42" applyNumberFormat="1" applyFont="1" applyAlignment="1">
      <alignment/>
    </xf>
    <xf numFmtId="10" fontId="16" fillId="0" borderId="0" xfId="92" applyNumberFormat="1" applyFont="1" applyBorder="1" applyAlignment="1">
      <alignment horizontal="center"/>
    </xf>
    <xf numFmtId="10" fontId="16" fillId="0" borderId="0" xfId="92" applyNumberFormat="1" applyFont="1" applyAlignment="1">
      <alignment horizontal="center"/>
    </xf>
    <xf numFmtId="0" fontId="16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2" xfId="47"/>
    <cellStyle name="Comma 3" xfId="48"/>
    <cellStyle name="Comma 4" xfId="49"/>
    <cellStyle name="Comma 5" xfId="50"/>
    <cellStyle name="Comma 6" xfId="51"/>
    <cellStyle name="Comma 7" xfId="52"/>
    <cellStyle name="Comma 8" xfId="53"/>
    <cellStyle name="Comma 9" xfId="54"/>
    <cellStyle name="Currency" xfId="55"/>
    <cellStyle name="Currency [0]" xfId="56"/>
    <cellStyle name="Currency 10" xfId="57"/>
    <cellStyle name="Currency 11" xfId="58"/>
    <cellStyle name="Currency 12" xfId="59"/>
    <cellStyle name="Currency 2" xfId="60"/>
    <cellStyle name="Currency 3" xfId="61"/>
    <cellStyle name="Currency 4" xfId="62"/>
    <cellStyle name="Currency 5" xfId="63"/>
    <cellStyle name="Currency 6" xfId="64"/>
    <cellStyle name="Currency 7" xfId="65"/>
    <cellStyle name="Currency 8" xfId="66"/>
    <cellStyle name="Currency 9" xfId="67"/>
    <cellStyle name="Explanatory Text" xfId="68"/>
    <cellStyle name="Followed Hyperlink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Input" xfId="76"/>
    <cellStyle name="Linked Cell" xfId="77"/>
    <cellStyle name="Neutral" xfId="78"/>
    <cellStyle name="Normal 10" xfId="79"/>
    <cellStyle name="Normal 11" xfId="80"/>
    <cellStyle name="Normal 12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 9" xfId="89"/>
    <cellStyle name="Note" xfId="90"/>
    <cellStyle name="Output" xfId="91"/>
    <cellStyle name="Percent" xfId="92"/>
    <cellStyle name="Percent 10" xfId="93"/>
    <cellStyle name="Percent 11" xfId="94"/>
    <cellStyle name="Percent 12" xfId="95"/>
    <cellStyle name="Percent 2" xfId="96"/>
    <cellStyle name="Percent 3" xfId="97"/>
    <cellStyle name="Percent 4" xfId="98"/>
    <cellStyle name="Percent 5" xfId="99"/>
    <cellStyle name="Percent 6" xfId="100"/>
    <cellStyle name="Percent 7" xfId="101"/>
    <cellStyle name="Percent 8" xfId="102"/>
    <cellStyle name="Percent 9" xfId="103"/>
    <cellStyle name="Title" xfId="104"/>
    <cellStyle name="Total" xfId="105"/>
    <cellStyle name="Warning Text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46"/>
  <sheetViews>
    <sheetView tabSelected="1" workbookViewId="0" topLeftCell="A1">
      <selection activeCell="H3" sqref="H3"/>
    </sheetView>
  </sheetViews>
  <sheetFormatPr defaultColWidth="9.140625" defaultRowHeight="15"/>
  <cols>
    <col min="1" max="1" width="3.8515625" style="34" customWidth="1"/>
    <col min="2" max="2" width="7.7109375" style="0" bestFit="1" customWidth="1"/>
    <col min="3" max="3" width="9.57421875" style="0" bestFit="1" customWidth="1"/>
    <col min="4" max="4" width="10.8515625" style="33" bestFit="1" customWidth="1"/>
    <col min="6" max="6" width="11.57421875" style="0" bestFit="1" customWidth="1"/>
    <col min="7" max="7" width="12.57421875" style="0" bestFit="1" customWidth="1"/>
    <col min="8" max="8" width="11.57421875" style="0" bestFit="1" customWidth="1"/>
    <col min="9" max="9" width="11.57421875" style="0" customWidth="1"/>
    <col min="10" max="10" width="9.7109375" style="0" customWidth="1"/>
    <col min="11" max="11" width="9.7109375" style="33" customWidth="1"/>
    <col min="12" max="12" width="15.8515625" style="34" customWidth="1"/>
  </cols>
  <sheetData>
    <row r="7" spans="1:11" ht="14.25">
      <c r="A7" s="136" t="s">
        <v>215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</row>
    <row r="9" spans="2:12" s="34" customFormat="1" ht="15">
      <c r="B9" s="121" t="s">
        <v>126</v>
      </c>
      <c r="C9" s="121" t="s">
        <v>127</v>
      </c>
      <c r="D9" s="121" t="s">
        <v>128</v>
      </c>
      <c r="E9" s="35" t="s">
        <v>129</v>
      </c>
      <c r="F9" s="35" t="s">
        <v>130</v>
      </c>
      <c r="G9" s="35" t="s">
        <v>131</v>
      </c>
      <c r="H9" s="35" t="s">
        <v>132</v>
      </c>
      <c r="I9" s="35" t="s">
        <v>138</v>
      </c>
      <c r="J9" s="35" t="s">
        <v>139</v>
      </c>
      <c r="K9" s="35" t="s">
        <v>183</v>
      </c>
      <c r="L9" s="35"/>
    </row>
    <row r="10" spans="3:12" ht="14.25">
      <c r="C10" s="35"/>
      <c r="D10" s="35"/>
      <c r="E10" s="35"/>
      <c r="F10" s="136" t="s">
        <v>135</v>
      </c>
      <c r="G10" s="136"/>
      <c r="H10" s="136"/>
      <c r="I10" s="136" t="s">
        <v>133</v>
      </c>
      <c r="J10" s="136"/>
      <c r="K10" s="136"/>
      <c r="L10" s="35"/>
    </row>
    <row r="11" spans="2:12" ht="15">
      <c r="B11" s="137" t="s">
        <v>122</v>
      </c>
      <c r="C11" s="137"/>
      <c r="D11" s="137"/>
      <c r="E11" s="35" t="s">
        <v>124</v>
      </c>
      <c r="F11" s="136" t="s">
        <v>136</v>
      </c>
      <c r="G11" s="136"/>
      <c r="H11" s="136"/>
      <c r="I11" s="136" t="s">
        <v>134</v>
      </c>
      <c r="J11" s="136"/>
      <c r="K11" s="136"/>
      <c r="L11" s="35"/>
    </row>
    <row r="12" spans="2:11" ht="26.25" thickBot="1">
      <c r="B12" s="43" t="s">
        <v>109</v>
      </c>
      <c r="C12" s="36" t="s">
        <v>86</v>
      </c>
      <c r="D12" s="36" t="s">
        <v>137</v>
      </c>
      <c r="E12" s="36" t="s">
        <v>125</v>
      </c>
      <c r="F12" s="37">
        <v>39630</v>
      </c>
      <c r="G12" s="37">
        <v>39675</v>
      </c>
      <c r="H12" s="36" t="s">
        <v>86</v>
      </c>
      <c r="I12" s="122" t="s">
        <v>184</v>
      </c>
      <c r="J12" s="122" t="s">
        <v>186</v>
      </c>
      <c r="K12" s="122" t="s">
        <v>185</v>
      </c>
    </row>
    <row r="13" spans="3:10" ht="14.25">
      <c r="C13" s="38"/>
      <c r="D13" s="38"/>
      <c r="E13" s="46"/>
      <c r="F13" s="45"/>
      <c r="G13" s="39"/>
      <c r="H13" s="120"/>
      <c r="I13" s="39"/>
      <c r="J13" s="111"/>
    </row>
    <row r="14" spans="1:11" ht="14.25">
      <c r="A14" s="34">
        <v>1</v>
      </c>
      <c r="B14" s="34" t="s">
        <v>60</v>
      </c>
      <c r="C14" s="34" t="s">
        <v>87</v>
      </c>
      <c r="D14" s="33" t="s">
        <v>123</v>
      </c>
      <c r="E14" s="47">
        <v>50</v>
      </c>
      <c r="F14" s="75">
        <f>'GS July 1 Rates'!N12</f>
        <v>526.128328125</v>
      </c>
      <c r="G14" s="74">
        <f>'GS-1 Current'!N11</f>
        <v>533.2953787499999</v>
      </c>
      <c r="H14" s="116">
        <f>'GS Residential Proposed'!N11</f>
        <v>532.8217087500001</v>
      </c>
      <c r="I14" s="109">
        <f>(G14-F14)/F14</f>
        <v>0.013622248113006198</v>
      </c>
      <c r="J14" s="109">
        <f>(H14-F14)/F14</f>
        <v>0.012721954449504165</v>
      </c>
      <c r="K14" s="49">
        <f>(H14-G14)/G14</f>
        <v>-0.0008881944582195696</v>
      </c>
    </row>
    <row r="15" spans="1:11" ht="14.25">
      <c r="A15" s="34">
        <v>2</v>
      </c>
      <c r="B15" s="34"/>
      <c r="C15" s="34"/>
      <c r="D15" s="33" t="s">
        <v>89</v>
      </c>
      <c r="E15" s="47">
        <v>80</v>
      </c>
      <c r="F15" s="75">
        <f>'GS July 1 Rates'!N19</f>
        <v>805.8053249999998</v>
      </c>
      <c r="G15" s="74">
        <f>'GS-1 Current'!N18</f>
        <v>817.272606</v>
      </c>
      <c r="H15" s="116">
        <f>'GS Residential Proposed'!N19</f>
        <v>833.314734</v>
      </c>
      <c r="I15" s="109">
        <f>(G15-F15)/F15</f>
        <v>0.014230832986863406</v>
      </c>
      <c r="J15" s="109">
        <f>(H15-F15)/F15</f>
        <v>0.034139026073078185</v>
      </c>
      <c r="K15" s="49">
        <f>(H15-G15)/G15</f>
        <v>0.019628858085083117</v>
      </c>
    </row>
    <row r="16" spans="1:11" ht="14.25">
      <c r="A16" s="34">
        <v>3</v>
      </c>
      <c r="B16" s="34"/>
      <c r="C16" s="34"/>
      <c r="D16" s="33" t="s">
        <v>90</v>
      </c>
      <c r="E16" s="47">
        <v>150</v>
      </c>
      <c r="F16" s="75">
        <f>'GS July 1 Rates'!N27</f>
        <v>1458.384984375</v>
      </c>
      <c r="G16" s="74">
        <f>'GS-1 Current'!N51</f>
        <v>1479.8861362500002</v>
      </c>
      <c r="H16" s="116">
        <f>'GS Residential Proposed'!N27</f>
        <v>1478.4651262500001</v>
      </c>
      <c r="I16" s="109">
        <f>(G16-F16)/F16</f>
        <v>0.014743124830111087</v>
      </c>
      <c r="J16" s="109">
        <f>(H16-F16)/F16</f>
        <v>0.013768752483148803</v>
      </c>
      <c r="K16" s="49">
        <f>(H16-G16)/G16</f>
        <v>-0.00096021576605943</v>
      </c>
    </row>
    <row r="17" spans="2:11" ht="14.25">
      <c r="B17" s="34"/>
      <c r="C17" s="34"/>
      <c r="E17" s="47"/>
      <c r="F17" s="76"/>
      <c r="G17" s="79"/>
      <c r="H17" s="117"/>
      <c r="I17" s="113"/>
      <c r="J17" s="110"/>
      <c r="K17" s="34"/>
    </row>
    <row r="18" spans="1:11" ht="14.25">
      <c r="A18" s="34">
        <v>4</v>
      </c>
      <c r="B18" s="34" t="s">
        <v>60</v>
      </c>
      <c r="C18" s="34" t="s">
        <v>91</v>
      </c>
      <c r="D18" s="33" t="s">
        <v>88</v>
      </c>
      <c r="E18" s="47">
        <v>80</v>
      </c>
      <c r="F18" s="75">
        <f>'GS July 1 Rates'!N19</f>
        <v>805.8053249999998</v>
      </c>
      <c r="G18" s="74">
        <f>'GS-1 Current'!N18</f>
        <v>817.272606</v>
      </c>
      <c r="H18" s="116">
        <f>PGSC!R7</f>
        <v>833.3147339999999</v>
      </c>
      <c r="I18" s="109">
        <f>(G18-F18)/F18</f>
        <v>0.014230832986863406</v>
      </c>
      <c r="J18" s="109">
        <f>(H18-F18)/F18</f>
        <v>0.03413902607307804</v>
      </c>
      <c r="K18" s="49">
        <f>(H18-G18)/G18</f>
        <v>0.019628858085082978</v>
      </c>
    </row>
    <row r="19" spans="1:11" ht="14.25">
      <c r="A19" s="34">
        <v>5</v>
      </c>
      <c r="B19" s="34"/>
      <c r="C19" s="34"/>
      <c r="D19" s="33" t="s">
        <v>89</v>
      </c>
      <c r="E19" s="48">
        <v>2100</v>
      </c>
      <c r="F19" s="75">
        <f>'GS July 1 Rates'!N35</f>
        <v>17998.716337500002</v>
      </c>
      <c r="G19" s="74">
        <f>'GS-1 Current'!N34</f>
        <v>18239.491443750005</v>
      </c>
      <c r="H19" s="116">
        <f>PGSC!R15</f>
        <v>18597.47737125</v>
      </c>
      <c r="I19" s="109">
        <f>(G19-F19)/F19</f>
        <v>0.013377348791722012</v>
      </c>
      <c r="J19" s="109">
        <f>(H19-F19)/F19</f>
        <v>0.033266874288278514</v>
      </c>
      <c r="K19" s="49">
        <f>(H19-G19)/G19</f>
        <v>0.019626968690657377</v>
      </c>
    </row>
    <row r="20" spans="1:11" ht="14.25">
      <c r="A20" s="34">
        <v>6</v>
      </c>
      <c r="B20" s="34"/>
      <c r="C20" s="34"/>
      <c r="D20" s="33" t="s">
        <v>90</v>
      </c>
      <c r="E20" s="48">
        <v>45000</v>
      </c>
      <c r="F20" s="75">
        <f>'GS July 1 Rates'!N42</f>
        <v>373094.40157499997</v>
      </c>
      <c r="G20" s="74">
        <f>'GS-1 Current'!N42</f>
        <v>375479.3233875</v>
      </c>
      <c r="H20" s="116">
        <f>PGSC!R23</f>
        <v>370856.08635</v>
      </c>
      <c r="I20" s="109">
        <f>(G20-F20)/F20</f>
        <v>0.006392274455023222</v>
      </c>
      <c r="J20" s="109">
        <f>(H20-F20)/F20</f>
        <v>-0.005999326753634013</v>
      </c>
      <c r="K20" s="49">
        <f>(H20-G20)/G20</f>
        <v>-0.012312893812074895</v>
      </c>
    </row>
    <row r="21" spans="2:11" ht="14.25">
      <c r="B21" s="34"/>
      <c r="C21" s="34"/>
      <c r="E21" s="47"/>
      <c r="F21" s="75"/>
      <c r="G21" s="74"/>
      <c r="H21" s="116"/>
      <c r="I21" s="109"/>
      <c r="J21" s="110"/>
      <c r="K21" s="34"/>
    </row>
    <row r="22" spans="1:12" ht="14.25">
      <c r="A22" s="34">
        <v>7</v>
      </c>
      <c r="B22" s="34" t="s">
        <v>92</v>
      </c>
      <c r="C22" s="34" t="s">
        <v>87</v>
      </c>
      <c r="D22" s="33" t="s">
        <v>89</v>
      </c>
      <c r="E22" s="47">
        <v>80</v>
      </c>
      <c r="F22" s="75">
        <f>'GSS-1'!N9</f>
        <v>895.8701880000001</v>
      </c>
      <c r="G22" s="74">
        <f>'GSS-1'!N8</f>
        <v>919.2756139999999</v>
      </c>
      <c r="H22" s="127">
        <f>'GSS-1'!N10</f>
        <v>876.986512</v>
      </c>
      <c r="I22" s="109">
        <f>(G22-F22)/F22</f>
        <v>0.02612591234032648</v>
      </c>
      <c r="J22" s="109">
        <f>(H22-F22)/F22</f>
        <v>-0.02107858510411795</v>
      </c>
      <c r="K22" s="49">
        <f>(H22-G22)/G22</f>
        <v>-0.04600263659338184</v>
      </c>
      <c r="L22" s="33"/>
    </row>
    <row r="23" spans="2:11" ht="14.25">
      <c r="B23" s="34"/>
      <c r="C23" s="34"/>
      <c r="E23" s="47"/>
      <c r="F23" s="75"/>
      <c r="G23" s="74"/>
      <c r="H23" s="116"/>
      <c r="I23" s="109"/>
      <c r="J23" s="110"/>
      <c r="K23" s="34"/>
    </row>
    <row r="24" spans="1:11" ht="14.25">
      <c r="A24" s="34">
        <v>8</v>
      </c>
      <c r="B24" s="34" t="s">
        <v>93</v>
      </c>
      <c r="C24" s="34" t="s">
        <v>110</v>
      </c>
      <c r="D24" s="33" t="s">
        <v>88</v>
      </c>
      <c r="E24" s="48">
        <v>2100</v>
      </c>
      <c r="F24" s="75">
        <f>'F1 Jul'!R8</f>
        <v>16575.021200574058</v>
      </c>
      <c r="G24" s="74">
        <f>'F1 Current'!R8</f>
        <v>16640.98439509332</v>
      </c>
      <c r="H24" s="116">
        <f>'Proposed F1'!Q8</f>
        <v>17142.644833870167</v>
      </c>
      <c r="I24" s="109">
        <f>(G24-F24)/F24</f>
        <v>0.003979674820384461</v>
      </c>
      <c r="J24" s="109">
        <f>(H24-F24)/F24</f>
        <v>0.03424572592863108</v>
      </c>
      <c r="K24" s="49">
        <f>(H24-G24)/G24</f>
        <v>0.030146079514668786</v>
      </c>
    </row>
    <row r="25" spans="1:11" ht="14.25">
      <c r="A25" s="34">
        <v>9</v>
      </c>
      <c r="B25" s="34"/>
      <c r="C25" s="34"/>
      <c r="D25" s="33" t="s">
        <v>89</v>
      </c>
      <c r="E25" s="48">
        <v>5000</v>
      </c>
      <c r="F25" s="75">
        <f>'F1 Jul'!R16</f>
        <v>39390.682363052416</v>
      </c>
      <c r="G25" s="74">
        <f>'F1 Current'!R16</f>
        <v>39539.68570812605</v>
      </c>
      <c r="H25" s="116">
        <f>'Proposed F1'!Q16</f>
        <v>40961.40407479578</v>
      </c>
      <c r="I25" s="109">
        <f>(G25-F25)/F25</f>
        <v>0.0037827053540306055</v>
      </c>
      <c r="J25" s="109">
        <f>(H25-F25)/F25</f>
        <v>0.0398754633714257</v>
      </c>
      <c r="K25" s="49">
        <f>(H25-G25)/G25</f>
        <v>0.035956744248413115</v>
      </c>
    </row>
    <row r="26" spans="1:11" ht="14.25">
      <c r="A26" s="34">
        <v>10</v>
      </c>
      <c r="B26" s="34"/>
      <c r="C26" s="34"/>
      <c r="D26" s="33" t="s">
        <v>90</v>
      </c>
      <c r="E26" s="48">
        <v>100000</v>
      </c>
      <c r="F26" s="75">
        <f>'F1 Jul'!R24</f>
        <v>768172.6258558817</v>
      </c>
      <c r="G26" s="74">
        <f>'F1 Current'!R24</f>
        <v>770588.2672995462</v>
      </c>
      <c r="H26" s="116">
        <f>'Proposed F1'!Q24</f>
        <v>780742.3534959153</v>
      </c>
      <c r="I26" s="109">
        <f>(G26-F26)/F26</f>
        <v>0.003144659627740554</v>
      </c>
      <c r="J26" s="109">
        <f>(H26-F26)/F26</f>
        <v>0.01636315486513029</v>
      </c>
      <c r="K26" s="49">
        <f>(H26-G26)/G26</f>
        <v>0.013177057875476328</v>
      </c>
    </row>
    <row r="27" spans="2:11" ht="14.25">
      <c r="B27" s="34"/>
      <c r="C27" s="34"/>
      <c r="E27" s="47"/>
      <c r="F27" s="75"/>
      <c r="G27" s="74"/>
      <c r="H27" s="116"/>
      <c r="I27" s="112"/>
      <c r="J27" s="110"/>
      <c r="K27" s="34"/>
    </row>
    <row r="28" spans="1:11" ht="14.25">
      <c r="A28" s="34">
        <v>11</v>
      </c>
      <c r="B28" s="34" t="s">
        <v>94</v>
      </c>
      <c r="C28" s="34" t="s">
        <v>111</v>
      </c>
      <c r="D28" s="33" t="s">
        <v>95</v>
      </c>
      <c r="E28" s="48">
        <v>7000</v>
      </c>
      <c r="F28" s="75">
        <f>'I4 Jul'!P8</f>
        <v>48892.38999999999</v>
      </c>
      <c r="G28" s="74">
        <f>'I4-Rate Current'!P8</f>
        <v>48981.14999999999</v>
      </c>
      <c r="H28" s="116">
        <f>'Proposed I4'!P8</f>
        <v>50730.999999999985</v>
      </c>
      <c r="I28" s="109">
        <f>(G28-F28)/F28</f>
        <v>0.0018154154460437457</v>
      </c>
      <c r="J28" s="109">
        <f>(H28-F28)/F28</f>
        <v>0.03760523877028702</v>
      </c>
      <c r="K28" s="49">
        <f>(H28-G28)/G28</f>
        <v>0.03572496766613277</v>
      </c>
    </row>
    <row r="29" spans="1:11" ht="14.25">
      <c r="A29" s="34">
        <v>12</v>
      </c>
      <c r="B29" s="34"/>
      <c r="C29" s="34"/>
      <c r="D29" s="33" t="s">
        <v>89</v>
      </c>
      <c r="E29" s="48">
        <v>25000</v>
      </c>
      <c r="F29" s="75">
        <f>'I4 Jul'!P14</f>
        <v>172341.91499999998</v>
      </c>
      <c r="G29" s="74">
        <f>'I4-Rate Current'!P14</f>
        <v>172640.93499999997</v>
      </c>
      <c r="H29" s="116">
        <f>'Proposed I4'!P14</f>
        <v>177276.31839947906</v>
      </c>
      <c r="I29" s="109">
        <f>(G29-F29)/F29</f>
        <v>0.001735039325749569</v>
      </c>
      <c r="J29" s="109">
        <f>(H29-F29)/F29</f>
        <v>0.02863147597889394</v>
      </c>
      <c r="K29" s="49">
        <f>(H29-G29)/G29</f>
        <v>0.02684985110558566</v>
      </c>
    </row>
    <row r="30" spans="1:11" ht="14.25">
      <c r="A30" s="34">
        <v>13</v>
      </c>
      <c r="B30" s="34"/>
      <c r="C30" s="34"/>
      <c r="D30" s="33" t="s">
        <v>90</v>
      </c>
      <c r="E30" s="48">
        <v>150000</v>
      </c>
      <c r="F30" s="75">
        <f>'I4 Jul'!P20</f>
        <v>1044823.4126138622</v>
      </c>
      <c r="G30" s="74">
        <f>'I4-Rate Current'!P20</f>
        <v>1046552.4326138622</v>
      </c>
      <c r="H30" s="116">
        <f>'Proposed I4'!P20</f>
        <v>1069550.5776138622</v>
      </c>
      <c r="I30" s="109">
        <f>(G30-F30)/F30</f>
        <v>0.0016548442340840008</v>
      </c>
      <c r="J30" s="109">
        <f>(H30-F30)/F30</f>
        <v>0.023666358067282813</v>
      </c>
      <c r="K30" s="49">
        <f>(H30-G30)/G30</f>
        <v>0.021975148385599764</v>
      </c>
    </row>
    <row r="31" spans="2:11" ht="14.25">
      <c r="B31" s="34"/>
      <c r="C31" s="34"/>
      <c r="E31" s="48"/>
      <c r="F31" s="75"/>
      <c r="G31" s="74"/>
      <c r="H31" s="116"/>
      <c r="I31" s="109"/>
      <c r="J31" s="109"/>
      <c r="K31" s="49"/>
    </row>
    <row r="32" spans="1:12" ht="14.25">
      <c r="A32" s="34">
        <v>14</v>
      </c>
      <c r="B32" s="128" t="s">
        <v>14</v>
      </c>
      <c r="C32" s="128" t="s">
        <v>111</v>
      </c>
      <c r="D32" s="129" t="s">
        <v>89</v>
      </c>
      <c r="E32" s="130">
        <v>25000</v>
      </c>
      <c r="F32" s="131">
        <f>'IS4'!P8</f>
        <v>199935.18499999997</v>
      </c>
      <c r="G32" s="132">
        <f>'IS4'!P16</f>
        <v>202283.75499999998</v>
      </c>
      <c r="H32" s="127">
        <f>'IS4'!P24</f>
        <v>200631.18499999997</v>
      </c>
      <c r="I32" s="133">
        <f>(G32-F32)/F32</f>
        <v>0.011746656797801784</v>
      </c>
      <c r="J32" s="133">
        <f>(H32-F32)/F32</f>
        <v>0.0034811281466041112</v>
      </c>
      <c r="K32" s="134">
        <f>(H32-G32)/G32</f>
        <v>-0.008169563591500499</v>
      </c>
      <c r="L32" s="126"/>
    </row>
    <row r="33" spans="2:12" ht="14.25">
      <c r="B33" s="34"/>
      <c r="C33" s="34"/>
      <c r="E33" s="47"/>
      <c r="F33" s="77"/>
      <c r="G33" s="80"/>
      <c r="H33" s="118"/>
      <c r="I33" s="114"/>
      <c r="J33" s="110"/>
      <c r="K33" s="34"/>
      <c r="L33"/>
    </row>
    <row r="34" spans="1:12" ht="14.25">
      <c r="A34" s="34">
        <v>15</v>
      </c>
      <c r="B34" s="34" t="s">
        <v>97</v>
      </c>
      <c r="C34" s="34" t="s">
        <v>113</v>
      </c>
      <c r="D34" s="33" t="s">
        <v>95</v>
      </c>
      <c r="E34" s="48">
        <v>40000</v>
      </c>
      <c r="F34" s="75">
        <v>282611.6</v>
      </c>
      <c r="G34" s="74">
        <v>282932.8</v>
      </c>
      <c r="H34" s="116">
        <v>287224.8</v>
      </c>
      <c r="I34" s="109">
        <f>(G34-F34)/F34</f>
        <v>0.0011365421659974737</v>
      </c>
      <c r="J34" s="109">
        <f>(H34-F34)/F34</f>
        <v>0.016323463014257064</v>
      </c>
      <c r="K34" s="49">
        <f>(H34-G34)/G34</f>
        <v>0.015169679867445557</v>
      </c>
      <c r="L34"/>
    </row>
    <row r="35" spans="1:12" ht="14.25">
      <c r="A35" s="34">
        <v>16</v>
      </c>
      <c r="B35" s="34"/>
      <c r="C35" s="34"/>
      <c r="D35" s="33" t="s">
        <v>89</v>
      </c>
      <c r="E35" s="48">
        <v>100000</v>
      </c>
      <c r="F35" s="78">
        <v>702147</v>
      </c>
      <c r="G35" s="81">
        <v>702950</v>
      </c>
      <c r="H35" s="119">
        <v>709341</v>
      </c>
      <c r="I35" s="109">
        <f>(G35-F35)/F35</f>
        <v>0.0011436351647162203</v>
      </c>
      <c r="J35" s="109">
        <f>(H35-F35)/F35</f>
        <v>0.010245717777046687</v>
      </c>
      <c r="K35" s="49">
        <f>(H35-G35)/G35</f>
        <v>0.009091685041610356</v>
      </c>
      <c r="L35"/>
    </row>
    <row r="36" spans="1:12" ht="14.25">
      <c r="A36" s="34">
        <v>17</v>
      </c>
      <c r="B36" s="34"/>
      <c r="C36" s="34"/>
      <c r="D36" s="33" t="s">
        <v>90</v>
      </c>
      <c r="E36" s="48">
        <v>500000</v>
      </c>
      <c r="F36" s="78">
        <v>3470383</v>
      </c>
      <c r="G36" s="81">
        <v>3474398</v>
      </c>
      <c r="H36" s="119">
        <v>3495594.6</v>
      </c>
      <c r="I36" s="109">
        <f>(G36-F36)/F36</f>
        <v>0.0011569328226884467</v>
      </c>
      <c r="J36" s="109">
        <f>(H36-F36)/F36</f>
        <v>0.0072647889296369</v>
      </c>
      <c r="K36" s="49">
        <f>(H36-G36)/G36</f>
        <v>0.0061007978936207345</v>
      </c>
      <c r="L36"/>
    </row>
    <row r="37" spans="2:12" ht="14.25">
      <c r="B37" s="34"/>
      <c r="C37" s="34"/>
      <c r="E37" s="48"/>
      <c r="F37" s="78"/>
      <c r="G37" s="81"/>
      <c r="H37" s="119"/>
      <c r="I37" s="115"/>
      <c r="J37" s="109"/>
      <c r="K37" s="49"/>
      <c r="L37"/>
    </row>
    <row r="38" spans="1:12" ht="14.25">
      <c r="A38" s="34">
        <v>18</v>
      </c>
      <c r="B38" s="34" t="s">
        <v>15</v>
      </c>
      <c r="C38" s="34" t="s">
        <v>16</v>
      </c>
      <c r="D38" s="33" t="s">
        <v>89</v>
      </c>
      <c r="E38" s="48">
        <v>100000</v>
      </c>
      <c r="F38" s="78">
        <f>'July ITS'!Q8</f>
        <v>726550.7</v>
      </c>
      <c r="G38" s="81">
        <f>'IT-S 4 Aug'!Q8</f>
        <v>728626.895</v>
      </c>
      <c r="H38" s="119">
        <f>'Proposed ITS'!Q9</f>
        <v>724946.7</v>
      </c>
      <c r="I38" s="109">
        <f>(G38-F38)/F38</f>
        <v>0.0028576051196428074</v>
      </c>
      <c r="J38" s="109">
        <f>(H38-F38)/F38</f>
        <v>-0.00220769176879191</v>
      </c>
      <c r="K38" s="49">
        <f>(H38-G38)/G38</f>
        <v>-0.005050863514995649</v>
      </c>
      <c r="L38"/>
    </row>
    <row r="39" spans="2:12" ht="14.25">
      <c r="B39" s="34"/>
      <c r="C39" s="34"/>
      <c r="E39" s="47"/>
      <c r="F39" s="75"/>
      <c r="G39" s="74"/>
      <c r="H39" s="116"/>
      <c r="I39" s="112"/>
      <c r="J39" s="110"/>
      <c r="K39" s="34"/>
      <c r="L39"/>
    </row>
    <row r="40" spans="1:12" ht="14.25">
      <c r="A40" s="34">
        <v>19</v>
      </c>
      <c r="B40" s="34" t="s">
        <v>114</v>
      </c>
      <c r="C40" s="34" t="s">
        <v>113</v>
      </c>
      <c r="D40" s="33" t="s">
        <v>89</v>
      </c>
      <c r="E40" s="48">
        <v>100000</v>
      </c>
      <c r="F40" s="75">
        <v>705946</v>
      </c>
      <c r="G40" s="74">
        <v>706975</v>
      </c>
      <c r="H40" s="116">
        <v>706156</v>
      </c>
      <c r="I40" s="109">
        <f>(G40-F40)/F40</f>
        <v>0.0014576185713921462</v>
      </c>
      <c r="J40" s="109">
        <f>(H40-F40)/F40</f>
        <v>0.00029747317783513185</v>
      </c>
      <c r="K40" s="49">
        <f>(H40-G40)/G40</f>
        <v>-0.0011584568054033028</v>
      </c>
      <c r="L40"/>
    </row>
    <row r="41" spans="2:11" ht="14.25">
      <c r="B41" s="34"/>
      <c r="C41" s="34"/>
      <c r="E41" s="47"/>
      <c r="F41" s="75"/>
      <c r="G41" s="74"/>
      <c r="H41" s="116"/>
      <c r="I41" s="112"/>
      <c r="J41" s="110"/>
      <c r="K41" s="34"/>
    </row>
    <row r="42" spans="1:12" ht="14.25">
      <c r="A42" s="34">
        <v>20</v>
      </c>
      <c r="B42" s="34" t="s">
        <v>96</v>
      </c>
      <c r="C42" s="34" t="s">
        <v>113</v>
      </c>
      <c r="D42" s="33" t="s">
        <v>95</v>
      </c>
      <c r="E42" s="48">
        <v>120000</v>
      </c>
      <c r="F42" s="75">
        <v>848867.2427414296</v>
      </c>
      <c r="G42" s="74">
        <v>850336.775128609</v>
      </c>
      <c r="H42" s="116">
        <v>858691.4</v>
      </c>
      <c r="I42" s="109">
        <f>(G42-F42)/F42</f>
        <v>0.0017311686836136613</v>
      </c>
      <c r="J42" s="109">
        <f>(H42-F42)/F42</f>
        <v>0.011573255232282451</v>
      </c>
      <c r="K42" s="49">
        <f>(H42-G42)/G42</f>
        <v>0.00982507768187186</v>
      </c>
      <c r="L42"/>
    </row>
    <row r="43" spans="1:12" ht="14.25">
      <c r="A43" s="34">
        <v>21</v>
      </c>
      <c r="B43" s="34"/>
      <c r="C43" s="34"/>
      <c r="D43" s="33" t="s">
        <v>90</v>
      </c>
      <c r="E43" s="48">
        <v>2000000</v>
      </c>
      <c r="F43" s="78">
        <v>13933188.395080091</v>
      </c>
      <c r="G43" s="81">
        <v>13953733.391413514</v>
      </c>
      <c r="H43" s="119">
        <v>14044673.599999998</v>
      </c>
      <c r="I43" s="109">
        <f>(G43-F43)/F43</f>
        <v>0.0014745366064724083</v>
      </c>
      <c r="J43" s="109">
        <f>(H43-F43)/F43</f>
        <v>0.00800141372948582</v>
      </c>
      <c r="K43" s="49">
        <f>(H43-G43)/G43</f>
        <v>0.0065172671739912</v>
      </c>
      <c r="L43"/>
    </row>
    <row r="44" spans="2:11" ht="14.25">
      <c r="B44" s="34"/>
      <c r="C44" s="34"/>
      <c r="E44" s="47"/>
      <c r="F44" s="75"/>
      <c r="G44" s="74"/>
      <c r="H44" s="116"/>
      <c r="I44" s="112"/>
      <c r="J44" s="110"/>
      <c r="K44" s="34"/>
    </row>
    <row r="45" spans="1:12" ht="14.25">
      <c r="A45" s="34">
        <v>22</v>
      </c>
      <c r="B45" s="34" t="s">
        <v>112</v>
      </c>
      <c r="C45" s="34" t="s">
        <v>113</v>
      </c>
      <c r="D45" s="33" t="s">
        <v>88</v>
      </c>
      <c r="E45" s="48">
        <v>200000</v>
      </c>
      <c r="F45" s="75">
        <v>1410526.9685122487</v>
      </c>
      <c r="G45" s="74">
        <v>1411582.2065680854</v>
      </c>
      <c r="H45" s="116">
        <v>1426509</v>
      </c>
      <c r="I45" s="109">
        <f>(G45-F45)/F45</f>
        <v>0.000748116185931314</v>
      </c>
      <c r="J45" s="109">
        <f>(H45-F45)/F45</f>
        <v>0.011330539468244489</v>
      </c>
      <c r="K45" s="49">
        <f>(H45-G45)/G45</f>
        <v>0.010574512318489384</v>
      </c>
      <c r="L45"/>
    </row>
    <row r="46" spans="1:12" ht="14.25">
      <c r="A46" s="34">
        <v>23</v>
      </c>
      <c r="D46" s="33" t="s">
        <v>90</v>
      </c>
      <c r="E46" s="48">
        <v>6000000</v>
      </c>
      <c r="F46" s="78">
        <v>41593933.350765906</v>
      </c>
      <c r="G46" s="81">
        <v>41645128.776368186</v>
      </c>
      <c r="H46" s="119">
        <v>41706005.324287355</v>
      </c>
      <c r="I46" s="109">
        <f>(G46-F46)/F46</f>
        <v>0.0012308387660898365</v>
      </c>
      <c r="J46" s="109">
        <f>(H46-F46)/F46</f>
        <v>0.002694430761725135</v>
      </c>
      <c r="K46" s="49">
        <f>(H46-G46)/G46</f>
        <v>0.0014617927644328449</v>
      </c>
      <c r="L46"/>
    </row>
  </sheetData>
  <sheetProtection/>
  <mergeCells count="6">
    <mergeCell ref="F10:H10"/>
    <mergeCell ref="A7:K7"/>
    <mergeCell ref="B11:D11"/>
    <mergeCell ref="F11:H11"/>
    <mergeCell ref="I10:K10"/>
    <mergeCell ref="I11:K11"/>
  </mergeCells>
  <printOptions/>
  <pageMargins left="0.75" right="0.5" top="0.75" bottom="0.75" header="0.75" footer="0.3"/>
  <pageSetup fitToHeight="1" fitToWidth="1" horizontalDpi="600" verticalDpi="600" orientation="portrait" scale="85" r:id="rId1"/>
  <headerFooter alignWithMargins="0">
    <oddHeader>&amp;RQuestar Gas Company
Docket No. 07-057-13
QGC Exhibit 7.6R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4">
      <selection activeCell="B17" sqref="B17"/>
    </sheetView>
  </sheetViews>
  <sheetFormatPr defaultColWidth="9.140625" defaultRowHeight="15"/>
  <cols>
    <col min="1" max="1" width="17.57421875" style="0" bestFit="1" customWidth="1"/>
    <col min="14" max="14" width="28.28125" style="0" bestFit="1" customWidth="1"/>
  </cols>
  <sheetData>
    <row r="1" spans="1:8" ht="16.5">
      <c r="A1" t="s">
        <v>100</v>
      </c>
      <c r="H1" s="11"/>
    </row>
    <row r="2" spans="2:15" ht="17.25" thickBot="1">
      <c r="B2" s="27" t="s">
        <v>61</v>
      </c>
      <c r="C2" s="27" t="s">
        <v>62</v>
      </c>
      <c r="D2" s="27" t="s">
        <v>63</v>
      </c>
      <c r="E2" s="27" t="s">
        <v>64</v>
      </c>
      <c r="F2" s="27" t="s">
        <v>65</v>
      </c>
      <c r="G2" s="27" t="s">
        <v>66</v>
      </c>
      <c r="H2" s="26" t="s">
        <v>67</v>
      </c>
      <c r="I2" s="27" t="s">
        <v>68</v>
      </c>
      <c r="J2" s="27" t="s">
        <v>69</v>
      </c>
      <c r="K2" s="27" t="s">
        <v>70</v>
      </c>
      <c r="L2" s="27" t="s">
        <v>71</v>
      </c>
      <c r="M2" s="27" t="s">
        <v>72</v>
      </c>
      <c r="N2" s="69" t="s">
        <v>84</v>
      </c>
      <c r="O2" s="13"/>
    </row>
    <row r="3" spans="2:14" ht="14.25">
      <c r="B3">
        <f>'Typical Volumes'!C25</f>
        <v>0.18625</v>
      </c>
      <c r="C3">
        <f>'Typical Volumes'!C26</f>
        <v>0.15625</v>
      </c>
      <c r="D3">
        <f>'Typical Volumes'!C27</f>
        <v>0.12625</v>
      </c>
      <c r="E3">
        <f>'Typical Volumes'!C28</f>
        <v>0.10375000000000001</v>
      </c>
      <c r="F3">
        <f>'Typical Volumes'!C29</f>
        <v>0.05500000000000001</v>
      </c>
      <c r="G3">
        <f>'Typical Volumes'!C30</f>
        <v>0.03875</v>
      </c>
      <c r="H3">
        <f>'Typical Volumes'!C31</f>
        <v>0.025</v>
      </c>
      <c r="I3">
        <f>'Typical Volumes'!C32</f>
        <v>0.0225</v>
      </c>
      <c r="J3">
        <f>'Typical Volumes'!C33</f>
        <v>0.025</v>
      </c>
      <c r="K3">
        <f>'Typical Volumes'!C34</f>
        <v>0.03875</v>
      </c>
      <c r="L3">
        <f>'Typical Volumes'!C35</f>
        <v>0.07875</v>
      </c>
      <c r="M3">
        <f>'Typical Volumes'!C36</f>
        <v>0.14375</v>
      </c>
      <c r="N3" t="s">
        <v>101</v>
      </c>
    </row>
    <row r="5" spans="1:2" ht="15">
      <c r="A5" t="s">
        <v>49</v>
      </c>
      <c r="B5" s="10">
        <v>80</v>
      </c>
    </row>
    <row r="6" spans="2:13" ht="17.25" thickBot="1">
      <c r="B6" s="27" t="s">
        <v>61</v>
      </c>
      <c r="C6" s="27" t="s">
        <v>62</v>
      </c>
      <c r="D6" s="27" t="s">
        <v>63</v>
      </c>
      <c r="E6" s="27" t="s">
        <v>64</v>
      </c>
      <c r="F6" s="27" t="s">
        <v>65</v>
      </c>
      <c r="G6" s="27" t="s">
        <v>66</v>
      </c>
      <c r="H6" s="26" t="s">
        <v>67</v>
      </c>
      <c r="I6" s="27" t="s">
        <v>68</v>
      </c>
      <c r="J6" s="27" t="s">
        <v>69</v>
      </c>
      <c r="K6" s="27" t="s">
        <v>70</v>
      </c>
      <c r="L6" s="27" t="s">
        <v>71</v>
      </c>
      <c r="M6" s="27" t="s">
        <v>72</v>
      </c>
    </row>
    <row r="7" spans="1:14" ht="14.25">
      <c r="A7" t="s">
        <v>82</v>
      </c>
      <c r="B7">
        <f>B5*B3</f>
        <v>14.9</v>
      </c>
      <c r="C7">
        <f>B5*C3</f>
        <v>12.5</v>
      </c>
      <c r="D7">
        <f>B5*D3</f>
        <v>10.1</v>
      </c>
      <c r="E7">
        <f>B5*E3</f>
        <v>8.3</v>
      </c>
      <c r="F7">
        <f>F3*B5</f>
        <v>4.4</v>
      </c>
      <c r="G7">
        <f>G3*B5</f>
        <v>3.1</v>
      </c>
      <c r="H7">
        <f>H3*B5</f>
        <v>2</v>
      </c>
      <c r="I7">
        <f>I3*B5</f>
        <v>1.7999999999999998</v>
      </c>
      <c r="J7">
        <f>J3*B5</f>
        <v>2</v>
      </c>
      <c r="K7">
        <f>K3*B5</f>
        <v>3.1</v>
      </c>
      <c r="L7">
        <f>L3*B5</f>
        <v>6.3</v>
      </c>
      <c r="M7">
        <f>M3*B5</f>
        <v>11.5</v>
      </c>
      <c r="N7" s="99" t="s">
        <v>164</v>
      </c>
    </row>
    <row r="8" spans="1:14" ht="14.25">
      <c r="A8" t="s">
        <v>103</v>
      </c>
      <c r="B8" s="4">
        <f>B7*gss2w</f>
        <v>174.133469</v>
      </c>
      <c r="C8" s="4">
        <f>C7*gss2w</f>
        <v>146.085125</v>
      </c>
      <c r="D8" s="4">
        <f>D7*gss2w</f>
        <v>118.03678099999999</v>
      </c>
      <c r="E8" s="4">
        <f>E7*gss1s</f>
        <v>91.735169</v>
      </c>
      <c r="F8" s="4">
        <f aca="true" t="shared" si="0" ref="F8:K8">F7*gss1s</f>
        <v>48.630692</v>
      </c>
      <c r="G8" s="4">
        <f t="shared" si="0"/>
        <v>34.262533</v>
      </c>
      <c r="H8" s="4">
        <f t="shared" si="0"/>
        <v>22.10486</v>
      </c>
      <c r="I8" s="4">
        <f t="shared" si="0"/>
        <v>19.894373999999996</v>
      </c>
      <c r="J8" s="4">
        <f t="shared" si="0"/>
        <v>22.10486</v>
      </c>
      <c r="K8" s="4">
        <f t="shared" si="0"/>
        <v>34.262533</v>
      </c>
      <c r="L8" s="4">
        <f>L7*gss2w</f>
        <v>73.626903</v>
      </c>
      <c r="M8" s="4">
        <f>M7*gss2w</f>
        <v>134.398315</v>
      </c>
      <c r="N8" s="18">
        <f>SUM(B8:M8)</f>
        <v>919.2756139999999</v>
      </c>
    </row>
    <row r="9" spans="1:14" ht="14.25">
      <c r="A9" t="s">
        <v>102</v>
      </c>
      <c r="B9" s="44">
        <f>B7*gsswjul</f>
        <v>170.92743600000003</v>
      </c>
      <c r="C9" s="44">
        <f>C7*gsswjul</f>
        <v>143.3955</v>
      </c>
      <c r="D9" s="44">
        <f aca="true" t="shared" si="1" ref="D9:K9">D7*gss1wjul</f>
        <v>109.518845</v>
      </c>
      <c r="E9" s="44">
        <f t="shared" si="1"/>
        <v>90.00063500000002</v>
      </c>
      <c r="F9" s="44">
        <f t="shared" si="1"/>
        <v>47.711180000000006</v>
      </c>
      <c r="G9" s="44">
        <f t="shared" si="1"/>
        <v>33.614695000000005</v>
      </c>
      <c r="H9" s="44">
        <f t="shared" si="1"/>
        <v>21.6869</v>
      </c>
      <c r="I9" s="44">
        <f t="shared" si="1"/>
        <v>19.51821</v>
      </c>
      <c r="J9" s="44">
        <f t="shared" si="1"/>
        <v>21.6869</v>
      </c>
      <c r="K9" s="44">
        <f t="shared" si="1"/>
        <v>33.614695000000005</v>
      </c>
      <c r="L9" s="44">
        <f>L7*gsswjul</f>
        <v>72.271332</v>
      </c>
      <c r="M9" s="44">
        <f>M7*gsswjul</f>
        <v>131.92386000000002</v>
      </c>
      <c r="N9" s="18">
        <f>SUM(B9:M9)</f>
        <v>895.8701880000001</v>
      </c>
    </row>
    <row r="10" spans="1:14" ht="14.25">
      <c r="A10" t="s">
        <v>86</v>
      </c>
      <c r="B10" s="44">
        <f>B7*gss1pw</f>
        <v>171.154959</v>
      </c>
      <c r="C10" s="44">
        <f>C7*gss1pw</f>
        <v>143.586375</v>
      </c>
      <c r="D10" s="44">
        <f>D7*gss1pw</f>
        <v>116.017791</v>
      </c>
      <c r="E10" s="44">
        <f aca="true" t="shared" si="2" ref="E10:K10">E7*gss1p</f>
        <v>81.239321</v>
      </c>
      <c r="F10" s="44">
        <f t="shared" si="2"/>
        <v>43.066628</v>
      </c>
      <c r="G10" s="44">
        <f t="shared" si="2"/>
        <v>30.342397000000002</v>
      </c>
      <c r="H10" s="44">
        <f t="shared" si="2"/>
        <v>19.57574</v>
      </c>
      <c r="I10" s="44">
        <f t="shared" si="2"/>
        <v>17.618166</v>
      </c>
      <c r="J10" s="44">
        <f t="shared" si="2"/>
        <v>19.57574</v>
      </c>
      <c r="K10" s="44">
        <f t="shared" si="2"/>
        <v>30.342397000000002</v>
      </c>
      <c r="L10" s="44">
        <f>L7*gss1pw</f>
        <v>72.367533</v>
      </c>
      <c r="M10" s="44">
        <f>M7*gss1pw</f>
        <v>132.099465</v>
      </c>
      <c r="N10" s="18">
        <f>SUM(B10:M10)</f>
        <v>876.986512</v>
      </c>
    </row>
    <row r="11" spans="2:14" ht="15">
      <c r="B11" s="4"/>
      <c r="C11" s="4"/>
      <c r="N11" s="31"/>
    </row>
    <row r="12" spans="1:14" ht="14.25">
      <c r="A12" t="s">
        <v>85</v>
      </c>
      <c r="B12" s="18"/>
      <c r="C12" s="4"/>
      <c r="N12" s="5"/>
    </row>
    <row r="14" spans="1:5" ht="15.75">
      <c r="A14" s="2" t="s">
        <v>59</v>
      </c>
      <c r="B14" s="2" t="s">
        <v>42</v>
      </c>
      <c r="C14" s="2" t="s">
        <v>40</v>
      </c>
      <c r="D14" s="2"/>
      <c r="E14" s="2"/>
    </row>
    <row r="15" spans="1:3" ht="14.25">
      <c r="A15" t="s">
        <v>103</v>
      </c>
      <c r="B15">
        <v>11.05243</v>
      </c>
      <c r="C15">
        <v>11.68681</v>
      </c>
    </row>
    <row r="16" spans="1:3" ht="14.25">
      <c r="A16" t="s">
        <v>102</v>
      </c>
      <c r="B16">
        <v>10.84345</v>
      </c>
      <c r="C16">
        <v>11.47164</v>
      </c>
    </row>
    <row r="17" spans="1:4" ht="14.25">
      <c r="A17" t="s">
        <v>86</v>
      </c>
      <c r="B17">
        <f>2.68286+0.45786+6.54266+0.00897+0.09552</f>
        <v>9.78787</v>
      </c>
      <c r="C17">
        <f>3.86432+0.97517+6.54266+0.00924+0.09552</f>
        <v>11.48691</v>
      </c>
      <c r="D17" t="s">
        <v>191</v>
      </c>
    </row>
    <row r="19" spans="2:3" ht="14.25">
      <c r="B19" s="72"/>
      <c r="C19" t="s">
        <v>2</v>
      </c>
    </row>
    <row r="20" spans="2:3" ht="14.25">
      <c r="B20" t="s">
        <v>10</v>
      </c>
      <c r="C20" s="135">
        <f>0.09552+0.00897</f>
        <v>0.10449</v>
      </c>
    </row>
    <row r="21" ht="14.25">
      <c r="C21" t="s">
        <v>9</v>
      </c>
    </row>
    <row r="22" spans="2:3" ht="14.25">
      <c r="B22" t="s">
        <v>10</v>
      </c>
      <c r="C22" s="135">
        <f>0.00924+0.09552</f>
        <v>0.10475999999999999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5"/>
  <sheetViews>
    <sheetView zoomScalePageLayoutView="0" workbookViewId="0" topLeftCell="A634">
      <selection activeCell="O2" sqref="O2"/>
    </sheetView>
  </sheetViews>
  <sheetFormatPr defaultColWidth="9.140625" defaultRowHeight="19.5" customHeight="1"/>
  <cols>
    <col min="1" max="1" width="8.00390625" style="1" bestFit="1" customWidth="1"/>
    <col min="2" max="2" width="8.28125" style="2" bestFit="1" customWidth="1"/>
    <col min="3" max="14" width="11.57421875" style="2" bestFit="1" customWidth="1"/>
    <col min="15" max="15" width="15.7109375" style="2" bestFit="1" customWidth="1"/>
  </cols>
  <sheetData>
    <row r="1" spans="1:15" ht="19.5" customHeight="1">
      <c r="A1" s="83" t="s">
        <v>13</v>
      </c>
      <c r="B1" s="20">
        <f>SUBTOTAL(101,B4:B654)</f>
        <v>770.7605069124425</v>
      </c>
      <c r="C1" s="20">
        <f aca="true" t="shared" si="0" ref="C1:O1">SUBTOTAL(101,C4:C654)</f>
        <v>658.8182934241003</v>
      </c>
      <c r="D1" s="20">
        <f t="shared" si="0"/>
        <v>654.9186092644757</v>
      </c>
      <c r="E1" s="20">
        <f t="shared" si="0"/>
        <v>725.1476806097169</v>
      </c>
      <c r="F1" s="20">
        <f t="shared" si="0"/>
        <v>787.1917589107978</v>
      </c>
      <c r="G1" s="20">
        <f t="shared" si="0"/>
        <v>974.1234949795916</v>
      </c>
      <c r="H1" s="20">
        <f t="shared" si="0"/>
        <v>1105.2252125496057</v>
      </c>
      <c r="I1" s="20">
        <f t="shared" si="0"/>
        <v>1299.2250408226084</v>
      </c>
      <c r="J1" s="20">
        <f t="shared" si="0"/>
        <v>1256.489094073784</v>
      </c>
      <c r="K1" s="20">
        <f t="shared" si="0"/>
        <v>1071.168205388012</v>
      </c>
      <c r="L1" s="20">
        <f t="shared" si="0"/>
        <v>969.7167930771647</v>
      </c>
      <c r="M1" s="20">
        <f t="shared" si="0"/>
        <v>894.6007258750006</v>
      </c>
      <c r="N1" s="20">
        <f t="shared" si="0"/>
        <v>796.8504166945804</v>
      </c>
      <c r="O1" s="20">
        <f t="shared" si="0"/>
        <v>10907.868791906312</v>
      </c>
    </row>
    <row r="2" ht="19.5" customHeight="1">
      <c r="C2" s="97"/>
    </row>
    <row r="3" spans="1:15" ht="17.25" thickBot="1">
      <c r="A3" s="82" t="s">
        <v>145</v>
      </c>
      <c r="B3" s="21" t="s">
        <v>141</v>
      </c>
      <c r="C3" s="22" t="s">
        <v>146</v>
      </c>
      <c r="D3" s="22" t="s">
        <v>147</v>
      </c>
      <c r="E3" s="22" t="s">
        <v>148</v>
      </c>
      <c r="F3" s="22" t="s">
        <v>149</v>
      </c>
      <c r="G3" s="22" t="s">
        <v>150</v>
      </c>
      <c r="H3" s="22" t="s">
        <v>151</v>
      </c>
      <c r="I3" s="22" t="s">
        <v>152</v>
      </c>
      <c r="J3" s="22" t="s">
        <v>153</v>
      </c>
      <c r="K3" s="22" t="s">
        <v>154</v>
      </c>
      <c r="L3" s="22" t="s">
        <v>155</v>
      </c>
      <c r="M3" s="22" t="s">
        <v>156</v>
      </c>
      <c r="N3" s="22" t="s">
        <v>157</v>
      </c>
      <c r="O3" s="84" t="s">
        <v>158</v>
      </c>
    </row>
    <row r="4" spans="1:15" ht="15.75">
      <c r="A4" s="1" t="s">
        <v>144</v>
      </c>
      <c r="B4" s="2">
        <v>1464</v>
      </c>
      <c r="C4" s="2">
        <v>19985</v>
      </c>
      <c r="D4" s="2">
        <v>21497</v>
      </c>
      <c r="E4" s="2">
        <v>37500</v>
      </c>
      <c r="F4" s="2">
        <v>38750</v>
      </c>
      <c r="G4" s="2">
        <v>37500</v>
      </c>
      <c r="H4" s="2">
        <v>38750</v>
      </c>
      <c r="I4" s="2">
        <v>38750</v>
      </c>
      <c r="J4" s="2">
        <v>36250</v>
      </c>
      <c r="K4" s="2">
        <v>38625</v>
      </c>
      <c r="L4" s="2">
        <v>36203</v>
      </c>
      <c r="M4" s="2">
        <v>32281</v>
      </c>
      <c r="N4" s="2">
        <v>30638</v>
      </c>
      <c r="O4" s="2">
        <v>406729</v>
      </c>
    </row>
    <row r="5" spans="1:15" ht="15.75">
      <c r="A5" s="1" t="s">
        <v>144</v>
      </c>
      <c r="B5" s="2">
        <v>5568</v>
      </c>
      <c r="C5" s="2">
        <v>5299</v>
      </c>
      <c r="D5" s="2">
        <v>6878</v>
      </c>
      <c r="E5" s="2">
        <v>8847</v>
      </c>
      <c r="F5" s="2">
        <v>12244</v>
      </c>
      <c r="G5" s="2">
        <v>13291</v>
      </c>
      <c r="H5" s="2">
        <v>20095</v>
      </c>
      <c r="I5" s="2">
        <v>20841</v>
      </c>
      <c r="J5" s="2">
        <v>16507</v>
      </c>
      <c r="K5" s="2">
        <v>14111</v>
      </c>
      <c r="L5" s="2">
        <v>12678</v>
      </c>
      <c r="M5" s="2">
        <v>10346</v>
      </c>
      <c r="N5" s="2">
        <v>8596</v>
      </c>
      <c r="O5" s="2">
        <v>149733</v>
      </c>
    </row>
    <row r="6" spans="1:15" ht="15.75">
      <c r="A6" s="1" t="s">
        <v>144</v>
      </c>
      <c r="B6" s="2">
        <v>2928</v>
      </c>
      <c r="C6" s="2">
        <v>2428</v>
      </c>
      <c r="D6" s="2">
        <v>2955</v>
      </c>
      <c r="E6" s="2">
        <v>4650</v>
      </c>
      <c r="F6" s="2">
        <v>8845</v>
      </c>
      <c r="G6" s="2">
        <v>11710</v>
      </c>
      <c r="H6" s="2">
        <v>16919</v>
      </c>
      <c r="I6" s="2">
        <v>18087</v>
      </c>
      <c r="J6" s="2">
        <v>15327</v>
      </c>
      <c r="K6" s="2">
        <v>13794</v>
      </c>
      <c r="L6" s="2">
        <v>11112</v>
      </c>
      <c r="M6" s="2">
        <v>8174</v>
      </c>
      <c r="N6" s="2">
        <v>5585</v>
      </c>
      <c r="O6" s="2">
        <v>119586</v>
      </c>
    </row>
    <row r="7" spans="1:15" ht="15.75">
      <c r="A7" s="1" t="s">
        <v>144</v>
      </c>
      <c r="B7" s="2">
        <v>3588</v>
      </c>
      <c r="C7" s="2">
        <v>9492</v>
      </c>
      <c r="D7" s="2">
        <v>9305</v>
      </c>
      <c r="E7" s="2">
        <v>8437</v>
      </c>
      <c r="F7" s="2">
        <v>9936</v>
      </c>
      <c r="G7" s="2">
        <v>9817</v>
      </c>
      <c r="H7" s="2">
        <v>10205</v>
      </c>
      <c r="I7" s="2">
        <v>11587</v>
      </c>
      <c r="J7" s="2">
        <v>10564</v>
      </c>
      <c r="K7" s="2">
        <v>10934</v>
      </c>
      <c r="L7" s="2">
        <v>9935</v>
      </c>
      <c r="M7" s="2">
        <v>9865</v>
      </c>
      <c r="N7" s="2">
        <v>8544</v>
      </c>
      <c r="O7" s="2">
        <v>118621</v>
      </c>
    </row>
    <row r="8" spans="1:15" ht="15.75">
      <c r="A8" s="1" t="s">
        <v>144</v>
      </c>
      <c r="B8" s="2">
        <v>1794</v>
      </c>
      <c r="C8" s="2">
        <v>9087.911083</v>
      </c>
      <c r="D8" s="2">
        <v>18650.402162</v>
      </c>
      <c r="E8" s="2">
        <v>11744.657337</v>
      </c>
      <c r="F8" s="2">
        <v>3720.704683</v>
      </c>
      <c r="G8" s="2">
        <v>15902.293768</v>
      </c>
      <c r="H8" s="2">
        <v>5519.850894</v>
      </c>
      <c r="I8" s="2">
        <v>0</v>
      </c>
      <c r="J8" s="2">
        <v>0</v>
      </c>
      <c r="K8" s="2">
        <v>0</v>
      </c>
      <c r="L8" s="2">
        <v>2443.882518</v>
      </c>
      <c r="M8" s="2">
        <v>13875.246324</v>
      </c>
      <c r="N8" s="2">
        <v>15299.361097</v>
      </c>
      <c r="O8" s="2">
        <v>96244.30986600001</v>
      </c>
    </row>
    <row r="9" spans="1:15" ht="15.75">
      <c r="A9" s="1" t="s">
        <v>144</v>
      </c>
      <c r="B9" s="2">
        <v>3075</v>
      </c>
      <c r="C9" s="2">
        <v>5461.198372</v>
      </c>
      <c r="D9" s="2">
        <v>4306.958891</v>
      </c>
      <c r="E9" s="2">
        <v>5720.541888</v>
      </c>
      <c r="F9" s="2">
        <v>5315.606308</v>
      </c>
      <c r="G9" s="2">
        <v>6671.54238</v>
      </c>
      <c r="H9" s="2">
        <v>7598.46936</v>
      </c>
      <c r="I9" s="2">
        <v>9446.074944</v>
      </c>
      <c r="J9" s="2">
        <v>9959.575338</v>
      </c>
      <c r="K9" s="2">
        <v>8548.019634</v>
      </c>
      <c r="L9" s="2">
        <v>6261.554155</v>
      </c>
      <c r="M9" s="2">
        <v>7739.534026</v>
      </c>
      <c r="N9" s="2">
        <v>6061.34105</v>
      </c>
      <c r="O9" s="2">
        <v>83090.41634600001</v>
      </c>
    </row>
    <row r="10" spans="1:15" ht="15.75">
      <c r="A10" s="1" t="s">
        <v>144</v>
      </c>
      <c r="B10" s="2">
        <v>3588</v>
      </c>
      <c r="C10" s="2">
        <v>2213.656916</v>
      </c>
      <c r="D10" s="2">
        <v>1958.28628</v>
      </c>
      <c r="E10" s="2">
        <v>2588.419885</v>
      </c>
      <c r="F10" s="2">
        <v>7367.356009</v>
      </c>
      <c r="G10" s="2">
        <v>6460.683604</v>
      </c>
      <c r="H10" s="2">
        <v>10517.550153</v>
      </c>
      <c r="I10" s="2">
        <v>12414.48662</v>
      </c>
      <c r="J10" s="2">
        <v>12601.028303</v>
      </c>
      <c r="K10" s="2">
        <v>8656.976329</v>
      </c>
      <c r="L10" s="2">
        <v>7978.784082</v>
      </c>
      <c r="M10" s="2">
        <v>5646.083303</v>
      </c>
      <c r="N10" s="2">
        <v>3909.347668</v>
      </c>
      <c r="O10" s="2">
        <v>82312.65915200001</v>
      </c>
    </row>
    <row r="11" spans="1:15" ht="15.75">
      <c r="A11" s="1" t="s">
        <v>144</v>
      </c>
      <c r="B11" s="2">
        <v>2643</v>
      </c>
      <c r="C11" s="2">
        <v>3172</v>
      </c>
      <c r="D11" s="2">
        <v>3238</v>
      </c>
      <c r="E11" s="2">
        <v>4230</v>
      </c>
      <c r="F11" s="2">
        <v>7597</v>
      </c>
      <c r="G11" s="2">
        <v>7822</v>
      </c>
      <c r="H11" s="2">
        <v>9846</v>
      </c>
      <c r="I11" s="2">
        <v>10104</v>
      </c>
      <c r="J11" s="2">
        <v>8636</v>
      </c>
      <c r="K11" s="2">
        <v>7681</v>
      </c>
      <c r="L11" s="2">
        <v>6755</v>
      </c>
      <c r="M11" s="2">
        <v>5568</v>
      </c>
      <c r="N11" s="2">
        <v>3162</v>
      </c>
      <c r="O11" s="2">
        <v>77811</v>
      </c>
    </row>
    <row r="12" spans="1:15" ht="15.75">
      <c r="A12" s="1" t="s">
        <v>144</v>
      </c>
      <c r="B12" s="2">
        <v>2928</v>
      </c>
      <c r="C12" s="2">
        <v>3487</v>
      </c>
      <c r="D12" s="2">
        <v>3474</v>
      </c>
      <c r="E12" s="2">
        <v>3867</v>
      </c>
      <c r="F12" s="2">
        <v>5486</v>
      </c>
      <c r="G12" s="2">
        <v>6681</v>
      </c>
      <c r="H12" s="2">
        <v>8828</v>
      </c>
      <c r="I12" s="2">
        <v>9203</v>
      </c>
      <c r="J12" s="2">
        <v>8198</v>
      </c>
      <c r="K12" s="2">
        <v>7643</v>
      </c>
      <c r="L12" s="2">
        <v>6745</v>
      </c>
      <c r="M12" s="2">
        <v>5483</v>
      </c>
      <c r="N12" s="2">
        <v>4226</v>
      </c>
      <c r="O12" s="2">
        <v>73321</v>
      </c>
    </row>
    <row r="13" spans="1:15" ht="15.75">
      <c r="A13" s="1" t="s">
        <v>144</v>
      </c>
      <c r="B13" s="2">
        <v>660</v>
      </c>
      <c r="C13" s="2">
        <v>3044</v>
      </c>
      <c r="D13" s="2">
        <v>3105</v>
      </c>
      <c r="E13" s="2">
        <v>3308</v>
      </c>
      <c r="F13" s="2">
        <v>5203</v>
      </c>
      <c r="G13" s="2">
        <v>6285</v>
      </c>
      <c r="H13" s="2">
        <v>9288</v>
      </c>
      <c r="I13" s="2">
        <v>9362</v>
      </c>
      <c r="J13" s="2">
        <v>8025</v>
      </c>
      <c r="K13" s="2">
        <v>7398</v>
      </c>
      <c r="L13" s="2">
        <v>6284</v>
      </c>
      <c r="M13" s="2">
        <v>5048</v>
      </c>
      <c r="N13" s="2">
        <v>3990</v>
      </c>
      <c r="O13" s="2">
        <v>70340</v>
      </c>
    </row>
    <row r="14" spans="1:15" ht="15.75">
      <c r="A14" s="1" t="s">
        <v>144</v>
      </c>
      <c r="B14" s="2">
        <v>2172</v>
      </c>
      <c r="C14" s="2">
        <v>3805.797893</v>
      </c>
      <c r="D14" s="2">
        <v>3715.701492</v>
      </c>
      <c r="E14" s="2">
        <v>3724.743265</v>
      </c>
      <c r="F14" s="2">
        <v>4978.512158</v>
      </c>
      <c r="G14" s="2">
        <v>4777.837445</v>
      </c>
      <c r="H14" s="2">
        <v>6949.848698</v>
      </c>
      <c r="I14" s="2">
        <v>8638.228961</v>
      </c>
      <c r="J14" s="2">
        <v>8019.816948</v>
      </c>
      <c r="K14" s="2">
        <v>7134.879699</v>
      </c>
      <c r="L14" s="2">
        <v>5963.272658</v>
      </c>
      <c r="M14" s="2">
        <v>5098.195823</v>
      </c>
      <c r="N14" s="2">
        <v>4782.601204</v>
      </c>
      <c r="O14" s="2">
        <v>67589.43624400001</v>
      </c>
    </row>
    <row r="15" spans="1:15" ht="15.75">
      <c r="A15" s="1" t="s">
        <v>144</v>
      </c>
      <c r="B15" s="2">
        <v>2928</v>
      </c>
      <c r="C15" s="2">
        <v>4054.313505</v>
      </c>
      <c r="D15" s="2">
        <v>4641.217256</v>
      </c>
      <c r="E15" s="2">
        <v>4591.405236</v>
      </c>
      <c r="F15" s="2">
        <v>5381.48409</v>
      </c>
      <c r="G15" s="2">
        <v>5717.59292</v>
      </c>
      <c r="H15" s="2">
        <v>4785.639103</v>
      </c>
      <c r="I15" s="2">
        <v>5226.742967</v>
      </c>
      <c r="J15" s="2">
        <v>6267.032745</v>
      </c>
      <c r="K15" s="2">
        <v>4474.061352</v>
      </c>
      <c r="L15" s="2">
        <v>5165.912558</v>
      </c>
      <c r="M15" s="2">
        <v>5342.081198</v>
      </c>
      <c r="N15" s="2">
        <v>5180.788711</v>
      </c>
      <c r="O15" s="2">
        <v>60828.271641</v>
      </c>
    </row>
    <row r="16" spans="1:15" ht="15.75">
      <c r="A16" s="1" t="s">
        <v>144</v>
      </c>
      <c r="B16" s="2">
        <v>2640</v>
      </c>
      <c r="C16" s="2">
        <v>3464</v>
      </c>
      <c r="D16" s="2">
        <v>3460</v>
      </c>
      <c r="E16" s="2">
        <v>3159</v>
      </c>
      <c r="F16" s="2">
        <v>4815</v>
      </c>
      <c r="G16" s="2">
        <v>5484</v>
      </c>
      <c r="H16" s="2">
        <v>6785</v>
      </c>
      <c r="I16" s="2">
        <v>8415</v>
      </c>
      <c r="J16" s="2">
        <v>6806</v>
      </c>
      <c r="K16" s="2">
        <v>6109</v>
      </c>
      <c r="L16" s="2">
        <v>5152</v>
      </c>
      <c r="M16" s="2">
        <v>3645</v>
      </c>
      <c r="N16" s="2">
        <v>3390</v>
      </c>
      <c r="O16" s="2">
        <v>60684</v>
      </c>
    </row>
    <row r="17" spans="1:15" ht="15.75">
      <c r="A17" s="1" t="s">
        <v>144</v>
      </c>
      <c r="B17" s="2">
        <v>3289</v>
      </c>
      <c r="C17" s="2">
        <v>1527</v>
      </c>
      <c r="D17" s="2">
        <v>1679</v>
      </c>
      <c r="E17" s="2">
        <v>2434</v>
      </c>
      <c r="F17" s="2">
        <v>3386</v>
      </c>
      <c r="G17" s="2">
        <v>6590</v>
      </c>
      <c r="H17" s="2">
        <v>8227</v>
      </c>
      <c r="I17" s="2">
        <v>9388</v>
      </c>
      <c r="J17" s="2">
        <v>7676</v>
      </c>
      <c r="K17" s="2">
        <v>7531</v>
      </c>
      <c r="L17" s="2">
        <v>6615</v>
      </c>
      <c r="M17" s="2">
        <v>3963</v>
      </c>
      <c r="O17" s="2">
        <v>59016</v>
      </c>
    </row>
    <row r="18" spans="1:15" ht="15.75">
      <c r="A18" s="1" t="s">
        <v>144</v>
      </c>
      <c r="B18" s="2">
        <v>2928</v>
      </c>
      <c r="C18" s="2">
        <v>3496.166969</v>
      </c>
      <c r="D18" s="2">
        <v>3132.919614</v>
      </c>
      <c r="E18" s="2">
        <v>3680.672881</v>
      </c>
      <c r="F18" s="2">
        <v>4207.121594</v>
      </c>
      <c r="G18" s="2">
        <v>3869.718562</v>
      </c>
      <c r="H18" s="2">
        <v>5014.192807</v>
      </c>
      <c r="I18" s="2">
        <v>6559.922736</v>
      </c>
      <c r="J18" s="2">
        <v>6824.895474</v>
      </c>
      <c r="K18" s="2">
        <v>6120.450907</v>
      </c>
      <c r="L18" s="2">
        <v>5977.934409</v>
      </c>
      <c r="M18" s="2">
        <v>5687.143185</v>
      </c>
      <c r="N18" s="2">
        <v>4187.056642</v>
      </c>
      <c r="O18" s="2">
        <v>58758.195779999995</v>
      </c>
    </row>
    <row r="19" spans="1:15" ht="15.75">
      <c r="A19" s="1" t="s">
        <v>144</v>
      </c>
      <c r="B19" s="2">
        <v>1320</v>
      </c>
      <c r="C19" s="2">
        <v>2583</v>
      </c>
      <c r="D19" s="2">
        <v>2552</v>
      </c>
      <c r="E19" s="2">
        <v>2584</v>
      </c>
      <c r="F19" s="2">
        <v>4522</v>
      </c>
      <c r="G19" s="2">
        <v>5757</v>
      </c>
      <c r="H19" s="2">
        <v>7423</v>
      </c>
      <c r="I19" s="2">
        <v>8609</v>
      </c>
      <c r="J19" s="2">
        <v>7087</v>
      </c>
      <c r="K19" s="2">
        <v>5713</v>
      </c>
      <c r="L19" s="2">
        <v>4607</v>
      </c>
      <c r="M19" s="2">
        <v>2830</v>
      </c>
      <c r="N19" s="2">
        <v>2618</v>
      </c>
      <c r="O19" s="2">
        <v>56885</v>
      </c>
    </row>
    <row r="20" spans="1:15" ht="15.75">
      <c r="A20" s="1" t="s">
        <v>144</v>
      </c>
      <c r="B20" s="2">
        <v>1952</v>
      </c>
      <c r="C20" s="2">
        <v>3353</v>
      </c>
      <c r="D20" s="2">
        <v>3725</v>
      </c>
      <c r="E20" s="2">
        <v>4511</v>
      </c>
      <c r="F20" s="2">
        <v>6409</v>
      </c>
      <c r="G20" s="2">
        <v>7354</v>
      </c>
      <c r="H20" s="2">
        <v>10317</v>
      </c>
      <c r="I20" s="2">
        <v>11527</v>
      </c>
      <c r="J20" s="2">
        <v>9412</v>
      </c>
      <c r="O20" s="2">
        <v>56608</v>
      </c>
    </row>
    <row r="21" spans="1:15" ht="15.75">
      <c r="A21" s="1" t="s">
        <v>144</v>
      </c>
      <c r="B21" s="2">
        <v>3588</v>
      </c>
      <c r="C21" s="2">
        <v>1774.041627</v>
      </c>
      <c r="D21" s="2">
        <v>1864.188072</v>
      </c>
      <c r="E21" s="2">
        <v>1820.714205</v>
      </c>
      <c r="F21" s="2">
        <v>2894.367068</v>
      </c>
      <c r="G21" s="2">
        <v>3040.233182</v>
      </c>
      <c r="H21" s="2">
        <v>5970.398406</v>
      </c>
      <c r="I21" s="2">
        <v>9401.929034</v>
      </c>
      <c r="J21" s="2">
        <v>7500.098894</v>
      </c>
      <c r="K21" s="2">
        <v>7019.733241</v>
      </c>
      <c r="L21" s="2">
        <v>5772.740628</v>
      </c>
      <c r="M21" s="2">
        <v>4035.96784</v>
      </c>
      <c r="N21" s="2">
        <v>2878.412492</v>
      </c>
      <c r="O21" s="2">
        <v>53972.824689</v>
      </c>
    </row>
    <row r="22" spans="1:15" ht="15.75">
      <c r="A22" s="1" t="s">
        <v>144</v>
      </c>
      <c r="B22" s="2">
        <v>2928</v>
      </c>
      <c r="C22" s="2">
        <v>2761</v>
      </c>
      <c r="D22" s="2">
        <v>2741</v>
      </c>
      <c r="E22" s="2">
        <v>3342</v>
      </c>
      <c r="F22" s="2">
        <v>4530</v>
      </c>
      <c r="G22" s="2">
        <v>5008</v>
      </c>
      <c r="H22" s="2">
        <v>6644</v>
      </c>
      <c r="I22" s="2">
        <v>6812</v>
      </c>
      <c r="J22" s="2">
        <v>5459</v>
      </c>
      <c r="K22" s="2">
        <v>4981</v>
      </c>
      <c r="L22" s="2">
        <v>4567</v>
      </c>
      <c r="M22" s="2">
        <v>3641</v>
      </c>
      <c r="N22" s="2">
        <v>2912</v>
      </c>
      <c r="O22" s="2">
        <v>53398</v>
      </c>
    </row>
    <row r="23" spans="1:15" ht="15.75">
      <c r="A23" s="1" t="s">
        <v>144</v>
      </c>
      <c r="B23" s="2">
        <v>1794</v>
      </c>
      <c r="C23" s="2">
        <v>1856.326132</v>
      </c>
      <c r="D23" s="2">
        <v>975.70813</v>
      </c>
      <c r="E23" s="2">
        <v>1862.18578</v>
      </c>
      <c r="F23" s="2">
        <v>2419.916871</v>
      </c>
      <c r="G23" s="2">
        <v>5853.537062</v>
      </c>
      <c r="H23" s="2">
        <v>7391.48971</v>
      </c>
      <c r="I23" s="2">
        <v>6512.358122</v>
      </c>
      <c r="J23" s="2">
        <v>5694.985371</v>
      </c>
      <c r="K23" s="2">
        <v>6990.896849</v>
      </c>
      <c r="L23" s="2">
        <v>5579.058939</v>
      </c>
      <c r="M23" s="2">
        <v>4723.650306</v>
      </c>
      <c r="N23" s="2">
        <v>3294.170991</v>
      </c>
      <c r="O23" s="2">
        <v>53154.284263</v>
      </c>
    </row>
    <row r="24" spans="1:15" ht="15.75">
      <c r="A24" s="1" t="s">
        <v>144</v>
      </c>
      <c r="B24" s="2">
        <v>2832</v>
      </c>
      <c r="C24" s="2">
        <v>2979</v>
      </c>
      <c r="D24" s="2">
        <v>3066</v>
      </c>
      <c r="E24" s="2">
        <v>3157</v>
      </c>
      <c r="F24" s="2">
        <v>3839</v>
      </c>
      <c r="G24" s="2">
        <v>4664</v>
      </c>
      <c r="H24" s="2">
        <v>6617</v>
      </c>
      <c r="I24" s="2">
        <v>6161</v>
      </c>
      <c r="J24" s="2">
        <v>5058</v>
      </c>
      <c r="K24" s="2">
        <v>4541</v>
      </c>
      <c r="L24" s="2">
        <v>3881</v>
      </c>
      <c r="M24" s="2">
        <v>3944</v>
      </c>
      <c r="N24" s="2">
        <v>3871</v>
      </c>
      <c r="O24" s="2">
        <v>51778</v>
      </c>
    </row>
    <row r="25" spans="1:15" ht="15.75">
      <c r="A25" s="1" t="s">
        <v>144</v>
      </c>
      <c r="B25" s="2">
        <v>2928</v>
      </c>
      <c r="C25" s="2">
        <v>1098.768063</v>
      </c>
      <c r="D25" s="2">
        <v>1249.492686</v>
      </c>
      <c r="E25" s="2">
        <v>1207.862853</v>
      </c>
      <c r="F25" s="2">
        <v>1865.980942</v>
      </c>
      <c r="G25" s="2">
        <v>3403.167593</v>
      </c>
      <c r="H25" s="2">
        <v>5923.936161</v>
      </c>
      <c r="I25" s="2">
        <v>9337.53949</v>
      </c>
      <c r="J25" s="2">
        <v>7873.614034</v>
      </c>
      <c r="K25" s="2">
        <v>7519.036258</v>
      </c>
      <c r="L25" s="2">
        <v>6568.434146</v>
      </c>
      <c r="M25" s="2">
        <v>2916.517813</v>
      </c>
      <c r="N25" s="2">
        <v>1792.379186</v>
      </c>
      <c r="O25" s="2">
        <v>50756.729224999995</v>
      </c>
    </row>
    <row r="26" spans="1:15" ht="15.75">
      <c r="A26" s="1" t="s">
        <v>144</v>
      </c>
      <c r="B26" s="2">
        <v>2928</v>
      </c>
      <c r="C26" s="2">
        <v>3500</v>
      </c>
      <c r="D26" s="2">
        <v>3997</v>
      </c>
      <c r="E26" s="2">
        <v>3891</v>
      </c>
      <c r="F26" s="2">
        <v>4287</v>
      </c>
      <c r="G26" s="2">
        <v>3969</v>
      </c>
      <c r="H26" s="2">
        <v>4537</v>
      </c>
      <c r="I26" s="2">
        <v>4922</v>
      </c>
      <c r="J26" s="2">
        <v>4577</v>
      </c>
      <c r="K26" s="2">
        <v>4506</v>
      </c>
      <c r="L26" s="2">
        <v>4330</v>
      </c>
      <c r="M26" s="2">
        <v>4059</v>
      </c>
      <c r="N26" s="2">
        <v>3698</v>
      </c>
      <c r="O26" s="2">
        <v>50273</v>
      </c>
    </row>
    <row r="27" spans="1:15" ht="15.75">
      <c r="A27" s="1" t="s">
        <v>144</v>
      </c>
      <c r="B27" s="2">
        <v>2928</v>
      </c>
      <c r="C27" s="2">
        <v>3021.238181</v>
      </c>
      <c r="D27" s="2">
        <v>3596.139675</v>
      </c>
      <c r="E27" s="2">
        <v>4561.202516</v>
      </c>
      <c r="F27" s="2">
        <v>4167.747649</v>
      </c>
      <c r="G27" s="2">
        <v>5599.237617</v>
      </c>
      <c r="H27" s="2">
        <v>5054.954178</v>
      </c>
      <c r="I27" s="2">
        <v>4460.418333</v>
      </c>
      <c r="J27" s="2">
        <v>5218.528582</v>
      </c>
      <c r="K27" s="2">
        <v>4068.611405</v>
      </c>
      <c r="L27" s="2">
        <v>3440.730461</v>
      </c>
      <c r="M27" s="2">
        <v>3545.37576</v>
      </c>
      <c r="N27" s="2">
        <v>3438.148722</v>
      </c>
      <c r="O27" s="2">
        <v>50172.333079</v>
      </c>
    </row>
    <row r="28" spans="1:15" ht="15.75">
      <c r="A28" s="1" t="s">
        <v>144</v>
      </c>
      <c r="B28" s="2">
        <v>2172</v>
      </c>
      <c r="C28" s="2">
        <v>1844.469684</v>
      </c>
      <c r="D28" s="2">
        <v>1573.410307</v>
      </c>
      <c r="E28" s="2">
        <v>2143.722026</v>
      </c>
      <c r="F28" s="2">
        <v>4039.802795</v>
      </c>
      <c r="G28" s="2">
        <v>4454.89687</v>
      </c>
      <c r="H28" s="2">
        <v>5851.283415</v>
      </c>
      <c r="I28" s="2">
        <v>6839.257375</v>
      </c>
      <c r="J28" s="2">
        <v>6120.162695</v>
      </c>
      <c r="K28" s="2">
        <v>5693.21023</v>
      </c>
      <c r="L28" s="2">
        <v>5007.586142</v>
      </c>
      <c r="M28" s="2">
        <v>3555.250909</v>
      </c>
      <c r="N28" s="2">
        <v>2761.679313</v>
      </c>
      <c r="O28" s="2">
        <v>49884.731760999995</v>
      </c>
    </row>
    <row r="29" spans="1:15" ht="15.75">
      <c r="A29" s="1" t="s">
        <v>144</v>
      </c>
      <c r="B29" s="2">
        <v>660</v>
      </c>
      <c r="C29" s="2">
        <v>3297</v>
      </c>
      <c r="D29" s="2">
        <v>3414</v>
      </c>
      <c r="E29" s="2">
        <v>3199</v>
      </c>
      <c r="F29" s="2">
        <v>3786</v>
      </c>
      <c r="G29" s="2">
        <v>3590</v>
      </c>
      <c r="H29" s="2">
        <v>5855</v>
      </c>
      <c r="I29" s="2">
        <v>6041</v>
      </c>
      <c r="J29" s="2">
        <v>5347</v>
      </c>
      <c r="K29" s="2">
        <v>4833</v>
      </c>
      <c r="L29" s="2">
        <v>3947</v>
      </c>
      <c r="M29" s="2">
        <v>2987</v>
      </c>
      <c r="N29" s="2">
        <v>3267</v>
      </c>
      <c r="O29" s="2">
        <v>49563</v>
      </c>
    </row>
    <row r="30" spans="1:15" ht="15.75">
      <c r="A30" s="1" t="s">
        <v>144</v>
      </c>
      <c r="B30" s="2">
        <v>1320</v>
      </c>
      <c r="C30" s="2">
        <v>2969.301175</v>
      </c>
      <c r="D30" s="2">
        <v>2639.23964</v>
      </c>
      <c r="E30" s="2">
        <v>2803.342438</v>
      </c>
      <c r="F30" s="2">
        <v>3002.69825</v>
      </c>
      <c r="G30" s="2">
        <v>4806.968314</v>
      </c>
      <c r="H30" s="2">
        <v>4209.86961</v>
      </c>
      <c r="I30" s="2">
        <v>5625.668385</v>
      </c>
      <c r="J30" s="2">
        <v>5722.508092</v>
      </c>
      <c r="K30" s="2">
        <v>4929.614846</v>
      </c>
      <c r="L30" s="2">
        <v>4054.334826</v>
      </c>
      <c r="M30" s="2">
        <v>3766.556306</v>
      </c>
      <c r="N30" s="2">
        <v>3820.724406</v>
      </c>
      <c r="O30" s="2">
        <v>48350.826288</v>
      </c>
    </row>
    <row r="31" spans="1:15" ht="15.75">
      <c r="A31" s="1" t="s">
        <v>144</v>
      </c>
      <c r="B31" s="2">
        <v>660</v>
      </c>
      <c r="C31" s="2">
        <v>2354.218716</v>
      </c>
      <c r="D31" s="2">
        <v>2694.834164</v>
      </c>
      <c r="E31" s="2">
        <v>2377.851645</v>
      </c>
      <c r="F31" s="2">
        <v>2020.18478</v>
      </c>
      <c r="G31" s="2">
        <v>4280.408933</v>
      </c>
      <c r="H31" s="2">
        <v>4506.213408</v>
      </c>
      <c r="I31" s="2">
        <v>7255.677058</v>
      </c>
      <c r="J31" s="2">
        <v>5083.631029</v>
      </c>
      <c r="K31" s="2">
        <v>4972.862168</v>
      </c>
      <c r="L31" s="2">
        <v>3455.544246</v>
      </c>
      <c r="M31" s="2">
        <v>4272.451546</v>
      </c>
      <c r="N31" s="2">
        <v>3071.433416</v>
      </c>
      <c r="O31" s="2">
        <v>46345.311109</v>
      </c>
    </row>
    <row r="32" spans="1:15" ht="15.75">
      <c r="A32" s="1" t="s">
        <v>144</v>
      </c>
      <c r="B32" s="2">
        <v>1320</v>
      </c>
      <c r="C32" s="2">
        <v>3120.672136</v>
      </c>
      <c r="D32" s="2">
        <v>3391.148579</v>
      </c>
      <c r="E32" s="2">
        <v>4247.368455</v>
      </c>
      <c r="F32" s="2">
        <v>3113.296119</v>
      </c>
      <c r="G32" s="2">
        <v>3987.969439</v>
      </c>
      <c r="H32" s="2">
        <v>4408.658203</v>
      </c>
      <c r="I32" s="2">
        <v>3495.411774</v>
      </c>
      <c r="J32" s="2">
        <v>4408.373236</v>
      </c>
      <c r="K32" s="2">
        <v>4116.98766</v>
      </c>
      <c r="L32" s="2">
        <v>3394.746929</v>
      </c>
      <c r="M32" s="2">
        <v>3643.678938</v>
      </c>
      <c r="N32" s="2">
        <v>3694.523171</v>
      </c>
      <c r="O32" s="2">
        <v>45022.834639</v>
      </c>
    </row>
    <row r="33" spans="1:15" ht="15.75">
      <c r="A33" s="1" t="s">
        <v>144</v>
      </c>
      <c r="B33" s="2">
        <v>2046</v>
      </c>
      <c r="C33" s="2">
        <v>2738.520042</v>
      </c>
      <c r="D33" s="2">
        <v>2836.206226</v>
      </c>
      <c r="E33" s="2">
        <v>3335.975916</v>
      </c>
      <c r="F33" s="2">
        <v>3037.61867</v>
      </c>
      <c r="G33" s="2">
        <v>3929.813127</v>
      </c>
      <c r="H33" s="2">
        <v>3676.895774</v>
      </c>
      <c r="I33" s="2">
        <v>4027.251343</v>
      </c>
      <c r="J33" s="2">
        <v>3914.654445</v>
      </c>
      <c r="K33" s="2">
        <v>4007.99805</v>
      </c>
      <c r="L33" s="2">
        <v>3596.526494</v>
      </c>
      <c r="M33" s="2">
        <v>3593.453696</v>
      </c>
      <c r="N33" s="2">
        <v>3736.991825</v>
      </c>
      <c r="O33" s="2">
        <v>42431.905607999994</v>
      </c>
    </row>
    <row r="34" spans="1:15" ht="15.75">
      <c r="A34" s="1" t="s">
        <v>144</v>
      </c>
      <c r="B34" s="2">
        <v>660</v>
      </c>
      <c r="C34" s="2">
        <v>2257.623995</v>
      </c>
      <c r="D34" s="2">
        <v>1987.339394</v>
      </c>
      <c r="E34" s="2">
        <v>2760.351938</v>
      </c>
      <c r="F34" s="2">
        <v>3472.177934</v>
      </c>
      <c r="G34" s="2">
        <v>4623.334118</v>
      </c>
      <c r="H34" s="2">
        <v>3290.973485</v>
      </c>
      <c r="I34" s="2">
        <v>5260.257483</v>
      </c>
      <c r="J34" s="2">
        <v>4413.570899</v>
      </c>
      <c r="K34" s="2">
        <v>4309.648224</v>
      </c>
      <c r="L34" s="2">
        <v>4075.504919</v>
      </c>
      <c r="M34" s="2">
        <v>3310.162548</v>
      </c>
      <c r="N34" s="2">
        <v>2610.675863</v>
      </c>
      <c r="O34" s="2">
        <v>42371.6208</v>
      </c>
    </row>
    <row r="35" spans="1:15" ht="15.75">
      <c r="A35" s="1" t="s">
        <v>144</v>
      </c>
      <c r="B35" s="2">
        <v>660</v>
      </c>
      <c r="C35" s="2">
        <v>851.441231</v>
      </c>
      <c r="D35" s="2">
        <v>0</v>
      </c>
      <c r="E35" s="2">
        <v>0</v>
      </c>
      <c r="F35" s="2">
        <v>331.778702</v>
      </c>
      <c r="G35" s="2">
        <v>3803.473915</v>
      </c>
      <c r="H35" s="2">
        <v>4776.367141</v>
      </c>
      <c r="I35" s="2">
        <v>5931.795542</v>
      </c>
      <c r="J35" s="2">
        <v>7003.952896</v>
      </c>
      <c r="K35" s="2">
        <v>5563.845486</v>
      </c>
      <c r="L35" s="2">
        <v>4267.786921</v>
      </c>
      <c r="M35" s="2">
        <v>4550.785427</v>
      </c>
      <c r="N35" s="2">
        <v>3355.98336</v>
      </c>
      <c r="O35" s="2">
        <v>40437.210621</v>
      </c>
    </row>
    <row r="36" spans="1:15" ht="15.75">
      <c r="A36" s="1" t="s">
        <v>144</v>
      </c>
      <c r="B36" s="2">
        <v>2928</v>
      </c>
      <c r="C36" s="2">
        <v>3367.024987</v>
      </c>
      <c r="D36" s="2">
        <v>3157.444907</v>
      </c>
      <c r="E36" s="2">
        <v>3623.800178</v>
      </c>
      <c r="F36" s="2">
        <v>3478.735386</v>
      </c>
      <c r="G36" s="2">
        <v>3012.123675</v>
      </c>
      <c r="H36" s="2">
        <v>3044.606073</v>
      </c>
      <c r="I36" s="2">
        <v>3438.908207</v>
      </c>
      <c r="J36" s="2">
        <v>4178.164738</v>
      </c>
      <c r="K36" s="2">
        <v>3650.85712</v>
      </c>
      <c r="L36" s="2">
        <v>3679.283023</v>
      </c>
      <c r="M36" s="2">
        <v>3212.033186</v>
      </c>
      <c r="N36" s="2">
        <v>2182.383054</v>
      </c>
      <c r="O36" s="2">
        <v>40025.364534</v>
      </c>
    </row>
    <row r="37" spans="1:15" ht="15.75">
      <c r="A37" s="1" t="s">
        <v>144</v>
      </c>
      <c r="B37" s="2">
        <v>720</v>
      </c>
      <c r="C37" s="2">
        <v>4020.39206</v>
      </c>
      <c r="D37" s="2">
        <v>2707.432898</v>
      </c>
      <c r="E37" s="2">
        <v>3499.18372</v>
      </c>
      <c r="F37" s="2">
        <v>3862.997713</v>
      </c>
      <c r="G37" s="2">
        <v>3413.216136</v>
      </c>
      <c r="H37" s="2">
        <v>2767.486545</v>
      </c>
      <c r="I37" s="2">
        <v>3179.929637</v>
      </c>
      <c r="J37" s="2">
        <v>4504.762184</v>
      </c>
      <c r="K37" s="2">
        <v>3319.217069</v>
      </c>
      <c r="L37" s="2">
        <v>3032.837908</v>
      </c>
      <c r="M37" s="2">
        <v>2799.740692</v>
      </c>
      <c r="N37" s="2">
        <v>2113.145887</v>
      </c>
      <c r="O37" s="2">
        <v>39220.342448999996</v>
      </c>
    </row>
    <row r="38" spans="1:15" ht="15.75">
      <c r="A38" s="1" t="s">
        <v>144</v>
      </c>
      <c r="B38" s="2">
        <v>2232</v>
      </c>
      <c r="C38" s="2">
        <v>2882.961562</v>
      </c>
      <c r="D38" s="2">
        <v>2643.177297</v>
      </c>
      <c r="E38" s="2">
        <v>2989.193123</v>
      </c>
      <c r="F38" s="2">
        <v>2051.070128</v>
      </c>
      <c r="G38" s="2">
        <v>2814.048079</v>
      </c>
      <c r="H38" s="2">
        <v>3619.429888</v>
      </c>
      <c r="I38" s="2">
        <v>4209.479082</v>
      </c>
      <c r="J38" s="2">
        <v>3836.694484</v>
      </c>
      <c r="K38" s="2">
        <v>3983.198143</v>
      </c>
      <c r="L38" s="2">
        <v>3167.666561</v>
      </c>
      <c r="M38" s="2">
        <v>2925.405256</v>
      </c>
      <c r="N38" s="2">
        <v>2836.625054</v>
      </c>
      <c r="O38" s="2">
        <v>37958.948657</v>
      </c>
    </row>
    <row r="39" spans="1:15" ht="15.75">
      <c r="A39" s="1" t="s">
        <v>144</v>
      </c>
      <c r="B39" s="2">
        <v>660</v>
      </c>
      <c r="C39" s="2">
        <v>2893.648531</v>
      </c>
      <c r="D39" s="2">
        <v>2644.53239</v>
      </c>
      <c r="E39" s="2">
        <v>2420.476989</v>
      </c>
      <c r="F39" s="2">
        <v>3252.492256</v>
      </c>
      <c r="G39" s="2">
        <v>2733.689903</v>
      </c>
      <c r="H39" s="2">
        <v>3155.475903</v>
      </c>
      <c r="I39" s="2">
        <v>2840.370388</v>
      </c>
      <c r="J39" s="2">
        <v>2671.303243</v>
      </c>
      <c r="K39" s="2">
        <v>2583.646412</v>
      </c>
      <c r="L39" s="2">
        <v>3822.507227</v>
      </c>
      <c r="M39" s="2">
        <v>3563.154995</v>
      </c>
      <c r="N39" s="2">
        <v>3008.987314</v>
      </c>
      <c r="O39" s="2">
        <v>35590.285551</v>
      </c>
    </row>
    <row r="40" spans="1:15" ht="15.75">
      <c r="A40" s="1" t="s">
        <v>144</v>
      </c>
      <c r="B40" s="2">
        <v>2481.7</v>
      </c>
      <c r="C40" s="2">
        <v>4452.830453</v>
      </c>
      <c r="D40" s="2">
        <v>4279.773502</v>
      </c>
      <c r="E40" s="2">
        <v>4162.603017</v>
      </c>
      <c r="F40" s="2">
        <v>3433.404239</v>
      </c>
      <c r="G40" s="2">
        <v>4127.991973</v>
      </c>
      <c r="H40" s="2">
        <v>3927.329605</v>
      </c>
      <c r="I40" s="2">
        <v>4464.970492</v>
      </c>
      <c r="J40" s="2">
        <v>6346.604066</v>
      </c>
      <c r="O40" s="2">
        <v>35195.507347</v>
      </c>
    </row>
    <row r="41" spans="1:15" ht="15.75">
      <c r="A41" s="1" t="s">
        <v>144</v>
      </c>
      <c r="B41" s="2">
        <v>660</v>
      </c>
      <c r="C41" s="2">
        <v>1911.225404</v>
      </c>
      <c r="D41" s="2">
        <v>1515.50518</v>
      </c>
      <c r="E41" s="2">
        <v>2127.909361</v>
      </c>
      <c r="F41" s="2">
        <v>1278.668173</v>
      </c>
      <c r="G41" s="2">
        <v>2535.743801</v>
      </c>
      <c r="H41" s="2">
        <v>3032.358809</v>
      </c>
      <c r="I41" s="2">
        <v>4588.559548</v>
      </c>
      <c r="J41" s="2">
        <v>5212.74777</v>
      </c>
      <c r="K41" s="2">
        <v>4621.48724</v>
      </c>
      <c r="L41" s="2">
        <v>3255.848261</v>
      </c>
      <c r="M41" s="2">
        <v>3132.080873</v>
      </c>
      <c r="N41" s="2">
        <v>1947.355361</v>
      </c>
      <c r="O41" s="2">
        <v>35159.489781000004</v>
      </c>
    </row>
    <row r="42" spans="1:15" ht="15.75">
      <c r="A42" s="1" t="s">
        <v>144</v>
      </c>
      <c r="B42" s="2">
        <v>698</v>
      </c>
      <c r="C42" s="2">
        <v>2092.085665</v>
      </c>
      <c r="D42" s="2">
        <v>2769.288462</v>
      </c>
      <c r="E42" s="2">
        <v>2101.865255</v>
      </c>
      <c r="F42" s="2">
        <v>2536.076181</v>
      </c>
      <c r="G42" s="2">
        <v>3079.159334</v>
      </c>
      <c r="H42" s="2">
        <v>3209.087231</v>
      </c>
      <c r="I42" s="2">
        <v>3068.398306</v>
      </c>
      <c r="J42" s="2">
        <v>3498.279859</v>
      </c>
      <c r="K42" s="2">
        <v>3105.923535</v>
      </c>
      <c r="L42" s="2">
        <v>3107.357698</v>
      </c>
      <c r="M42" s="2">
        <v>3300.126617</v>
      </c>
      <c r="N42" s="2">
        <v>2974.474983</v>
      </c>
      <c r="O42" s="2">
        <v>34842.123126000006</v>
      </c>
    </row>
    <row r="43" spans="1:15" ht="15.75">
      <c r="A43" s="1" t="s">
        <v>144</v>
      </c>
      <c r="B43" s="2">
        <v>252</v>
      </c>
      <c r="C43" s="2">
        <v>1461.708526</v>
      </c>
      <c r="D43" s="2">
        <v>1556.797164</v>
      </c>
      <c r="E43" s="2">
        <v>1546.150345</v>
      </c>
      <c r="F43" s="2">
        <v>2089.037148</v>
      </c>
      <c r="G43" s="2">
        <v>2364.343861</v>
      </c>
      <c r="H43" s="2">
        <v>4015.412302</v>
      </c>
      <c r="I43" s="2">
        <v>5223.698748</v>
      </c>
      <c r="J43" s="2">
        <v>4832.395646</v>
      </c>
      <c r="K43" s="2">
        <v>3712.943408</v>
      </c>
      <c r="L43" s="2">
        <v>3378.214735</v>
      </c>
      <c r="M43" s="2">
        <v>2516.602134</v>
      </c>
      <c r="N43" s="2">
        <v>1959.739214</v>
      </c>
      <c r="O43" s="2">
        <v>34657.043231</v>
      </c>
    </row>
    <row r="44" spans="1:15" ht="15.75">
      <c r="A44" s="1" t="s">
        <v>144</v>
      </c>
      <c r="B44" s="2">
        <v>2928</v>
      </c>
      <c r="C44" s="2">
        <v>2122.450042</v>
      </c>
      <c r="D44" s="2">
        <v>2289.008386</v>
      </c>
      <c r="E44" s="2">
        <v>2149.48855</v>
      </c>
      <c r="F44" s="2">
        <v>2643.140304</v>
      </c>
      <c r="G44" s="2">
        <v>3397.49343</v>
      </c>
      <c r="H44" s="2">
        <v>3483.19752</v>
      </c>
      <c r="I44" s="2">
        <v>3230.651304</v>
      </c>
      <c r="J44" s="2">
        <v>3700.044885</v>
      </c>
      <c r="K44" s="2">
        <v>3129.548098</v>
      </c>
      <c r="L44" s="2">
        <v>2819.524005</v>
      </c>
      <c r="M44" s="2">
        <v>2583.165247</v>
      </c>
      <c r="N44" s="2">
        <v>2800.04444</v>
      </c>
      <c r="O44" s="2">
        <v>34347.756211</v>
      </c>
    </row>
    <row r="45" spans="1:15" ht="15.75">
      <c r="A45" s="1" t="s">
        <v>144</v>
      </c>
      <c r="B45" s="2">
        <v>2928</v>
      </c>
      <c r="C45" s="2">
        <v>2342</v>
      </c>
      <c r="D45" s="2">
        <v>2459</v>
      </c>
      <c r="E45" s="2">
        <v>2105</v>
      </c>
      <c r="F45" s="2">
        <v>2635</v>
      </c>
      <c r="G45" s="2">
        <v>2837</v>
      </c>
      <c r="H45" s="2">
        <v>3562</v>
      </c>
      <c r="I45" s="2">
        <v>4122</v>
      </c>
      <c r="J45" s="2">
        <v>3563</v>
      </c>
      <c r="K45" s="2">
        <v>3177</v>
      </c>
      <c r="L45" s="2">
        <v>2755</v>
      </c>
      <c r="M45" s="2">
        <v>2340</v>
      </c>
      <c r="N45" s="2">
        <v>2286</v>
      </c>
      <c r="O45" s="2">
        <v>34183</v>
      </c>
    </row>
    <row r="46" spans="1:15" ht="15.75">
      <c r="A46" s="1" t="s">
        <v>144</v>
      </c>
      <c r="B46" s="2">
        <v>660</v>
      </c>
      <c r="C46" s="2">
        <v>1533.899732</v>
      </c>
      <c r="D46" s="2">
        <v>1631.567274</v>
      </c>
      <c r="E46" s="2">
        <v>1742.629835</v>
      </c>
      <c r="F46" s="2">
        <v>2358.297742</v>
      </c>
      <c r="G46" s="2">
        <v>2577.213065</v>
      </c>
      <c r="H46" s="2">
        <v>3734.278533</v>
      </c>
      <c r="I46" s="2">
        <v>3920.900612</v>
      </c>
      <c r="J46" s="2">
        <v>3698.400409</v>
      </c>
      <c r="K46" s="2">
        <v>3213.39241</v>
      </c>
      <c r="L46" s="2">
        <v>3500.663868</v>
      </c>
      <c r="M46" s="2">
        <v>3224.999107</v>
      </c>
      <c r="N46" s="2">
        <v>3044.629572</v>
      </c>
      <c r="O46" s="2">
        <v>34180.872159</v>
      </c>
    </row>
    <row r="47" spans="1:15" ht="15.75">
      <c r="A47" s="1" t="s">
        <v>144</v>
      </c>
      <c r="B47" s="2">
        <v>660</v>
      </c>
      <c r="C47" s="2">
        <v>1932.186472</v>
      </c>
      <c r="D47" s="2">
        <v>1618.856435</v>
      </c>
      <c r="E47" s="2">
        <v>1627.807914</v>
      </c>
      <c r="F47" s="2">
        <v>2059.795709</v>
      </c>
      <c r="G47" s="2">
        <v>2571.795011</v>
      </c>
      <c r="H47" s="2">
        <v>3113.714149</v>
      </c>
      <c r="I47" s="2">
        <v>4007.31421</v>
      </c>
      <c r="J47" s="2">
        <v>4592.860738</v>
      </c>
      <c r="K47" s="2">
        <v>3478.132634</v>
      </c>
      <c r="L47" s="2">
        <v>3457.580602</v>
      </c>
      <c r="M47" s="2">
        <v>3216.102513</v>
      </c>
      <c r="N47" s="2">
        <v>2299.028209</v>
      </c>
      <c r="O47" s="2">
        <v>33975.174596</v>
      </c>
    </row>
    <row r="48" spans="1:15" ht="15.75">
      <c r="A48" s="1" t="s">
        <v>144</v>
      </c>
      <c r="B48" s="2">
        <v>1572</v>
      </c>
      <c r="C48" s="2">
        <v>2442.627716</v>
      </c>
      <c r="D48" s="2">
        <v>2619.649669</v>
      </c>
      <c r="E48" s="2">
        <v>2976.646319</v>
      </c>
      <c r="F48" s="2">
        <v>2574.734941</v>
      </c>
      <c r="G48" s="2">
        <v>2886.098997</v>
      </c>
      <c r="H48" s="2">
        <v>2981.130718</v>
      </c>
      <c r="I48" s="2">
        <v>2815.336049</v>
      </c>
      <c r="J48" s="2">
        <v>3352.543323</v>
      </c>
      <c r="K48" s="2">
        <v>2766.190822</v>
      </c>
      <c r="L48" s="2">
        <v>2653.478977</v>
      </c>
      <c r="M48" s="2">
        <v>2754.7071</v>
      </c>
      <c r="N48" s="2">
        <v>2937.828501</v>
      </c>
      <c r="O48" s="2">
        <v>33760.973132</v>
      </c>
    </row>
    <row r="49" spans="1:15" ht="15.75">
      <c r="A49" s="1" t="s">
        <v>144</v>
      </c>
      <c r="B49" s="2">
        <v>5856</v>
      </c>
      <c r="C49" s="2">
        <v>2085.783756</v>
      </c>
      <c r="D49" s="2">
        <v>2930.418748</v>
      </c>
      <c r="E49" s="2">
        <v>1320.907045</v>
      </c>
      <c r="F49" s="2">
        <v>2360.407194</v>
      </c>
      <c r="G49" s="2">
        <v>2910.992876</v>
      </c>
      <c r="H49" s="2">
        <v>2774.842917</v>
      </c>
      <c r="I49" s="2">
        <v>3870.137188</v>
      </c>
      <c r="J49" s="2">
        <v>4551.655351</v>
      </c>
      <c r="K49" s="2">
        <v>2873.010064</v>
      </c>
      <c r="L49" s="2">
        <v>2895.340256</v>
      </c>
      <c r="M49" s="2">
        <v>2211.210424</v>
      </c>
      <c r="N49" s="2">
        <v>1908.429151</v>
      </c>
      <c r="O49" s="2">
        <v>32693.134970000003</v>
      </c>
    </row>
    <row r="50" spans="1:15" ht="15.75">
      <c r="A50" s="1" t="s">
        <v>144</v>
      </c>
      <c r="B50" s="2">
        <v>252</v>
      </c>
      <c r="C50" s="2">
        <v>1348.799198</v>
      </c>
      <c r="D50" s="2">
        <v>2343.107195</v>
      </c>
      <c r="E50" s="2">
        <v>1973.268113</v>
      </c>
      <c r="F50" s="2">
        <v>2787.511</v>
      </c>
      <c r="G50" s="2">
        <v>3762.228444</v>
      </c>
      <c r="H50" s="2">
        <v>2829.253379</v>
      </c>
      <c r="I50" s="2">
        <v>4826.304011</v>
      </c>
      <c r="J50" s="2">
        <v>4195.93219</v>
      </c>
      <c r="K50" s="2">
        <v>4037.0365</v>
      </c>
      <c r="L50" s="2">
        <v>1234.462715</v>
      </c>
      <c r="M50" s="2">
        <v>1505.116263</v>
      </c>
      <c r="N50" s="2">
        <v>940.627823</v>
      </c>
      <c r="O50" s="2">
        <v>31783.646831</v>
      </c>
    </row>
    <row r="51" spans="1:15" ht="15.75">
      <c r="A51" s="1" t="s">
        <v>144</v>
      </c>
      <c r="B51" s="2">
        <v>660</v>
      </c>
      <c r="C51" s="2">
        <v>1605.22989</v>
      </c>
      <c r="D51" s="2">
        <v>1171.421402</v>
      </c>
      <c r="E51" s="2">
        <v>1426.384149</v>
      </c>
      <c r="F51" s="2">
        <v>1644.771018</v>
      </c>
      <c r="G51" s="2">
        <v>3190.26362</v>
      </c>
      <c r="H51" s="2">
        <v>3231.217141</v>
      </c>
      <c r="I51" s="2">
        <v>3838.696455</v>
      </c>
      <c r="J51" s="2">
        <v>4202.817053</v>
      </c>
      <c r="K51" s="2">
        <v>3044.661402</v>
      </c>
      <c r="L51" s="2">
        <v>2987.906722</v>
      </c>
      <c r="M51" s="2">
        <v>2873.285882</v>
      </c>
      <c r="N51" s="2">
        <v>1902.753711</v>
      </c>
      <c r="O51" s="2">
        <v>31119.408445</v>
      </c>
    </row>
    <row r="52" spans="1:15" ht="15.75">
      <c r="A52" s="1" t="s">
        <v>144</v>
      </c>
      <c r="B52" s="2">
        <v>1164</v>
      </c>
      <c r="C52" s="2">
        <v>2173.409449</v>
      </c>
      <c r="D52" s="2">
        <v>1983.901535</v>
      </c>
      <c r="E52" s="2">
        <v>2566.28283</v>
      </c>
      <c r="F52" s="2">
        <v>2103.04825</v>
      </c>
      <c r="G52" s="2">
        <v>2637.334263</v>
      </c>
      <c r="H52" s="2">
        <v>2692.306381</v>
      </c>
      <c r="I52" s="2">
        <v>2592.540202</v>
      </c>
      <c r="J52" s="2">
        <v>2890.370789</v>
      </c>
      <c r="K52" s="2">
        <v>3078.635159</v>
      </c>
      <c r="L52" s="2">
        <v>2797.809608</v>
      </c>
      <c r="M52" s="2">
        <v>2638.251381</v>
      </c>
      <c r="N52" s="2">
        <v>2849.375798</v>
      </c>
      <c r="O52" s="2">
        <v>31003.265645000007</v>
      </c>
    </row>
    <row r="53" spans="1:15" ht="15.75">
      <c r="A53" s="1" t="s">
        <v>144</v>
      </c>
      <c r="B53" s="2">
        <v>660</v>
      </c>
      <c r="C53" s="2">
        <v>1996.442807</v>
      </c>
      <c r="D53" s="2">
        <v>1368.401833</v>
      </c>
      <c r="E53" s="2">
        <v>1948.925692</v>
      </c>
      <c r="F53" s="2">
        <v>2508.290696</v>
      </c>
      <c r="G53" s="2">
        <v>2638.825445</v>
      </c>
      <c r="H53" s="2">
        <v>2997.28059</v>
      </c>
      <c r="I53" s="2">
        <v>2936.631341</v>
      </c>
      <c r="J53" s="2">
        <v>3409.644951</v>
      </c>
      <c r="K53" s="2">
        <v>3005.772845</v>
      </c>
      <c r="L53" s="2">
        <v>3129.56609</v>
      </c>
      <c r="M53" s="2">
        <v>2479.102293</v>
      </c>
      <c r="N53" s="2">
        <v>2082.633945</v>
      </c>
      <c r="O53" s="2">
        <v>30501.518528000004</v>
      </c>
    </row>
    <row r="54" spans="1:15" ht="15.75">
      <c r="A54" s="1" t="s">
        <v>144</v>
      </c>
      <c r="B54" s="2">
        <v>660</v>
      </c>
      <c r="C54" s="2">
        <v>1739.85953</v>
      </c>
      <c r="D54" s="2">
        <v>2010.758613</v>
      </c>
      <c r="E54" s="2">
        <v>1913.063334</v>
      </c>
      <c r="F54" s="2">
        <v>2398.351656</v>
      </c>
      <c r="G54" s="2">
        <v>2970.503554</v>
      </c>
      <c r="H54" s="2">
        <v>2617.649113</v>
      </c>
      <c r="I54" s="2">
        <v>2879.201506</v>
      </c>
      <c r="J54" s="2">
        <v>3113.710225</v>
      </c>
      <c r="K54" s="2">
        <v>2722.09899</v>
      </c>
      <c r="L54" s="2">
        <v>2491.411742</v>
      </c>
      <c r="M54" s="2">
        <v>2737.808489</v>
      </c>
      <c r="N54" s="2">
        <v>2494.057468</v>
      </c>
      <c r="O54" s="2">
        <v>30088.474219999996</v>
      </c>
    </row>
    <row r="55" spans="1:15" ht="15.75">
      <c r="A55" s="1" t="s">
        <v>144</v>
      </c>
      <c r="B55" s="2">
        <v>660</v>
      </c>
      <c r="C55" s="2">
        <v>2225.343665</v>
      </c>
      <c r="D55" s="2">
        <v>1939.637666</v>
      </c>
      <c r="E55" s="2">
        <v>2197.59954</v>
      </c>
      <c r="F55" s="2">
        <v>2392.769045</v>
      </c>
      <c r="G55" s="2">
        <v>3013.157354</v>
      </c>
      <c r="H55" s="2">
        <v>2841.983711</v>
      </c>
      <c r="I55" s="2">
        <v>3113.48646</v>
      </c>
      <c r="J55" s="2">
        <v>2728.40569</v>
      </c>
      <c r="K55" s="2">
        <v>2493.988196</v>
      </c>
      <c r="L55" s="2">
        <v>2402.54797</v>
      </c>
      <c r="M55" s="2">
        <v>2395.062557</v>
      </c>
      <c r="N55" s="2">
        <v>2321.816965</v>
      </c>
      <c r="O55" s="2">
        <v>30065.798818999996</v>
      </c>
    </row>
    <row r="56" spans="1:15" ht="15.75">
      <c r="A56" s="1" t="s">
        <v>144</v>
      </c>
      <c r="B56" s="2">
        <v>660</v>
      </c>
      <c r="C56" s="2">
        <v>2375.868036</v>
      </c>
      <c r="D56" s="2">
        <v>2329.93836</v>
      </c>
      <c r="E56" s="2">
        <v>2863.914437</v>
      </c>
      <c r="F56" s="2">
        <v>1995.215989</v>
      </c>
      <c r="G56" s="2">
        <v>2937.027823</v>
      </c>
      <c r="H56" s="2">
        <v>2511.036415</v>
      </c>
      <c r="I56" s="2">
        <v>2737.596917</v>
      </c>
      <c r="J56" s="2">
        <v>2965.690581</v>
      </c>
      <c r="K56" s="2">
        <v>2066.24643</v>
      </c>
      <c r="L56" s="2">
        <v>2496.311705</v>
      </c>
      <c r="M56" s="2">
        <v>2340.292329</v>
      </c>
      <c r="N56" s="2">
        <v>2223.434765</v>
      </c>
      <c r="O56" s="2">
        <v>29842.573787</v>
      </c>
    </row>
    <row r="57" spans="1:15" ht="15.75">
      <c r="A57" s="1" t="s">
        <v>144</v>
      </c>
      <c r="B57" s="2">
        <v>660</v>
      </c>
      <c r="C57" s="2">
        <v>1262.80334</v>
      </c>
      <c r="D57" s="2">
        <v>1222.812681</v>
      </c>
      <c r="E57" s="2">
        <v>1342.997148</v>
      </c>
      <c r="F57" s="2">
        <v>1303.547507</v>
      </c>
      <c r="G57" s="2">
        <v>2987.357792</v>
      </c>
      <c r="H57" s="2">
        <v>3364.920106</v>
      </c>
      <c r="I57" s="2">
        <v>5569.268054</v>
      </c>
      <c r="J57" s="2">
        <v>3343.908934</v>
      </c>
      <c r="K57" s="2">
        <v>2760.803256</v>
      </c>
      <c r="L57" s="2">
        <v>2081.589345</v>
      </c>
      <c r="M57" s="2">
        <v>2691.474932</v>
      </c>
      <c r="N57" s="2">
        <v>1496.911821</v>
      </c>
      <c r="O57" s="2">
        <v>29428.394916</v>
      </c>
    </row>
    <row r="58" spans="1:15" ht="15.75">
      <c r="A58" s="1" t="s">
        <v>144</v>
      </c>
      <c r="B58" s="2">
        <v>1794</v>
      </c>
      <c r="C58" s="2">
        <v>318.024194</v>
      </c>
      <c r="D58" s="2">
        <v>254.162436</v>
      </c>
      <c r="E58" s="2">
        <v>354.637239</v>
      </c>
      <c r="F58" s="2">
        <v>2033.157646</v>
      </c>
      <c r="G58" s="2">
        <v>2536.219977</v>
      </c>
      <c r="H58" s="2">
        <v>4065.302397</v>
      </c>
      <c r="I58" s="2">
        <v>4899.576279</v>
      </c>
      <c r="J58" s="2">
        <v>4321.530319</v>
      </c>
      <c r="K58" s="2">
        <v>3142.701144</v>
      </c>
      <c r="L58" s="2">
        <v>3339.045986</v>
      </c>
      <c r="M58" s="2">
        <v>2229.890175</v>
      </c>
      <c r="N58" s="2">
        <v>1454.622528</v>
      </c>
      <c r="O58" s="2">
        <v>28948.87032</v>
      </c>
    </row>
    <row r="59" spans="1:15" ht="15.75">
      <c r="A59" s="1" t="s">
        <v>144</v>
      </c>
      <c r="B59" s="2">
        <v>3588</v>
      </c>
      <c r="C59" s="2">
        <v>1380.667556</v>
      </c>
      <c r="D59" s="2">
        <v>1158.89396</v>
      </c>
      <c r="E59" s="2">
        <v>1547.742054</v>
      </c>
      <c r="F59" s="2">
        <v>2789.192198</v>
      </c>
      <c r="G59" s="2">
        <v>2259.367786</v>
      </c>
      <c r="H59" s="2">
        <v>2890.850085</v>
      </c>
      <c r="I59" s="2">
        <v>3499.532458</v>
      </c>
      <c r="J59" s="2">
        <v>3210.718593</v>
      </c>
      <c r="K59" s="2">
        <v>2655.84247</v>
      </c>
      <c r="L59" s="2">
        <v>2397.453379</v>
      </c>
      <c r="M59" s="2">
        <v>2626.196389</v>
      </c>
      <c r="N59" s="2">
        <v>2513.666259</v>
      </c>
      <c r="O59" s="2">
        <v>28930.123187</v>
      </c>
    </row>
    <row r="60" spans="1:15" ht="15.75">
      <c r="A60" s="1" t="s">
        <v>144</v>
      </c>
      <c r="B60" s="2">
        <v>660</v>
      </c>
      <c r="C60" s="2">
        <v>3085.076648</v>
      </c>
      <c r="D60" s="2">
        <v>2995.249758</v>
      </c>
      <c r="E60" s="2">
        <v>3681.132448</v>
      </c>
      <c r="F60" s="2">
        <v>2672.258117</v>
      </c>
      <c r="G60" s="2">
        <v>2707.187952</v>
      </c>
      <c r="H60" s="2">
        <v>1677.984672</v>
      </c>
      <c r="I60" s="2">
        <v>1894.442562</v>
      </c>
      <c r="J60" s="2">
        <v>2385.49685</v>
      </c>
      <c r="K60" s="2">
        <v>2735.505085</v>
      </c>
      <c r="L60" s="2">
        <v>2992.760666</v>
      </c>
      <c r="M60" s="2">
        <v>1142.914917</v>
      </c>
      <c r="N60" s="2">
        <v>619.53387</v>
      </c>
      <c r="O60" s="2">
        <v>28589.543545</v>
      </c>
    </row>
    <row r="61" spans="1:15" ht="15.75">
      <c r="A61" s="1" t="s">
        <v>144</v>
      </c>
      <c r="B61" s="2">
        <v>660</v>
      </c>
      <c r="C61" s="2">
        <v>1779.942476</v>
      </c>
      <c r="D61" s="2">
        <v>1438.154212</v>
      </c>
      <c r="E61" s="2">
        <v>1589.953868</v>
      </c>
      <c r="F61" s="2">
        <v>1608.274122</v>
      </c>
      <c r="G61" s="2">
        <v>2016.376264</v>
      </c>
      <c r="H61" s="2">
        <v>2541.863086</v>
      </c>
      <c r="I61" s="2">
        <v>3809.833595</v>
      </c>
      <c r="J61" s="2">
        <v>2695.374539</v>
      </c>
      <c r="K61" s="2">
        <v>3032.471042</v>
      </c>
      <c r="L61" s="2">
        <v>2648.689991</v>
      </c>
      <c r="M61" s="2">
        <v>2771.876549</v>
      </c>
      <c r="N61" s="2">
        <v>2494.631566</v>
      </c>
      <c r="O61" s="2">
        <v>28427.44131</v>
      </c>
    </row>
    <row r="62" spans="1:15" ht="15.75">
      <c r="A62" s="1" t="s">
        <v>144</v>
      </c>
      <c r="B62" s="2">
        <v>660</v>
      </c>
      <c r="C62" s="2">
        <v>422</v>
      </c>
      <c r="D62" s="2">
        <v>74</v>
      </c>
      <c r="E62" s="2">
        <v>564</v>
      </c>
      <c r="F62" s="2">
        <v>2346</v>
      </c>
      <c r="G62" s="2">
        <v>3132</v>
      </c>
      <c r="H62" s="2">
        <v>4102</v>
      </c>
      <c r="I62" s="2">
        <v>4638</v>
      </c>
      <c r="J62" s="2">
        <v>4021</v>
      </c>
      <c r="K62" s="2">
        <v>3873</v>
      </c>
      <c r="L62" s="2">
        <v>2820</v>
      </c>
      <c r="M62" s="2">
        <v>1474</v>
      </c>
      <c r="N62" s="2">
        <v>781</v>
      </c>
      <c r="O62" s="2">
        <v>28247</v>
      </c>
    </row>
    <row r="63" spans="1:15" ht="15.75">
      <c r="A63" s="1" t="s">
        <v>144</v>
      </c>
      <c r="B63" s="2">
        <v>660</v>
      </c>
      <c r="C63" s="2">
        <v>1635.657416</v>
      </c>
      <c r="D63" s="2">
        <v>1962.179361</v>
      </c>
      <c r="E63" s="2">
        <v>1815.3079</v>
      </c>
      <c r="F63" s="2">
        <v>1900.481883</v>
      </c>
      <c r="G63" s="2">
        <v>2611.015862</v>
      </c>
      <c r="H63" s="2">
        <v>3432.009918</v>
      </c>
      <c r="I63" s="2">
        <v>2307.584619</v>
      </c>
      <c r="J63" s="2">
        <v>3376.274025</v>
      </c>
      <c r="K63" s="2">
        <v>2809.633154</v>
      </c>
      <c r="L63" s="2">
        <v>2311.335213</v>
      </c>
      <c r="M63" s="2">
        <v>2138.946005</v>
      </c>
      <c r="N63" s="2">
        <v>1896.58931</v>
      </c>
      <c r="O63" s="2">
        <v>28197.014666</v>
      </c>
    </row>
    <row r="64" spans="1:15" ht="15.75">
      <c r="A64" s="1" t="s">
        <v>144</v>
      </c>
      <c r="B64" s="2">
        <v>660</v>
      </c>
      <c r="C64" s="2">
        <v>1658.836697</v>
      </c>
      <c r="D64" s="2">
        <v>1525.591599</v>
      </c>
      <c r="E64" s="2">
        <v>1637.311382</v>
      </c>
      <c r="F64" s="2">
        <v>1518.445518</v>
      </c>
      <c r="G64" s="2">
        <v>2731.094617</v>
      </c>
      <c r="H64" s="2">
        <v>2667.36631</v>
      </c>
      <c r="I64" s="2">
        <v>3500.511615</v>
      </c>
      <c r="J64" s="2">
        <v>3528.431038</v>
      </c>
      <c r="K64" s="2">
        <v>3235.424284</v>
      </c>
      <c r="L64" s="2">
        <v>1419.820483</v>
      </c>
      <c r="M64" s="2">
        <v>2662.481343</v>
      </c>
      <c r="N64" s="2">
        <v>2062.448377</v>
      </c>
      <c r="O64" s="2">
        <v>28147.763263</v>
      </c>
    </row>
    <row r="65" spans="1:15" ht="15.75">
      <c r="A65" s="1" t="s">
        <v>144</v>
      </c>
      <c r="B65" s="2">
        <v>1014</v>
      </c>
      <c r="C65" s="2">
        <v>1925.287325</v>
      </c>
      <c r="D65" s="2">
        <v>1763.793432</v>
      </c>
      <c r="E65" s="2">
        <v>1894.962113</v>
      </c>
      <c r="F65" s="2">
        <v>1724.317233</v>
      </c>
      <c r="G65" s="2">
        <v>2306.397137</v>
      </c>
      <c r="H65" s="2">
        <v>2590.619313</v>
      </c>
      <c r="I65" s="2">
        <v>2813.054493</v>
      </c>
      <c r="J65" s="2">
        <v>2957.338945</v>
      </c>
      <c r="K65" s="2">
        <v>2674.782061</v>
      </c>
      <c r="L65" s="2">
        <v>2385.743403</v>
      </c>
      <c r="M65" s="2">
        <v>2662.11236</v>
      </c>
      <c r="N65" s="2">
        <v>2259.655189</v>
      </c>
      <c r="O65" s="2">
        <v>27958.063004</v>
      </c>
    </row>
    <row r="66" spans="1:15" ht="15.75">
      <c r="A66" s="1" t="s">
        <v>144</v>
      </c>
      <c r="B66" s="2">
        <v>660</v>
      </c>
      <c r="C66" s="2">
        <v>2242.008686</v>
      </c>
      <c r="D66" s="2">
        <v>1429.36318</v>
      </c>
      <c r="E66" s="2">
        <v>1916.557053</v>
      </c>
      <c r="F66" s="2">
        <v>2238.446023</v>
      </c>
      <c r="G66" s="2">
        <v>2816.15317</v>
      </c>
      <c r="H66" s="2">
        <v>1855.476064</v>
      </c>
      <c r="I66" s="2">
        <v>2640.537659</v>
      </c>
      <c r="J66" s="2">
        <v>2732.96405</v>
      </c>
      <c r="K66" s="2">
        <v>2169.827789</v>
      </c>
      <c r="L66" s="2">
        <v>1684.347004</v>
      </c>
      <c r="M66" s="2">
        <v>3618.521738</v>
      </c>
      <c r="N66" s="2">
        <v>2355.093217</v>
      </c>
      <c r="O66" s="2">
        <v>27699.295632999998</v>
      </c>
    </row>
    <row r="67" spans="1:15" ht="15.75">
      <c r="A67" s="1" t="s">
        <v>144</v>
      </c>
      <c r="B67" s="2">
        <v>660</v>
      </c>
      <c r="C67" s="2">
        <v>3524.283415</v>
      </c>
      <c r="D67" s="2">
        <v>3154.065732</v>
      </c>
      <c r="E67" s="2">
        <v>2155.875942</v>
      </c>
      <c r="F67" s="2">
        <v>1442.499916</v>
      </c>
      <c r="G67" s="2">
        <v>1244.337367</v>
      </c>
      <c r="H67" s="2">
        <v>1781.002076</v>
      </c>
      <c r="I67" s="2">
        <v>2831.805256</v>
      </c>
      <c r="J67" s="2">
        <v>2751.6411</v>
      </c>
      <c r="K67" s="2">
        <v>2734.050341</v>
      </c>
      <c r="L67" s="2">
        <v>2101.750964</v>
      </c>
      <c r="M67" s="2">
        <v>2274.632548</v>
      </c>
      <c r="N67" s="2">
        <v>1572.789192</v>
      </c>
      <c r="O67" s="2">
        <v>27568.733849</v>
      </c>
    </row>
    <row r="68" spans="1:15" ht="15.75">
      <c r="A68" s="1" t="s">
        <v>144</v>
      </c>
      <c r="B68" s="2">
        <v>1980</v>
      </c>
      <c r="C68" s="2">
        <v>3528.826564</v>
      </c>
      <c r="D68" s="2">
        <v>2274.07082</v>
      </c>
      <c r="E68" s="2">
        <v>3857.915314</v>
      </c>
      <c r="F68" s="2">
        <v>2040.324663</v>
      </c>
      <c r="G68" s="2">
        <v>993.630539</v>
      </c>
      <c r="H68" s="2">
        <v>1266.925821</v>
      </c>
      <c r="I68" s="2">
        <v>1997.97803</v>
      </c>
      <c r="J68" s="2">
        <v>1920.377707</v>
      </c>
      <c r="K68" s="2">
        <v>2519.184117</v>
      </c>
      <c r="L68" s="2">
        <v>1678.70497</v>
      </c>
      <c r="M68" s="2">
        <v>3002.727233</v>
      </c>
      <c r="N68" s="2">
        <v>2281.019773</v>
      </c>
      <c r="O68" s="2">
        <v>27361.685551000002</v>
      </c>
    </row>
    <row r="69" spans="1:15" ht="15.75">
      <c r="A69" s="1" t="s">
        <v>144</v>
      </c>
      <c r="B69" s="2">
        <v>660</v>
      </c>
      <c r="C69" s="2">
        <v>1638.50724</v>
      </c>
      <c r="D69" s="2">
        <v>1577.37133</v>
      </c>
      <c r="E69" s="2">
        <v>2177.400352</v>
      </c>
      <c r="F69" s="2">
        <v>2414.390979</v>
      </c>
      <c r="G69" s="2">
        <v>2770.081907</v>
      </c>
      <c r="H69" s="2">
        <v>3039.295611</v>
      </c>
      <c r="I69" s="2">
        <v>2440.21667</v>
      </c>
      <c r="J69" s="2">
        <v>2676.558176</v>
      </c>
      <c r="K69" s="2">
        <v>2221.675215</v>
      </c>
      <c r="L69" s="2">
        <v>2446.535974</v>
      </c>
      <c r="M69" s="2">
        <v>2151.371332</v>
      </c>
      <c r="N69" s="2">
        <v>1727.433747</v>
      </c>
      <c r="O69" s="2">
        <v>27280.838532999995</v>
      </c>
    </row>
    <row r="70" spans="1:15" ht="15.75">
      <c r="A70" s="1" t="s">
        <v>144</v>
      </c>
      <c r="B70" s="2">
        <v>1320</v>
      </c>
      <c r="C70" s="2">
        <v>1886.573158</v>
      </c>
      <c r="D70" s="2">
        <v>1921.553099</v>
      </c>
      <c r="E70" s="2">
        <v>1827.0527</v>
      </c>
      <c r="F70" s="2">
        <v>1885.110482</v>
      </c>
      <c r="G70" s="2">
        <v>3071.751816</v>
      </c>
      <c r="H70" s="2">
        <v>2874.04906</v>
      </c>
      <c r="I70" s="2">
        <v>2966.390675</v>
      </c>
      <c r="J70" s="2">
        <v>2451.356075</v>
      </c>
      <c r="K70" s="2">
        <v>1788.197511</v>
      </c>
      <c r="L70" s="2">
        <v>2475.520314</v>
      </c>
      <c r="M70" s="2">
        <v>2327.023537</v>
      </c>
      <c r="N70" s="2">
        <v>1597.346662</v>
      </c>
      <c r="O70" s="2">
        <v>27071.925089</v>
      </c>
    </row>
    <row r="71" spans="1:15" ht="15.75">
      <c r="A71" s="1" t="s">
        <v>144</v>
      </c>
      <c r="B71" s="2">
        <v>2928</v>
      </c>
      <c r="C71" s="2">
        <v>1102</v>
      </c>
      <c r="D71" s="2">
        <v>1340</v>
      </c>
      <c r="E71" s="2">
        <v>1390</v>
      </c>
      <c r="F71" s="2">
        <v>2407</v>
      </c>
      <c r="G71" s="2">
        <v>2438</v>
      </c>
      <c r="H71" s="2">
        <v>3183</v>
      </c>
      <c r="I71" s="2">
        <v>3542</v>
      </c>
      <c r="J71" s="2">
        <v>2769</v>
      </c>
      <c r="K71" s="2">
        <v>2900</v>
      </c>
      <c r="L71" s="2">
        <v>2522</v>
      </c>
      <c r="M71" s="2">
        <v>1746</v>
      </c>
      <c r="N71" s="2">
        <v>1573</v>
      </c>
      <c r="O71" s="2">
        <v>26912</v>
      </c>
    </row>
    <row r="72" spans="1:15" ht="15.75">
      <c r="A72" s="1" t="s">
        <v>144</v>
      </c>
      <c r="B72" s="2">
        <v>660</v>
      </c>
      <c r="C72" s="2">
        <v>2009.888371</v>
      </c>
      <c r="D72" s="2">
        <v>2365.363073</v>
      </c>
      <c r="E72" s="2">
        <v>2024.862639</v>
      </c>
      <c r="F72" s="2">
        <v>1798.316741</v>
      </c>
      <c r="G72" s="2">
        <v>1917.83599</v>
      </c>
      <c r="H72" s="2">
        <v>2269.806605</v>
      </c>
      <c r="I72" s="2">
        <v>2461.933055</v>
      </c>
      <c r="J72" s="2">
        <v>2344.184536</v>
      </c>
      <c r="K72" s="2">
        <v>2169.425062</v>
      </c>
      <c r="L72" s="2">
        <v>2027.576627</v>
      </c>
      <c r="M72" s="2">
        <v>2224.675889</v>
      </c>
      <c r="N72" s="2">
        <v>2276.460813</v>
      </c>
      <c r="O72" s="2">
        <v>25890.329401</v>
      </c>
    </row>
    <row r="73" spans="1:15" ht="15.75">
      <c r="A73" s="1" t="s">
        <v>144</v>
      </c>
      <c r="B73" s="2">
        <v>1279</v>
      </c>
      <c r="C73" s="2">
        <v>2530.194032</v>
      </c>
      <c r="D73" s="2">
        <v>3094.68945</v>
      </c>
      <c r="E73" s="2">
        <v>2879.092073</v>
      </c>
      <c r="F73" s="2">
        <v>2216.379412</v>
      </c>
      <c r="G73" s="2">
        <v>3013.84689</v>
      </c>
      <c r="H73" s="2">
        <v>3866.709294</v>
      </c>
      <c r="I73" s="2">
        <v>4443.246322</v>
      </c>
      <c r="J73" s="2">
        <v>3813.600867</v>
      </c>
      <c r="O73" s="2">
        <v>25857.75834</v>
      </c>
    </row>
    <row r="74" spans="1:15" ht="15.75">
      <c r="A74" s="1" t="s">
        <v>144</v>
      </c>
      <c r="B74" s="2">
        <v>660</v>
      </c>
      <c r="C74" s="2">
        <v>2067.198938</v>
      </c>
      <c r="D74" s="2">
        <v>2351.11767</v>
      </c>
      <c r="E74" s="2">
        <v>1859.6004</v>
      </c>
      <c r="F74" s="2">
        <v>2259.192809</v>
      </c>
      <c r="G74" s="2">
        <v>1769.21308</v>
      </c>
      <c r="H74" s="2">
        <v>2121.368023</v>
      </c>
      <c r="I74" s="2">
        <v>2190.050441</v>
      </c>
      <c r="J74" s="2">
        <v>2202.986242</v>
      </c>
      <c r="K74" s="2">
        <v>2232.478285</v>
      </c>
      <c r="L74" s="2">
        <v>2357.2766</v>
      </c>
      <c r="M74" s="2">
        <v>2330.416985</v>
      </c>
      <c r="N74" s="2">
        <v>2017.127134</v>
      </c>
      <c r="O74" s="2">
        <v>25758.026607</v>
      </c>
    </row>
    <row r="75" spans="1:15" ht="15.75">
      <c r="A75" s="1" t="s">
        <v>144</v>
      </c>
      <c r="B75" s="2">
        <v>1479</v>
      </c>
      <c r="C75" s="2">
        <v>1967.906238</v>
      </c>
      <c r="D75" s="2">
        <v>2009.632101</v>
      </c>
      <c r="E75" s="2">
        <v>2062.782251</v>
      </c>
      <c r="F75" s="2">
        <v>1912.70729</v>
      </c>
      <c r="G75" s="2">
        <v>2330.502227</v>
      </c>
      <c r="H75" s="2">
        <v>2173.792599</v>
      </c>
      <c r="I75" s="2">
        <v>2952.977616</v>
      </c>
      <c r="J75" s="2">
        <v>2166.941761</v>
      </c>
      <c r="K75" s="2">
        <v>2159.93059</v>
      </c>
      <c r="L75" s="2">
        <v>2174.613164</v>
      </c>
      <c r="M75" s="2">
        <v>1857.075251</v>
      </c>
      <c r="N75" s="2">
        <v>1971.52906</v>
      </c>
      <c r="O75" s="2">
        <v>25740.390147999995</v>
      </c>
    </row>
    <row r="76" spans="1:15" ht="15.75">
      <c r="A76" s="1" t="s">
        <v>144</v>
      </c>
      <c r="B76" s="2">
        <v>660</v>
      </c>
      <c r="C76" s="2">
        <v>1641.963763</v>
      </c>
      <c r="D76" s="2">
        <v>1420.059529</v>
      </c>
      <c r="E76" s="2">
        <v>1824.548606</v>
      </c>
      <c r="F76" s="2">
        <v>2060.232091</v>
      </c>
      <c r="G76" s="2">
        <v>2085.608154</v>
      </c>
      <c r="H76" s="2">
        <v>2395.721117</v>
      </c>
      <c r="I76" s="2">
        <v>2788.902851</v>
      </c>
      <c r="J76" s="2">
        <v>2987.276638</v>
      </c>
      <c r="K76" s="2">
        <v>2512.09678</v>
      </c>
      <c r="L76" s="2">
        <v>2311.358069</v>
      </c>
      <c r="M76" s="2">
        <v>1873.85543</v>
      </c>
      <c r="N76" s="2">
        <v>1709.587987</v>
      </c>
      <c r="O76" s="2">
        <v>25611.211014999997</v>
      </c>
    </row>
    <row r="77" spans="1:15" ht="15.75">
      <c r="A77" s="1" t="s">
        <v>144</v>
      </c>
      <c r="B77" s="2">
        <v>1196</v>
      </c>
      <c r="K77" s="2">
        <v>9178.48271</v>
      </c>
      <c r="L77" s="2">
        <v>5329.257834</v>
      </c>
      <c r="M77" s="2">
        <v>5953.623836</v>
      </c>
      <c r="N77" s="2">
        <v>5005.031956</v>
      </c>
      <c r="O77" s="2">
        <v>25466.396335999998</v>
      </c>
    </row>
    <row r="78" spans="1:15" ht="15.75">
      <c r="A78" s="1" t="s">
        <v>144</v>
      </c>
      <c r="B78" s="2">
        <v>660</v>
      </c>
      <c r="C78" s="2">
        <v>903.75063</v>
      </c>
      <c r="D78" s="2">
        <v>1056.157013</v>
      </c>
      <c r="E78" s="2">
        <v>969.918185</v>
      </c>
      <c r="F78" s="2">
        <v>1822.700086</v>
      </c>
      <c r="G78" s="2">
        <v>2501.950412</v>
      </c>
      <c r="H78" s="2">
        <v>3212.908687</v>
      </c>
      <c r="I78" s="2">
        <v>3536.576425</v>
      </c>
      <c r="J78" s="2">
        <v>3817.644864</v>
      </c>
      <c r="K78" s="2">
        <v>2869.443311</v>
      </c>
      <c r="L78" s="2">
        <v>2391.510078</v>
      </c>
      <c r="M78" s="2">
        <v>1389.277349</v>
      </c>
      <c r="N78" s="2">
        <v>983.691012</v>
      </c>
      <c r="O78" s="2">
        <v>25455.528051999998</v>
      </c>
    </row>
    <row r="79" spans="1:15" ht="15.75">
      <c r="A79" s="1" t="s">
        <v>144</v>
      </c>
      <c r="B79" s="2">
        <v>897</v>
      </c>
      <c r="L79" s="2">
        <v>11373</v>
      </c>
      <c r="M79" s="2">
        <v>8052</v>
      </c>
      <c r="N79" s="2">
        <v>5777</v>
      </c>
      <c r="O79" s="2">
        <v>25202</v>
      </c>
    </row>
    <row r="80" spans="1:15" ht="15.75">
      <c r="A80" s="1" t="s">
        <v>144</v>
      </c>
      <c r="B80" s="2">
        <v>1980</v>
      </c>
      <c r="C80" s="2">
        <v>1443.617556</v>
      </c>
      <c r="D80" s="2">
        <v>1615.703992</v>
      </c>
      <c r="E80" s="2">
        <v>1335.640492</v>
      </c>
      <c r="F80" s="2">
        <v>1707.231171</v>
      </c>
      <c r="G80" s="2">
        <v>2448.326811</v>
      </c>
      <c r="H80" s="2">
        <v>2610.277662</v>
      </c>
      <c r="I80" s="2">
        <v>2420.174863</v>
      </c>
      <c r="J80" s="2">
        <v>2901.53233</v>
      </c>
      <c r="K80" s="2">
        <v>2609.044468</v>
      </c>
      <c r="L80" s="2">
        <v>1736.621315</v>
      </c>
      <c r="M80" s="2">
        <v>2016.941294</v>
      </c>
      <c r="N80" s="2">
        <v>2242.135592</v>
      </c>
      <c r="O80" s="2">
        <v>25087.247546</v>
      </c>
    </row>
    <row r="81" spans="1:15" ht="15.75">
      <c r="A81" s="1" t="s">
        <v>144</v>
      </c>
      <c r="B81" s="2">
        <v>660</v>
      </c>
      <c r="C81" s="2">
        <v>1589.533999</v>
      </c>
      <c r="D81" s="2">
        <v>1241.491726</v>
      </c>
      <c r="E81" s="2">
        <v>1910.689674</v>
      </c>
      <c r="F81" s="2">
        <v>1394.815609</v>
      </c>
      <c r="G81" s="2">
        <v>2707.106255</v>
      </c>
      <c r="H81" s="2">
        <v>2360.840267</v>
      </c>
      <c r="I81" s="2">
        <v>2903.030782</v>
      </c>
      <c r="J81" s="2">
        <v>2777.240288</v>
      </c>
      <c r="K81" s="2">
        <v>2149.156887</v>
      </c>
      <c r="L81" s="2">
        <v>2136.883096</v>
      </c>
      <c r="M81" s="2">
        <v>2059.190055</v>
      </c>
      <c r="N81" s="2">
        <v>1612.520787</v>
      </c>
      <c r="O81" s="2">
        <v>24842.499425</v>
      </c>
    </row>
    <row r="82" spans="1:15" ht="15.75">
      <c r="A82" s="1" t="s">
        <v>144</v>
      </c>
      <c r="B82" s="2">
        <v>660</v>
      </c>
      <c r="C82" s="2">
        <v>1605.579267</v>
      </c>
      <c r="D82" s="2">
        <v>1592.402006</v>
      </c>
      <c r="E82" s="2">
        <v>1669.018382</v>
      </c>
      <c r="F82" s="2">
        <v>1436.413103</v>
      </c>
      <c r="G82" s="2">
        <v>2184.846768</v>
      </c>
      <c r="H82" s="2">
        <v>2007.791815</v>
      </c>
      <c r="I82" s="2">
        <v>2974.646926</v>
      </c>
      <c r="J82" s="2">
        <v>2601.887387</v>
      </c>
      <c r="K82" s="2">
        <v>2443.727244</v>
      </c>
      <c r="L82" s="2">
        <v>1957.647384</v>
      </c>
      <c r="M82" s="2">
        <v>2312.125316</v>
      </c>
      <c r="N82" s="2">
        <v>1679.773208</v>
      </c>
      <c r="O82" s="2">
        <v>24465.858806</v>
      </c>
    </row>
    <row r="83" spans="1:15" ht="15.75">
      <c r="A83" s="1" t="s">
        <v>144</v>
      </c>
      <c r="B83" s="2">
        <v>1854</v>
      </c>
      <c r="C83" s="2">
        <v>1875.222909</v>
      </c>
      <c r="D83" s="2">
        <v>2142.199617</v>
      </c>
      <c r="E83" s="2">
        <v>1950.746633</v>
      </c>
      <c r="F83" s="2">
        <v>1877.836378</v>
      </c>
      <c r="G83" s="2">
        <v>1489.054146</v>
      </c>
      <c r="H83" s="2">
        <v>1192.103058</v>
      </c>
      <c r="I83" s="2">
        <v>2344.379126</v>
      </c>
      <c r="J83" s="2">
        <v>2180.001301</v>
      </c>
      <c r="K83" s="2">
        <v>1436.464385</v>
      </c>
      <c r="L83" s="2">
        <v>2191.438052</v>
      </c>
      <c r="M83" s="2">
        <v>2781.329148</v>
      </c>
      <c r="N83" s="2">
        <v>2701.34435</v>
      </c>
      <c r="O83" s="2">
        <v>24162.119103</v>
      </c>
    </row>
    <row r="84" spans="1:15" ht="15.75">
      <c r="A84" s="1" t="s">
        <v>144</v>
      </c>
      <c r="B84" s="2">
        <v>252</v>
      </c>
      <c r="C84" s="2">
        <v>1713.833542</v>
      </c>
      <c r="D84" s="2">
        <v>1995.319367</v>
      </c>
      <c r="E84" s="2">
        <v>1767.557646</v>
      </c>
      <c r="F84" s="2">
        <v>1403.717227</v>
      </c>
      <c r="G84" s="2">
        <v>2293.178488</v>
      </c>
      <c r="H84" s="2">
        <v>2230.27147</v>
      </c>
      <c r="I84" s="2">
        <v>1861.835304</v>
      </c>
      <c r="J84" s="2">
        <v>2738.065658</v>
      </c>
      <c r="K84" s="2">
        <v>2042.197544</v>
      </c>
      <c r="L84" s="2">
        <v>1840.484575</v>
      </c>
      <c r="M84" s="2">
        <v>1933.436343</v>
      </c>
      <c r="N84" s="2">
        <v>1893.255018</v>
      </c>
      <c r="O84" s="2">
        <v>23713.152181999998</v>
      </c>
    </row>
    <row r="85" spans="1:15" ht="15.75">
      <c r="A85" s="1" t="s">
        <v>144</v>
      </c>
      <c r="B85" s="2">
        <v>2988</v>
      </c>
      <c r="C85" s="2">
        <v>1418.635927</v>
      </c>
      <c r="D85" s="2">
        <v>1364.353252</v>
      </c>
      <c r="E85" s="2">
        <v>1491.690247</v>
      </c>
      <c r="F85" s="2">
        <v>1690.26453</v>
      </c>
      <c r="G85" s="2">
        <v>2128.676443</v>
      </c>
      <c r="H85" s="2">
        <v>2394.832806</v>
      </c>
      <c r="I85" s="2">
        <v>2431.539744</v>
      </c>
      <c r="J85" s="2">
        <v>2908.884745</v>
      </c>
      <c r="K85" s="2">
        <v>2204.345753</v>
      </c>
      <c r="L85" s="2">
        <v>1932.849065</v>
      </c>
      <c r="M85" s="2">
        <v>2111.114373</v>
      </c>
      <c r="N85" s="2">
        <v>1491.673634</v>
      </c>
      <c r="O85" s="2">
        <v>23568.860518999998</v>
      </c>
    </row>
    <row r="86" spans="1:15" ht="15.75">
      <c r="A86" s="1" t="s">
        <v>144</v>
      </c>
      <c r="B86" s="2">
        <v>660</v>
      </c>
      <c r="C86" s="2">
        <v>2032.13413</v>
      </c>
      <c r="D86" s="2">
        <v>1319.575375</v>
      </c>
      <c r="E86" s="2">
        <v>2062.136812</v>
      </c>
      <c r="F86" s="2">
        <v>2033.902456</v>
      </c>
      <c r="G86" s="2">
        <v>2279.466602</v>
      </c>
      <c r="H86" s="2">
        <v>1642.283266</v>
      </c>
      <c r="I86" s="2">
        <v>1803.664194</v>
      </c>
      <c r="J86" s="2">
        <v>2106.925163</v>
      </c>
      <c r="K86" s="2">
        <v>1845.930218</v>
      </c>
      <c r="L86" s="2">
        <v>1974.737164</v>
      </c>
      <c r="M86" s="2">
        <v>2453.589315</v>
      </c>
      <c r="N86" s="2">
        <v>1974.087469</v>
      </c>
      <c r="O86" s="2">
        <v>23528.432163999998</v>
      </c>
    </row>
    <row r="87" spans="1:15" ht="15.75">
      <c r="A87" s="1" t="s">
        <v>144</v>
      </c>
      <c r="B87" s="2">
        <v>660</v>
      </c>
      <c r="C87" s="2">
        <v>1441.181708</v>
      </c>
      <c r="D87" s="2">
        <v>1276.829001</v>
      </c>
      <c r="E87" s="2">
        <v>1529.905931</v>
      </c>
      <c r="F87" s="2">
        <v>2082.177924</v>
      </c>
      <c r="G87" s="2">
        <v>2452.846681</v>
      </c>
      <c r="H87" s="2">
        <v>1713.055073</v>
      </c>
      <c r="I87" s="2">
        <v>2679.18929</v>
      </c>
      <c r="J87" s="2">
        <v>2269.207255</v>
      </c>
      <c r="K87" s="2">
        <v>1720.806653</v>
      </c>
      <c r="L87" s="2">
        <v>2205.315067</v>
      </c>
      <c r="M87" s="2">
        <v>1937.976439</v>
      </c>
      <c r="N87" s="2">
        <v>1921.383087</v>
      </c>
      <c r="O87" s="2">
        <v>23229.874109</v>
      </c>
    </row>
    <row r="88" spans="1:15" ht="15.75">
      <c r="A88" s="1" t="s">
        <v>144</v>
      </c>
      <c r="B88" s="2">
        <v>3588</v>
      </c>
      <c r="C88" s="2">
        <v>1428.592538</v>
      </c>
      <c r="D88" s="2">
        <v>1372.55928</v>
      </c>
      <c r="E88" s="2">
        <v>1742.036434</v>
      </c>
      <c r="F88" s="2">
        <v>1486.000679</v>
      </c>
      <c r="G88" s="2">
        <v>1704.122851</v>
      </c>
      <c r="H88" s="2">
        <v>2487.905807</v>
      </c>
      <c r="I88" s="2">
        <v>2525.542371</v>
      </c>
      <c r="J88" s="2">
        <v>2576.23241</v>
      </c>
      <c r="K88" s="2">
        <v>2113.448873</v>
      </c>
      <c r="L88" s="2">
        <v>1672.325606</v>
      </c>
      <c r="M88" s="2">
        <v>1708.497434</v>
      </c>
      <c r="N88" s="2">
        <v>1932.48901</v>
      </c>
      <c r="O88" s="2">
        <v>22749.753293</v>
      </c>
    </row>
    <row r="89" spans="1:15" ht="15.75">
      <c r="A89" s="1" t="s">
        <v>144</v>
      </c>
      <c r="B89" s="2">
        <v>1320</v>
      </c>
      <c r="C89" s="2">
        <v>1414.391096</v>
      </c>
      <c r="D89" s="2">
        <v>1380.60329</v>
      </c>
      <c r="E89" s="2">
        <v>1328.10615</v>
      </c>
      <c r="F89" s="2">
        <v>1290.449765</v>
      </c>
      <c r="G89" s="2">
        <v>1790.339314</v>
      </c>
      <c r="H89" s="2">
        <v>2148.477756</v>
      </c>
      <c r="I89" s="2">
        <v>2319.845218</v>
      </c>
      <c r="J89" s="2">
        <v>2867.604615</v>
      </c>
      <c r="K89" s="2">
        <v>2288.253541</v>
      </c>
      <c r="L89" s="2">
        <v>2226.146704</v>
      </c>
      <c r="M89" s="2">
        <v>1795.134863</v>
      </c>
      <c r="N89" s="2">
        <v>1141.164657</v>
      </c>
      <c r="O89" s="2">
        <v>21990.516969</v>
      </c>
    </row>
    <row r="90" spans="1:15" ht="15.75">
      <c r="A90" s="1" t="s">
        <v>144</v>
      </c>
      <c r="B90" s="2">
        <v>660</v>
      </c>
      <c r="C90" s="2">
        <v>923</v>
      </c>
      <c r="D90" s="2">
        <v>740</v>
      </c>
      <c r="E90" s="2">
        <v>688</v>
      </c>
      <c r="F90" s="2">
        <v>2058</v>
      </c>
      <c r="G90" s="2">
        <v>2543</v>
      </c>
      <c r="H90" s="2">
        <v>3034</v>
      </c>
      <c r="I90" s="2">
        <v>3428</v>
      </c>
      <c r="J90" s="2">
        <v>2931</v>
      </c>
      <c r="K90" s="2">
        <v>2934</v>
      </c>
      <c r="L90" s="2">
        <v>1698</v>
      </c>
      <c r="M90" s="2">
        <v>605</v>
      </c>
      <c r="N90" s="2">
        <v>359</v>
      </c>
      <c r="O90" s="2">
        <v>21941</v>
      </c>
    </row>
    <row r="91" spans="1:15" ht="15.75">
      <c r="A91" s="1" t="s">
        <v>144</v>
      </c>
      <c r="B91" s="2">
        <v>660</v>
      </c>
      <c r="C91" s="2">
        <v>1419.1794</v>
      </c>
      <c r="D91" s="2">
        <v>1168.410425</v>
      </c>
      <c r="E91" s="2">
        <v>1208.23727</v>
      </c>
      <c r="F91" s="2">
        <v>1353.669704</v>
      </c>
      <c r="G91" s="2">
        <v>1592.514375</v>
      </c>
      <c r="H91" s="2">
        <v>2201.073795</v>
      </c>
      <c r="I91" s="2">
        <v>3083.60506</v>
      </c>
      <c r="J91" s="2">
        <v>2974.343393</v>
      </c>
      <c r="K91" s="2">
        <v>1988.876948</v>
      </c>
      <c r="L91" s="2">
        <v>1875.853858</v>
      </c>
      <c r="M91" s="2">
        <v>1541.778125</v>
      </c>
      <c r="N91" s="2">
        <v>1217.570444</v>
      </c>
      <c r="O91" s="2">
        <v>21625.112797</v>
      </c>
    </row>
    <row r="92" spans="1:15" ht="15.75">
      <c r="A92" s="1" t="s">
        <v>144</v>
      </c>
      <c r="B92" s="2">
        <v>660</v>
      </c>
      <c r="C92" s="2">
        <v>1444.088614</v>
      </c>
      <c r="D92" s="2">
        <v>1639.195664</v>
      </c>
      <c r="E92" s="2">
        <v>1580.37629</v>
      </c>
      <c r="F92" s="2">
        <v>1672.062895</v>
      </c>
      <c r="G92" s="2">
        <v>1662.249188</v>
      </c>
      <c r="H92" s="2">
        <v>1781.232167</v>
      </c>
      <c r="I92" s="2">
        <v>2016.913511</v>
      </c>
      <c r="J92" s="2">
        <v>2140.42175</v>
      </c>
      <c r="K92" s="2">
        <v>1678.280325</v>
      </c>
      <c r="L92" s="2">
        <v>1909.087123</v>
      </c>
      <c r="M92" s="2">
        <v>2000.137482</v>
      </c>
      <c r="N92" s="2">
        <v>1952.855933</v>
      </c>
      <c r="O92" s="2">
        <v>21476.900942</v>
      </c>
    </row>
    <row r="93" spans="1:15" ht="15.75">
      <c r="A93" s="1" t="s">
        <v>144</v>
      </c>
      <c r="B93" s="2">
        <v>3894</v>
      </c>
      <c r="C93" s="2">
        <v>607.700742</v>
      </c>
      <c r="D93" s="2">
        <v>941.192627</v>
      </c>
      <c r="E93" s="2">
        <v>1080.411619</v>
      </c>
      <c r="F93" s="2">
        <v>1887.694068</v>
      </c>
      <c r="G93" s="2">
        <v>2073.999556</v>
      </c>
      <c r="H93" s="2">
        <v>2513.730078</v>
      </c>
      <c r="I93" s="2">
        <v>3554.784477</v>
      </c>
      <c r="J93" s="2">
        <v>2775.182001</v>
      </c>
      <c r="K93" s="2">
        <v>2161.046787</v>
      </c>
      <c r="L93" s="2">
        <v>1759.942386</v>
      </c>
      <c r="M93" s="2">
        <v>1471.201326</v>
      </c>
      <c r="O93" s="2">
        <v>20826.885667</v>
      </c>
    </row>
    <row r="94" spans="1:15" ht="15.75">
      <c r="A94" s="1" t="s">
        <v>144</v>
      </c>
      <c r="B94" s="2">
        <v>3672</v>
      </c>
      <c r="C94" s="2">
        <v>651.477763</v>
      </c>
      <c r="D94" s="2">
        <v>632.091452</v>
      </c>
      <c r="E94" s="2">
        <v>547.859347</v>
      </c>
      <c r="F94" s="2">
        <v>1202.05811</v>
      </c>
      <c r="G94" s="2">
        <v>1491.309993</v>
      </c>
      <c r="H94" s="2">
        <v>2687.521733</v>
      </c>
      <c r="I94" s="2">
        <v>3429.194496</v>
      </c>
      <c r="J94" s="2">
        <v>4028.817734</v>
      </c>
      <c r="K94" s="2">
        <v>2180.057318</v>
      </c>
      <c r="L94" s="2">
        <v>1839.342916</v>
      </c>
      <c r="M94" s="2">
        <v>1275.022259</v>
      </c>
      <c r="N94" s="2">
        <v>845.905835</v>
      </c>
      <c r="O94" s="2">
        <v>20810.658956000003</v>
      </c>
    </row>
    <row r="95" spans="1:15" ht="15.75">
      <c r="A95" s="1" t="s">
        <v>144</v>
      </c>
      <c r="B95" s="2">
        <v>660</v>
      </c>
      <c r="C95" s="2">
        <v>593.89691</v>
      </c>
      <c r="D95" s="2">
        <v>668.081382</v>
      </c>
      <c r="E95" s="2">
        <v>809.154687</v>
      </c>
      <c r="F95" s="2">
        <v>1532.793438</v>
      </c>
      <c r="G95" s="2">
        <v>2521.348776</v>
      </c>
      <c r="H95" s="2">
        <v>2048.756092</v>
      </c>
      <c r="I95" s="2">
        <v>2800.869267</v>
      </c>
      <c r="J95" s="2">
        <v>2306.503958</v>
      </c>
      <c r="K95" s="2">
        <v>2150.823669</v>
      </c>
      <c r="L95" s="2">
        <v>1919.460712</v>
      </c>
      <c r="M95" s="2">
        <v>1698.383192</v>
      </c>
      <c r="N95" s="2">
        <v>1698.473973</v>
      </c>
      <c r="O95" s="2">
        <v>20748.546056</v>
      </c>
    </row>
    <row r="96" spans="1:15" ht="15.75">
      <c r="A96" s="1" t="s">
        <v>144</v>
      </c>
      <c r="B96" s="2">
        <v>660</v>
      </c>
      <c r="C96" s="2">
        <v>1286.765618</v>
      </c>
      <c r="D96" s="2">
        <v>1098.161612</v>
      </c>
      <c r="E96" s="2">
        <v>1438.042146</v>
      </c>
      <c r="F96" s="2">
        <v>1233.514075</v>
      </c>
      <c r="G96" s="2">
        <v>1760.45381</v>
      </c>
      <c r="H96" s="2">
        <v>1760.768609</v>
      </c>
      <c r="I96" s="2">
        <v>2284.595257</v>
      </c>
      <c r="J96" s="2">
        <v>2364.613238</v>
      </c>
      <c r="K96" s="2">
        <v>2069.764763</v>
      </c>
      <c r="L96" s="2">
        <v>1592.65297</v>
      </c>
      <c r="M96" s="2">
        <v>1998.502783</v>
      </c>
      <c r="N96" s="2">
        <v>1336.350136</v>
      </c>
      <c r="O96" s="2">
        <v>20224.185017</v>
      </c>
    </row>
    <row r="97" spans="1:15" ht="15.75">
      <c r="A97" s="1" t="s">
        <v>144</v>
      </c>
      <c r="B97" s="2">
        <v>660</v>
      </c>
      <c r="C97" s="2">
        <v>1155.638723</v>
      </c>
      <c r="D97" s="2">
        <v>1028.882698</v>
      </c>
      <c r="E97" s="2">
        <v>1060.602177</v>
      </c>
      <c r="F97" s="2">
        <v>1194.43356</v>
      </c>
      <c r="G97" s="2">
        <v>1743.952378</v>
      </c>
      <c r="H97" s="2">
        <v>1917.755193</v>
      </c>
      <c r="I97" s="2">
        <v>2419.586243</v>
      </c>
      <c r="J97" s="2">
        <v>2402.18325</v>
      </c>
      <c r="K97" s="2">
        <v>1965.390479</v>
      </c>
      <c r="L97" s="2">
        <v>1857.122941</v>
      </c>
      <c r="M97" s="2">
        <v>1588.811686</v>
      </c>
      <c r="N97" s="2">
        <v>1433.635586</v>
      </c>
      <c r="O97" s="2">
        <v>19767.994914000003</v>
      </c>
    </row>
    <row r="98" spans="1:15" ht="15.75">
      <c r="A98" s="1" t="s">
        <v>144</v>
      </c>
      <c r="B98" s="2">
        <v>2108</v>
      </c>
      <c r="C98" s="2">
        <v>2067.761917</v>
      </c>
      <c r="D98" s="2">
        <v>2096.506669</v>
      </c>
      <c r="E98" s="2">
        <v>1360.403968</v>
      </c>
      <c r="F98" s="2">
        <v>1928.942408</v>
      </c>
      <c r="G98" s="2">
        <v>1165.357849</v>
      </c>
      <c r="H98" s="2">
        <v>1403.246011</v>
      </c>
      <c r="I98" s="2">
        <v>1815.50792</v>
      </c>
      <c r="J98" s="2">
        <v>2138.930994</v>
      </c>
      <c r="K98" s="2">
        <v>1598.669442</v>
      </c>
      <c r="L98" s="2">
        <v>1163.905441</v>
      </c>
      <c r="M98" s="2">
        <v>1200.288604</v>
      </c>
      <c r="N98" s="2">
        <v>986.869448</v>
      </c>
      <c r="O98" s="2">
        <v>18926.390671</v>
      </c>
    </row>
    <row r="99" spans="1:15" ht="15.75">
      <c r="A99" s="1" t="s">
        <v>144</v>
      </c>
      <c r="B99" s="2">
        <v>660</v>
      </c>
      <c r="C99" s="2">
        <v>1228.765083</v>
      </c>
      <c r="D99" s="2">
        <v>1073.163215</v>
      </c>
      <c r="E99" s="2">
        <v>1347.581696</v>
      </c>
      <c r="F99" s="2">
        <v>1485.673438</v>
      </c>
      <c r="G99" s="2">
        <v>1610.245479</v>
      </c>
      <c r="H99" s="2">
        <v>1575.676033</v>
      </c>
      <c r="I99" s="2">
        <v>1839.300804</v>
      </c>
      <c r="J99" s="2">
        <v>1916.623859</v>
      </c>
      <c r="K99" s="2">
        <v>1809.894371</v>
      </c>
      <c r="L99" s="2">
        <v>1553.790677</v>
      </c>
      <c r="M99" s="2">
        <v>1374.084601</v>
      </c>
      <c r="N99" s="2">
        <v>1953.999475</v>
      </c>
      <c r="O99" s="2">
        <v>18768.798731</v>
      </c>
    </row>
    <row r="100" spans="1:15" ht="15.75">
      <c r="A100" s="1" t="s">
        <v>144</v>
      </c>
      <c r="B100" s="2">
        <v>660</v>
      </c>
      <c r="C100" s="2">
        <v>1275.971182</v>
      </c>
      <c r="D100" s="2">
        <v>1354.00632</v>
      </c>
      <c r="E100" s="2">
        <v>1394.161143</v>
      </c>
      <c r="F100" s="2">
        <v>1026.330017</v>
      </c>
      <c r="G100" s="2">
        <v>1563.52312</v>
      </c>
      <c r="H100" s="2">
        <v>1743.180204</v>
      </c>
      <c r="I100" s="2">
        <v>2733.985571</v>
      </c>
      <c r="J100" s="2">
        <v>2196.309828</v>
      </c>
      <c r="K100" s="2">
        <v>1607.981862</v>
      </c>
      <c r="L100" s="2">
        <v>1031.313145</v>
      </c>
      <c r="M100" s="2">
        <v>1463.20337</v>
      </c>
      <c r="N100" s="2">
        <v>1306.637429</v>
      </c>
      <c r="O100" s="2">
        <v>18696.603191</v>
      </c>
    </row>
    <row r="101" spans="1:15" ht="15.75">
      <c r="A101" s="1" t="s">
        <v>144</v>
      </c>
      <c r="B101" s="2">
        <v>252</v>
      </c>
      <c r="C101" s="2">
        <v>1182.80595</v>
      </c>
      <c r="D101" s="2">
        <v>1371.578572</v>
      </c>
      <c r="E101" s="2">
        <v>1252.474466</v>
      </c>
      <c r="F101" s="2">
        <v>1289.918062</v>
      </c>
      <c r="G101" s="2">
        <v>1533.674154</v>
      </c>
      <c r="H101" s="2">
        <v>1576.29807</v>
      </c>
      <c r="I101" s="2">
        <v>1628.172284</v>
      </c>
      <c r="J101" s="2">
        <v>2184.167983</v>
      </c>
      <c r="K101" s="2">
        <v>1651.98324</v>
      </c>
      <c r="L101" s="2">
        <v>1556.971078</v>
      </c>
      <c r="M101" s="2">
        <v>1605.550567</v>
      </c>
      <c r="N101" s="2">
        <v>1553.514176</v>
      </c>
      <c r="O101" s="2">
        <v>18387.108602</v>
      </c>
    </row>
    <row r="102" spans="1:15" ht="15.75">
      <c r="A102" s="1" t="s">
        <v>144</v>
      </c>
      <c r="B102" s="2">
        <v>660</v>
      </c>
      <c r="C102" s="2">
        <v>911.588751</v>
      </c>
      <c r="D102" s="2">
        <v>910.91419</v>
      </c>
      <c r="E102" s="2">
        <v>1131.916318</v>
      </c>
      <c r="F102" s="2">
        <v>1046.50245</v>
      </c>
      <c r="G102" s="2">
        <v>1721.689049</v>
      </c>
      <c r="H102" s="2">
        <v>1860.212088</v>
      </c>
      <c r="I102" s="2">
        <v>2453.244675</v>
      </c>
      <c r="J102" s="2">
        <v>2376.449882</v>
      </c>
      <c r="K102" s="2">
        <v>1528.333361</v>
      </c>
      <c r="L102" s="2">
        <v>1566.324466</v>
      </c>
      <c r="M102" s="2">
        <v>1342.534886</v>
      </c>
      <c r="N102" s="2">
        <v>1224.130991</v>
      </c>
      <c r="O102" s="2">
        <v>18073.841107</v>
      </c>
    </row>
    <row r="103" spans="1:15" ht="15.75">
      <c r="A103" s="1" t="s">
        <v>144</v>
      </c>
      <c r="B103" s="2">
        <v>660</v>
      </c>
      <c r="C103" s="2">
        <v>730.901553</v>
      </c>
      <c r="D103" s="2">
        <v>1660.629738</v>
      </c>
      <c r="E103" s="2">
        <v>1405.025486</v>
      </c>
      <c r="F103" s="2">
        <v>1149.640323</v>
      </c>
      <c r="G103" s="2">
        <v>1604.854037</v>
      </c>
      <c r="H103" s="2">
        <v>1456.242691</v>
      </c>
      <c r="I103" s="2">
        <v>1632.837636</v>
      </c>
      <c r="J103" s="2">
        <v>1887.340667</v>
      </c>
      <c r="K103" s="2">
        <v>1598.318668</v>
      </c>
      <c r="L103" s="2">
        <v>1180.848724</v>
      </c>
      <c r="M103" s="2">
        <v>1761.432805</v>
      </c>
      <c r="N103" s="2">
        <v>1801.805893</v>
      </c>
      <c r="O103" s="2">
        <v>17869.878221</v>
      </c>
    </row>
    <row r="104" spans="1:15" ht="15.75">
      <c r="A104" s="1" t="s">
        <v>144</v>
      </c>
      <c r="B104" s="2">
        <v>2928</v>
      </c>
      <c r="C104" s="2">
        <v>1420.730446</v>
      </c>
      <c r="D104" s="2">
        <v>1120.722275</v>
      </c>
      <c r="E104" s="2">
        <v>1442.549169</v>
      </c>
      <c r="F104" s="2">
        <v>1197.857461</v>
      </c>
      <c r="G104" s="2">
        <v>1478.533801</v>
      </c>
      <c r="H104" s="2">
        <v>2005.450064</v>
      </c>
      <c r="I104" s="2">
        <v>1688.332186</v>
      </c>
      <c r="J104" s="2">
        <v>2138.368517</v>
      </c>
      <c r="K104" s="2">
        <v>1239.959393</v>
      </c>
      <c r="L104" s="2">
        <v>1273.127119</v>
      </c>
      <c r="M104" s="2">
        <v>1433.851245</v>
      </c>
      <c r="N104" s="2">
        <v>1374.212252</v>
      </c>
      <c r="O104" s="2">
        <v>17813.693928000004</v>
      </c>
    </row>
    <row r="105" spans="1:15" ht="15.75">
      <c r="A105" s="1" t="s">
        <v>144</v>
      </c>
      <c r="B105" s="2">
        <v>660</v>
      </c>
      <c r="C105" s="2">
        <v>1196.455641</v>
      </c>
      <c r="D105" s="2">
        <v>872.587969</v>
      </c>
      <c r="E105" s="2">
        <v>1243.731227</v>
      </c>
      <c r="F105" s="2">
        <v>1261.877239</v>
      </c>
      <c r="G105" s="2">
        <v>1342.341445</v>
      </c>
      <c r="H105" s="2">
        <v>1622.174173</v>
      </c>
      <c r="I105" s="2">
        <v>2153.07423</v>
      </c>
      <c r="J105" s="2">
        <v>1932.236219</v>
      </c>
      <c r="K105" s="2">
        <v>1607.089354</v>
      </c>
      <c r="L105" s="2">
        <v>1463.388878</v>
      </c>
      <c r="M105" s="2">
        <v>1721.170474</v>
      </c>
      <c r="N105" s="2">
        <v>1233.11407</v>
      </c>
      <c r="O105" s="2">
        <v>17649.240919</v>
      </c>
    </row>
    <row r="106" spans="1:15" ht="15.75">
      <c r="A106" s="1" t="s">
        <v>144</v>
      </c>
      <c r="B106" s="2">
        <v>660</v>
      </c>
      <c r="C106" s="2">
        <v>1133.862476</v>
      </c>
      <c r="D106" s="2">
        <v>713.641487</v>
      </c>
      <c r="E106" s="2">
        <v>825.454532</v>
      </c>
      <c r="F106" s="2">
        <v>1322.206269</v>
      </c>
      <c r="G106" s="2">
        <v>1793.870189</v>
      </c>
      <c r="H106" s="2">
        <v>1559.953402</v>
      </c>
      <c r="I106" s="2">
        <v>2446.313496</v>
      </c>
      <c r="J106" s="2">
        <v>2210.766013</v>
      </c>
      <c r="K106" s="2">
        <v>1634.798004</v>
      </c>
      <c r="L106" s="2">
        <v>1641.58164</v>
      </c>
      <c r="M106" s="2">
        <v>1143.542072</v>
      </c>
      <c r="N106" s="2">
        <v>1103.855554</v>
      </c>
      <c r="O106" s="2">
        <v>17529.845134000003</v>
      </c>
    </row>
    <row r="107" spans="1:15" ht="15.75">
      <c r="A107" s="1" t="s">
        <v>144</v>
      </c>
      <c r="B107" s="2">
        <v>660</v>
      </c>
      <c r="C107" s="2">
        <v>1565.980522</v>
      </c>
      <c r="D107" s="2">
        <v>1308.621468</v>
      </c>
      <c r="E107" s="2">
        <v>1127.914295</v>
      </c>
      <c r="F107" s="2">
        <v>821.370088</v>
      </c>
      <c r="G107" s="2">
        <v>1096.598917</v>
      </c>
      <c r="H107" s="2">
        <v>1258.07942</v>
      </c>
      <c r="I107" s="2">
        <v>1698.934238</v>
      </c>
      <c r="J107" s="2">
        <v>1864.784784</v>
      </c>
      <c r="K107" s="2">
        <v>1705.575715</v>
      </c>
      <c r="L107" s="2">
        <v>2109.156811</v>
      </c>
      <c r="M107" s="2">
        <v>1286.015571</v>
      </c>
      <c r="N107" s="2">
        <v>1509.943742</v>
      </c>
      <c r="O107" s="2">
        <v>17352.975571</v>
      </c>
    </row>
    <row r="108" spans="1:15" ht="15.75">
      <c r="A108" s="1" t="s">
        <v>144</v>
      </c>
      <c r="B108" s="2">
        <v>660</v>
      </c>
      <c r="C108" s="2">
        <v>554.351572</v>
      </c>
      <c r="D108" s="2">
        <v>550.495219</v>
      </c>
      <c r="E108" s="2">
        <v>518.054177</v>
      </c>
      <c r="F108" s="2">
        <v>975.93278</v>
      </c>
      <c r="G108" s="2">
        <v>1367.331235</v>
      </c>
      <c r="H108" s="2">
        <v>1941.456264</v>
      </c>
      <c r="I108" s="2">
        <v>2836.662741</v>
      </c>
      <c r="J108" s="2">
        <v>2225.525298</v>
      </c>
      <c r="K108" s="2">
        <v>2083.41412</v>
      </c>
      <c r="L108" s="2">
        <v>1705.308481</v>
      </c>
      <c r="M108" s="2">
        <v>1360.272439</v>
      </c>
      <c r="N108" s="2">
        <v>1158.416743</v>
      </c>
      <c r="O108" s="2">
        <v>17277.221069</v>
      </c>
    </row>
    <row r="109" spans="1:15" ht="15.75">
      <c r="A109" s="1" t="s">
        <v>144</v>
      </c>
      <c r="B109" s="2">
        <v>1320</v>
      </c>
      <c r="C109" s="2">
        <v>498.073662</v>
      </c>
      <c r="D109" s="2">
        <v>436.659881</v>
      </c>
      <c r="E109" s="2">
        <v>518.71873</v>
      </c>
      <c r="F109" s="2">
        <v>1110.151132</v>
      </c>
      <c r="G109" s="2">
        <v>1565.12515</v>
      </c>
      <c r="H109" s="2">
        <v>1954.638735</v>
      </c>
      <c r="I109" s="2">
        <v>2102.823309</v>
      </c>
      <c r="J109" s="2">
        <v>2351.467455</v>
      </c>
      <c r="K109" s="2">
        <v>1831.61501</v>
      </c>
      <c r="L109" s="2">
        <v>1923.657574</v>
      </c>
      <c r="M109" s="2">
        <v>1882.47815</v>
      </c>
      <c r="N109" s="2">
        <v>918.345964</v>
      </c>
      <c r="O109" s="2">
        <v>17093.754752</v>
      </c>
    </row>
    <row r="110" spans="1:15" ht="15.75">
      <c r="A110" s="1" t="s">
        <v>144</v>
      </c>
      <c r="B110" s="2">
        <v>660</v>
      </c>
      <c r="C110" s="2">
        <v>672.656051</v>
      </c>
      <c r="D110" s="2">
        <v>921.861794</v>
      </c>
      <c r="E110" s="2">
        <v>873.921163</v>
      </c>
      <c r="F110" s="2">
        <v>1032.415654</v>
      </c>
      <c r="G110" s="2">
        <v>1452.129648</v>
      </c>
      <c r="H110" s="2">
        <v>1652.198697</v>
      </c>
      <c r="I110" s="2">
        <v>1986.513104</v>
      </c>
      <c r="J110" s="2">
        <v>2318.23789</v>
      </c>
      <c r="K110" s="2">
        <v>1637.309157</v>
      </c>
      <c r="L110" s="2">
        <v>1287.108937</v>
      </c>
      <c r="M110" s="2">
        <v>1392.879903</v>
      </c>
      <c r="N110" s="2">
        <v>1043.531586</v>
      </c>
      <c r="O110" s="2">
        <v>16270.763584</v>
      </c>
    </row>
    <row r="111" spans="1:15" ht="15.75">
      <c r="A111" s="1" t="s">
        <v>144</v>
      </c>
      <c r="B111" s="2">
        <v>660</v>
      </c>
      <c r="C111" s="2">
        <v>1404.834071</v>
      </c>
      <c r="D111" s="2">
        <v>1221.194437</v>
      </c>
      <c r="E111" s="2">
        <v>1386.85962</v>
      </c>
      <c r="F111" s="2">
        <v>1251.856791</v>
      </c>
      <c r="G111" s="2">
        <v>1347.647994</v>
      </c>
      <c r="H111" s="2">
        <v>1263.96671</v>
      </c>
      <c r="I111" s="2">
        <v>1365.235348</v>
      </c>
      <c r="J111" s="2">
        <v>1377.776855</v>
      </c>
      <c r="K111" s="2">
        <v>1210.87137</v>
      </c>
      <c r="L111" s="2">
        <v>1338.138565</v>
      </c>
      <c r="M111" s="2">
        <v>1433.883287</v>
      </c>
      <c r="N111" s="2">
        <v>1439.043422</v>
      </c>
      <c r="O111" s="2">
        <v>16041.308470000002</v>
      </c>
    </row>
    <row r="112" spans="1:15" ht="15.75">
      <c r="A112" s="1" t="s">
        <v>144</v>
      </c>
      <c r="B112" s="2">
        <v>2454</v>
      </c>
      <c r="C112" s="2">
        <v>1058.657628</v>
      </c>
      <c r="D112" s="2">
        <v>1281.365756</v>
      </c>
      <c r="E112" s="2">
        <v>1505.027275</v>
      </c>
      <c r="F112" s="2">
        <v>825.037611</v>
      </c>
      <c r="G112" s="2">
        <v>1598.34211</v>
      </c>
      <c r="H112" s="2">
        <v>1224.433195</v>
      </c>
      <c r="I112" s="2">
        <v>1454.138897</v>
      </c>
      <c r="J112" s="2">
        <v>1398.563666</v>
      </c>
      <c r="K112" s="2">
        <v>1507.261932</v>
      </c>
      <c r="L112" s="2">
        <v>1440.28557</v>
      </c>
      <c r="M112" s="2">
        <v>1422.232291</v>
      </c>
      <c r="N112" s="2">
        <v>1249.331657</v>
      </c>
      <c r="O112" s="2">
        <v>15964.677588</v>
      </c>
    </row>
    <row r="113" spans="1:15" ht="15.75">
      <c r="A113" s="1" t="s">
        <v>144</v>
      </c>
      <c r="B113" s="2">
        <v>660</v>
      </c>
      <c r="C113" s="2">
        <v>992.763422</v>
      </c>
      <c r="D113" s="2">
        <v>779.582677</v>
      </c>
      <c r="E113" s="2">
        <v>1163.81421</v>
      </c>
      <c r="F113" s="2">
        <v>730.033314</v>
      </c>
      <c r="G113" s="2">
        <v>1392.675779</v>
      </c>
      <c r="H113" s="2">
        <v>1257.425961</v>
      </c>
      <c r="I113" s="2">
        <v>2536.212874</v>
      </c>
      <c r="J113" s="2">
        <v>3004.077031</v>
      </c>
      <c r="K113" s="2">
        <v>1984.322135</v>
      </c>
      <c r="L113" s="2">
        <v>896.329273</v>
      </c>
      <c r="M113" s="2">
        <v>462.084245</v>
      </c>
      <c r="N113" s="2">
        <v>373.524738</v>
      </c>
      <c r="O113" s="2">
        <v>15572.845658999999</v>
      </c>
    </row>
    <row r="114" spans="1:15" ht="15.75">
      <c r="A114" s="1" t="s">
        <v>144</v>
      </c>
      <c r="B114" s="2">
        <v>660</v>
      </c>
      <c r="C114" s="2">
        <v>1043.807369</v>
      </c>
      <c r="D114" s="2">
        <v>1019.938108</v>
      </c>
      <c r="E114" s="2">
        <v>1157.030369</v>
      </c>
      <c r="F114" s="2">
        <v>1186.178876</v>
      </c>
      <c r="G114" s="2">
        <v>1519.502273</v>
      </c>
      <c r="H114" s="2">
        <v>1150.18189</v>
      </c>
      <c r="I114" s="2">
        <v>1503.430896</v>
      </c>
      <c r="J114" s="2">
        <v>1980.838861</v>
      </c>
      <c r="K114" s="2">
        <v>1451.967089</v>
      </c>
      <c r="L114" s="2">
        <v>1252.907089</v>
      </c>
      <c r="M114" s="2">
        <v>1140.902023</v>
      </c>
      <c r="N114" s="2">
        <v>1040.53167</v>
      </c>
      <c r="O114" s="2">
        <v>15447.216513000001</v>
      </c>
    </row>
    <row r="115" spans="1:15" ht="15.75">
      <c r="A115" s="1" t="s">
        <v>144</v>
      </c>
      <c r="B115" s="2">
        <v>660</v>
      </c>
      <c r="C115" s="2">
        <v>908.843043</v>
      </c>
      <c r="D115" s="2">
        <v>579.367621</v>
      </c>
      <c r="E115" s="2">
        <v>668.161157</v>
      </c>
      <c r="F115" s="2">
        <v>901.310931</v>
      </c>
      <c r="G115" s="2">
        <v>1422.232911</v>
      </c>
      <c r="H115" s="2">
        <v>1414.809521</v>
      </c>
      <c r="I115" s="2">
        <v>2067.082531</v>
      </c>
      <c r="J115" s="2">
        <v>1921.650533</v>
      </c>
      <c r="K115" s="2">
        <v>1591.876524</v>
      </c>
      <c r="L115" s="2">
        <v>1664.433974</v>
      </c>
      <c r="M115" s="2">
        <v>1286.293504</v>
      </c>
      <c r="N115" s="2">
        <v>1018.184709</v>
      </c>
      <c r="O115" s="2">
        <v>15444.246958999996</v>
      </c>
    </row>
    <row r="116" spans="1:15" ht="15.75">
      <c r="A116" s="1" t="s">
        <v>144</v>
      </c>
      <c r="B116" s="2">
        <v>660</v>
      </c>
      <c r="C116" s="2">
        <v>670.717147</v>
      </c>
      <c r="D116" s="2">
        <v>939.780864</v>
      </c>
      <c r="E116" s="2">
        <v>1301.496516</v>
      </c>
      <c r="F116" s="2">
        <v>982.734854</v>
      </c>
      <c r="G116" s="2">
        <v>1464.98389</v>
      </c>
      <c r="H116" s="2">
        <v>1233.181106</v>
      </c>
      <c r="I116" s="2">
        <v>1610.570316</v>
      </c>
      <c r="J116" s="2">
        <v>1594.28952</v>
      </c>
      <c r="K116" s="2">
        <v>1387.269425</v>
      </c>
      <c r="L116" s="2">
        <v>1163.6065</v>
      </c>
      <c r="M116" s="2">
        <v>1502.059701</v>
      </c>
      <c r="N116" s="2">
        <v>1533.412561</v>
      </c>
      <c r="O116" s="2">
        <v>15384.1024</v>
      </c>
    </row>
    <row r="117" spans="1:15" ht="15.75">
      <c r="A117" s="1" t="s">
        <v>144</v>
      </c>
      <c r="B117" s="2">
        <v>660</v>
      </c>
      <c r="C117" s="2">
        <v>1076.864677</v>
      </c>
      <c r="D117" s="2">
        <v>963.726635</v>
      </c>
      <c r="E117" s="2">
        <v>1121.68002</v>
      </c>
      <c r="F117" s="2">
        <v>1186.709562</v>
      </c>
      <c r="G117" s="2">
        <v>1086.017963</v>
      </c>
      <c r="H117" s="2">
        <v>1344.838693</v>
      </c>
      <c r="I117" s="2">
        <v>1546.205687</v>
      </c>
      <c r="J117" s="2">
        <v>1657.778945</v>
      </c>
      <c r="K117" s="2">
        <v>1663.571409</v>
      </c>
      <c r="L117" s="2">
        <v>1083.698436</v>
      </c>
      <c r="M117" s="2">
        <v>1347.781671</v>
      </c>
      <c r="N117" s="2">
        <v>1218.314625</v>
      </c>
      <c r="O117" s="2">
        <v>15297.188323000002</v>
      </c>
    </row>
    <row r="118" spans="1:15" ht="15.75">
      <c r="A118" s="1" t="s">
        <v>144</v>
      </c>
      <c r="B118" s="2">
        <v>693</v>
      </c>
      <c r="C118" s="2">
        <v>791.561086</v>
      </c>
      <c r="D118" s="2">
        <v>625.535491</v>
      </c>
      <c r="E118" s="2">
        <v>733.178546</v>
      </c>
      <c r="F118" s="2">
        <v>688.709374</v>
      </c>
      <c r="G118" s="2">
        <v>933.972169</v>
      </c>
      <c r="H118" s="2">
        <v>1452.508721</v>
      </c>
      <c r="I118" s="2">
        <v>1771.52512</v>
      </c>
      <c r="J118" s="2">
        <v>3063.008021</v>
      </c>
      <c r="L118" s="2">
        <v>3058.286737</v>
      </c>
      <c r="M118" s="2">
        <v>1108.641742</v>
      </c>
      <c r="N118" s="2">
        <v>932.068225</v>
      </c>
      <c r="O118" s="2">
        <v>15158.995232000001</v>
      </c>
    </row>
    <row r="119" spans="1:15" ht="15.75">
      <c r="A119" s="1" t="s">
        <v>144</v>
      </c>
      <c r="B119" s="2">
        <v>1765</v>
      </c>
      <c r="C119" s="2">
        <v>574.202571</v>
      </c>
      <c r="D119" s="2">
        <v>670.385009</v>
      </c>
      <c r="E119" s="2">
        <v>757.272357</v>
      </c>
      <c r="F119" s="2">
        <v>618.02965</v>
      </c>
      <c r="G119" s="2">
        <v>845.025658</v>
      </c>
      <c r="H119" s="2">
        <v>1670.292519</v>
      </c>
      <c r="I119" s="2">
        <v>2171.722312</v>
      </c>
      <c r="J119" s="2">
        <v>2172.595469</v>
      </c>
      <c r="K119" s="2">
        <v>1811.096848</v>
      </c>
      <c r="L119" s="2">
        <v>1650.86599</v>
      </c>
      <c r="M119" s="2">
        <v>1323.194995</v>
      </c>
      <c r="N119" s="2">
        <v>824.937699</v>
      </c>
      <c r="O119" s="2">
        <v>15089.621077</v>
      </c>
    </row>
    <row r="120" spans="1:15" ht="15.75">
      <c r="A120" s="1" t="s">
        <v>144</v>
      </c>
      <c r="B120" s="2">
        <v>660</v>
      </c>
      <c r="C120" s="2">
        <v>681.19112</v>
      </c>
      <c r="D120" s="2">
        <v>454.701136</v>
      </c>
      <c r="E120" s="2">
        <v>626.538158</v>
      </c>
      <c r="F120" s="2">
        <v>678.613513</v>
      </c>
      <c r="G120" s="2">
        <v>1295.653668</v>
      </c>
      <c r="H120" s="2">
        <v>1395.766309</v>
      </c>
      <c r="I120" s="2">
        <v>2011.488088</v>
      </c>
      <c r="J120" s="2">
        <v>2069.240167</v>
      </c>
      <c r="K120" s="2">
        <v>2002.599745</v>
      </c>
      <c r="L120" s="2">
        <v>1463.969956</v>
      </c>
      <c r="M120" s="2">
        <v>1233.372742</v>
      </c>
      <c r="N120" s="2">
        <v>1070.023671</v>
      </c>
      <c r="O120" s="2">
        <v>14983.158272999997</v>
      </c>
    </row>
    <row r="121" spans="1:15" ht="15.75">
      <c r="A121" s="1" t="s">
        <v>144</v>
      </c>
      <c r="B121" s="2">
        <v>660</v>
      </c>
      <c r="C121" s="2">
        <v>1255.677371</v>
      </c>
      <c r="D121" s="2">
        <v>1246.982312</v>
      </c>
      <c r="E121" s="2">
        <v>1534.597913</v>
      </c>
      <c r="F121" s="2">
        <v>1280.813391</v>
      </c>
      <c r="G121" s="2">
        <v>1470.601535</v>
      </c>
      <c r="H121" s="2">
        <v>1320.047259</v>
      </c>
      <c r="I121" s="2">
        <v>1115.11182</v>
      </c>
      <c r="J121" s="2">
        <v>1146.547127</v>
      </c>
      <c r="K121" s="2">
        <v>1170.660034</v>
      </c>
      <c r="L121" s="2">
        <v>1101.691747</v>
      </c>
      <c r="M121" s="2">
        <v>1407.607405</v>
      </c>
      <c r="N121" s="2">
        <v>925.284541</v>
      </c>
      <c r="O121" s="2">
        <v>14975.622455</v>
      </c>
    </row>
    <row r="122" spans="1:15" ht="15.75">
      <c r="A122" s="1" t="s">
        <v>144</v>
      </c>
      <c r="B122" s="2">
        <v>660</v>
      </c>
      <c r="C122" s="2">
        <v>726.340981</v>
      </c>
      <c r="D122" s="2">
        <v>552.055263</v>
      </c>
      <c r="E122" s="2">
        <v>637.50815</v>
      </c>
      <c r="F122" s="2">
        <v>1033.094965</v>
      </c>
      <c r="G122" s="2">
        <v>1465.780278</v>
      </c>
      <c r="H122" s="2">
        <v>1448.533337</v>
      </c>
      <c r="I122" s="2">
        <v>1723.806311</v>
      </c>
      <c r="J122" s="2">
        <v>2027.467824</v>
      </c>
      <c r="K122" s="2">
        <v>1430.614108</v>
      </c>
      <c r="L122" s="2">
        <v>1440.76964</v>
      </c>
      <c r="M122" s="2">
        <v>1198.34068</v>
      </c>
      <c r="N122" s="2">
        <v>1091.235748</v>
      </c>
      <c r="O122" s="2">
        <v>14775.547285</v>
      </c>
    </row>
    <row r="123" spans="1:15" ht="15.75">
      <c r="A123" s="1" t="s">
        <v>144</v>
      </c>
      <c r="B123" s="2">
        <v>660</v>
      </c>
      <c r="C123" s="2">
        <v>716.401542</v>
      </c>
      <c r="D123" s="2">
        <v>630.1447</v>
      </c>
      <c r="E123" s="2">
        <v>700.058334</v>
      </c>
      <c r="F123" s="2">
        <v>813.251834</v>
      </c>
      <c r="G123" s="2">
        <v>1117.358943</v>
      </c>
      <c r="H123" s="2">
        <v>1388.944589</v>
      </c>
      <c r="I123" s="2">
        <v>2281.202053</v>
      </c>
      <c r="J123" s="2">
        <v>2384.010696</v>
      </c>
      <c r="K123" s="2">
        <v>1680.570148</v>
      </c>
      <c r="L123" s="2">
        <v>1703.637154</v>
      </c>
      <c r="M123" s="2">
        <v>225.840264</v>
      </c>
      <c r="N123" s="2">
        <v>1055.576161</v>
      </c>
      <c r="O123" s="2">
        <v>14696.996417999999</v>
      </c>
    </row>
    <row r="124" spans="1:15" ht="15.75">
      <c r="A124" s="1" t="s">
        <v>144</v>
      </c>
      <c r="B124" s="2">
        <v>660</v>
      </c>
      <c r="C124" s="2">
        <v>490.593243</v>
      </c>
      <c r="D124" s="2">
        <v>636.28986</v>
      </c>
      <c r="E124" s="2">
        <v>694.46914</v>
      </c>
      <c r="F124" s="2">
        <v>933.658273</v>
      </c>
      <c r="G124" s="2">
        <v>1526.40818</v>
      </c>
      <c r="H124" s="2">
        <v>1448.62194</v>
      </c>
      <c r="I124" s="2">
        <v>1735.934778</v>
      </c>
      <c r="J124" s="2">
        <v>1557.678799</v>
      </c>
      <c r="K124" s="2">
        <v>1593.990253</v>
      </c>
      <c r="L124" s="2">
        <v>1575.052441</v>
      </c>
      <c r="M124" s="2">
        <v>1261.640794</v>
      </c>
      <c r="N124" s="2">
        <v>1175.896038</v>
      </c>
      <c r="O124" s="2">
        <v>14630.233739000001</v>
      </c>
    </row>
    <row r="125" spans="1:15" ht="15.75">
      <c r="A125" s="1" t="s">
        <v>144</v>
      </c>
      <c r="B125" s="2">
        <v>660</v>
      </c>
      <c r="C125" s="2">
        <v>578.41487</v>
      </c>
      <c r="D125" s="2">
        <v>649.523025</v>
      </c>
      <c r="E125" s="2">
        <v>593.156149</v>
      </c>
      <c r="F125" s="2">
        <v>625.470326</v>
      </c>
      <c r="G125" s="2">
        <v>1298.333023</v>
      </c>
      <c r="H125" s="2">
        <v>1686.387419</v>
      </c>
      <c r="I125" s="2">
        <v>2067.66671</v>
      </c>
      <c r="J125" s="2">
        <v>2520.895373</v>
      </c>
      <c r="K125" s="2">
        <v>1585.381248</v>
      </c>
      <c r="L125" s="2">
        <v>1343.00847</v>
      </c>
      <c r="M125" s="2">
        <v>1085.513438</v>
      </c>
      <c r="N125" s="2">
        <v>570.011666</v>
      </c>
      <c r="O125" s="2">
        <v>14603.761717</v>
      </c>
    </row>
    <row r="126" spans="1:15" ht="15.75">
      <c r="A126" s="1" t="s">
        <v>144</v>
      </c>
      <c r="B126" s="2">
        <v>900</v>
      </c>
      <c r="C126" s="2">
        <v>715.151464</v>
      </c>
      <c r="D126" s="2">
        <v>730.352795</v>
      </c>
      <c r="E126" s="2">
        <v>912.272379</v>
      </c>
      <c r="F126" s="2">
        <v>982.194116</v>
      </c>
      <c r="G126" s="2">
        <v>1366.174619</v>
      </c>
      <c r="H126" s="2">
        <v>1307.119121</v>
      </c>
      <c r="I126" s="2">
        <v>2081.765008</v>
      </c>
      <c r="J126" s="2">
        <v>1861.727044</v>
      </c>
      <c r="K126" s="2">
        <v>1339.898746</v>
      </c>
      <c r="L126" s="2">
        <v>1211.275857</v>
      </c>
      <c r="M126" s="2">
        <v>949.094051</v>
      </c>
      <c r="N126" s="2">
        <v>1006.74802</v>
      </c>
      <c r="O126" s="2">
        <v>14463.77322</v>
      </c>
    </row>
    <row r="127" spans="1:15" ht="15.75">
      <c r="A127" s="1" t="s">
        <v>144</v>
      </c>
      <c r="B127" s="2">
        <v>660</v>
      </c>
      <c r="C127" s="2">
        <v>1040.186268</v>
      </c>
      <c r="D127" s="2">
        <v>1150.834339</v>
      </c>
      <c r="E127" s="2">
        <v>1210.648521</v>
      </c>
      <c r="F127" s="2">
        <v>915.612626</v>
      </c>
      <c r="G127" s="2">
        <v>1122.885975</v>
      </c>
      <c r="H127" s="2">
        <v>1052.616091</v>
      </c>
      <c r="I127" s="2">
        <v>1111.960361</v>
      </c>
      <c r="J127" s="2">
        <v>1723.28778</v>
      </c>
      <c r="K127" s="2">
        <v>1625.027059</v>
      </c>
      <c r="L127" s="2">
        <v>1177.610866</v>
      </c>
      <c r="M127" s="2">
        <v>1185.273236</v>
      </c>
      <c r="N127" s="2">
        <v>1090.726946</v>
      </c>
      <c r="O127" s="2">
        <v>14406.670068000001</v>
      </c>
    </row>
    <row r="128" spans="1:15" ht="15.75">
      <c r="A128" s="1" t="s">
        <v>144</v>
      </c>
      <c r="B128" s="2">
        <v>660</v>
      </c>
      <c r="C128" s="2">
        <v>645.943289</v>
      </c>
      <c r="D128" s="2">
        <v>557.158483</v>
      </c>
      <c r="E128" s="2">
        <v>651.682086</v>
      </c>
      <c r="F128" s="2">
        <v>681.108034</v>
      </c>
      <c r="G128" s="2">
        <v>1017.0525</v>
      </c>
      <c r="H128" s="2">
        <v>1457.789783</v>
      </c>
      <c r="I128" s="2">
        <v>2202.515199</v>
      </c>
      <c r="J128" s="2">
        <v>2530.283201</v>
      </c>
      <c r="K128" s="2">
        <v>1558.3164</v>
      </c>
      <c r="L128" s="2">
        <v>1165.87295</v>
      </c>
      <c r="M128" s="2">
        <v>1133.080459</v>
      </c>
      <c r="N128" s="2">
        <v>720.950215</v>
      </c>
      <c r="O128" s="2">
        <v>14321.752599000003</v>
      </c>
    </row>
    <row r="129" spans="1:15" ht="15.75">
      <c r="A129" s="1" t="s">
        <v>144</v>
      </c>
      <c r="B129" s="2">
        <v>660</v>
      </c>
      <c r="C129" s="2">
        <v>415.704488</v>
      </c>
      <c r="D129" s="2">
        <v>399.836167</v>
      </c>
      <c r="E129" s="2">
        <v>398.402037</v>
      </c>
      <c r="F129" s="2">
        <v>558.439482</v>
      </c>
      <c r="G129" s="2">
        <v>1000.591817</v>
      </c>
      <c r="H129" s="2">
        <v>2092.964968</v>
      </c>
      <c r="I129" s="2">
        <v>2962.069923</v>
      </c>
      <c r="J129" s="2">
        <v>2568.584265</v>
      </c>
      <c r="K129" s="2">
        <v>1484.145599</v>
      </c>
      <c r="L129" s="2">
        <v>1212.123654</v>
      </c>
      <c r="M129" s="2">
        <v>605.345949</v>
      </c>
      <c r="N129" s="2">
        <v>426.505634</v>
      </c>
      <c r="O129" s="2">
        <v>14124.713982999998</v>
      </c>
    </row>
    <row r="130" spans="1:15" ht="15.75">
      <c r="A130" s="1" t="s">
        <v>144</v>
      </c>
      <c r="B130" s="2">
        <v>605</v>
      </c>
      <c r="C130" s="2">
        <v>1252.421389</v>
      </c>
      <c r="D130" s="2">
        <v>1183.620987</v>
      </c>
      <c r="E130" s="2">
        <v>1355.98302</v>
      </c>
      <c r="F130" s="2">
        <v>1182.107076</v>
      </c>
      <c r="G130" s="2">
        <v>1320.62647</v>
      </c>
      <c r="H130" s="2">
        <v>1177.778917</v>
      </c>
      <c r="I130" s="2">
        <v>1379.525443</v>
      </c>
      <c r="J130" s="2">
        <v>1331.679842</v>
      </c>
      <c r="K130" s="2">
        <v>1390.312147</v>
      </c>
      <c r="L130" s="2">
        <v>1297.029296</v>
      </c>
      <c r="M130" s="2">
        <v>1221.316034</v>
      </c>
      <c r="O130" s="2">
        <v>14092.400621</v>
      </c>
    </row>
    <row r="131" spans="1:15" ht="15.75">
      <c r="A131" s="1" t="s">
        <v>144</v>
      </c>
      <c r="B131" s="2">
        <v>660</v>
      </c>
      <c r="C131" s="2">
        <v>851.153593</v>
      </c>
      <c r="D131" s="2">
        <v>735.000953</v>
      </c>
      <c r="E131" s="2">
        <v>1089.927984</v>
      </c>
      <c r="F131" s="2">
        <v>1109.565203</v>
      </c>
      <c r="G131" s="2">
        <v>1303.775933</v>
      </c>
      <c r="H131" s="2">
        <v>1462.01751</v>
      </c>
      <c r="I131" s="2">
        <v>1779.694052</v>
      </c>
      <c r="J131" s="2">
        <v>1643.341509</v>
      </c>
      <c r="K131" s="2">
        <v>1099.130601</v>
      </c>
      <c r="L131" s="2">
        <v>971.110388</v>
      </c>
      <c r="M131" s="2">
        <v>962.756564</v>
      </c>
      <c r="N131" s="2">
        <v>825.962975</v>
      </c>
      <c r="O131" s="2">
        <v>13833.437264999999</v>
      </c>
    </row>
    <row r="132" spans="1:15" ht="15.75">
      <c r="A132" s="1" t="s">
        <v>144</v>
      </c>
      <c r="B132" s="2">
        <v>660</v>
      </c>
      <c r="C132" s="2">
        <v>443.531493</v>
      </c>
      <c r="D132" s="2">
        <v>449.680113</v>
      </c>
      <c r="E132" s="2">
        <v>587.754902</v>
      </c>
      <c r="F132" s="2">
        <v>948.903347</v>
      </c>
      <c r="G132" s="2">
        <v>1063.341175</v>
      </c>
      <c r="H132" s="2">
        <v>1552.585001</v>
      </c>
      <c r="I132" s="2">
        <v>2085.960696</v>
      </c>
      <c r="J132" s="2">
        <v>1828.003423</v>
      </c>
      <c r="K132" s="2">
        <v>1549.499823</v>
      </c>
      <c r="L132" s="2">
        <v>1341.827498</v>
      </c>
      <c r="M132" s="2">
        <v>1084.131444</v>
      </c>
      <c r="N132" s="2">
        <v>864.519393</v>
      </c>
      <c r="O132" s="2">
        <v>13799.738308000002</v>
      </c>
    </row>
    <row r="133" spans="1:15" ht="15.75">
      <c r="A133" s="1" t="s">
        <v>144</v>
      </c>
      <c r="B133" s="2">
        <v>660</v>
      </c>
      <c r="C133" s="2">
        <v>1236.519409</v>
      </c>
      <c r="D133" s="2">
        <v>1306.887049</v>
      </c>
      <c r="E133" s="2">
        <v>1248.716886</v>
      </c>
      <c r="F133" s="2">
        <v>712.908954</v>
      </c>
      <c r="G133" s="2">
        <v>1031.966308</v>
      </c>
      <c r="H133" s="2">
        <v>846.129039</v>
      </c>
      <c r="I133" s="2">
        <v>1325.288915</v>
      </c>
      <c r="J133" s="2">
        <v>1382.28197</v>
      </c>
      <c r="K133" s="2">
        <v>1116.89093</v>
      </c>
      <c r="L133" s="2">
        <v>1236.054359</v>
      </c>
      <c r="M133" s="2">
        <v>1043.793978</v>
      </c>
      <c r="N133" s="2">
        <v>1113.74159</v>
      </c>
      <c r="O133" s="2">
        <v>13601.179387</v>
      </c>
    </row>
    <row r="134" spans="1:15" ht="15.75">
      <c r="A134" s="1" t="s">
        <v>144</v>
      </c>
      <c r="B134" s="2">
        <v>780</v>
      </c>
      <c r="C134" s="2">
        <v>526.200565</v>
      </c>
      <c r="D134" s="2">
        <v>590.945235</v>
      </c>
      <c r="E134" s="2">
        <v>701.38327</v>
      </c>
      <c r="F134" s="2">
        <v>1018.288436</v>
      </c>
      <c r="G134" s="2">
        <v>1160.701627</v>
      </c>
      <c r="H134" s="2">
        <v>1530.305749</v>
      </c>
      <c r="I134" s="2">
        <v>1799.216254</v>
      </c>
      <c r="J134" s="2">
        <v>1867.664424</v>
      </c>
      <c r="K134" s="2">
        <v>1142.406747</v>
      </c>
      <c r="L134" s="2">
        <v>1633.678372</v>
      </c>
      <c r="M134" s="2">
        <v>904.621517</v>
      </c>
      <c r="N134" s="2">
        <v>690.259209</v>
      </c>
      <c r="O134" s="2">
        <v>13565.671405</v>
      </c>
    </row>
    <row r="135" spans="1:15" ht="15.75">
      <c r="A135" s="1" t="s">
        <v>144</v>
      </c>
      <c r="B135" s="2">
        <v>660</v>
      </c>
      <c r="C135" s="2">
        <v>520.606597</v>
      </c>
      <c r="D135" s="2">
        <v>541.023739</v>
      </c>
      <c r="E135" s="2">
        <v>535.926957</v>
      </c>
      <c r="F135" s="2">
        <v>721.328292</v>
      </c>
      <c r="G135" s="2">
        <v>1233.207717</v>
      </c>
      <c r="H135" s="2">
        <v>1463.075884</v>
      </c>
      <c r="I135" s="2">
        <v>2067.993859</v>
      </c>
      <c r="J135" s="2">
        <v>1706.261599</v>
      </c>
      <c r="K135" s="2">
        <v>1480.615446</v>
      </c>
      <c r="L135" s="2">
        <v>1374.242625</v>
      </c>
      <c r="M135" s="2">
        <v>1169.497767</v>
      </c>
      <c r="N135" s="2">
        <v>743.555397</v>
      </c>
      <c r="O135" s="2">
        <v>13557.335879000002</v>
      </c>
    </row>
    <row r="136" spans="1:15" ht="15.75">
      <c r="A136" s="1" t="s">
        <v>144</v>
      </c>
      <c r="B136" s="2">
        <v>720</v>
      </c>
      <c r="C136" s="2">
        <v>662.783691</v>
      </c>
      <c r="D136" s="2">
        <v>549.788448</v>
      </c>
      <c r="E136" s="2">
        <v>622.588581</v>
      </c>
      <c r="F136" s="2">
        <v>744.380802</v>
      </c>
      <c r="G136" s="2">
        <v>1148.724585</v>
      </c>
      <c r="H136" s="2">
        <v>1547.334912</v>
      </c>
      <c r="I136" s="2">
        <v>1761.051444</v>
      </c>
      <c r="J136" s="2">
        <v>1509.869748</v>
      </c>
      <c r="K136" s="2">
        <v>1409.406508</v>
      </c>
      <c r="L136" s="2">
        <v>1448.90018</v>
      </c>
      <c r="M136" s="2">
        <v>1120.889727</v>
      </c>
      <c r="N136" s="2">
        <v>909.307787</v>
      </c>
      <c r="O136" s="2">
        <v>13435.026413</v>
      </c>
    </row>
    <row r="137" spans="1:15" ht="15.75">
      <c r="A137" s="1" t="s">
        <v>144</v>
      </c>
      <c r="B137" s="2">
        <v>660</v>
      </c>
      <c r="C137" s="2">
        <v>426.238425</v>
      </c>
      <c r="D137" s="2">
        <v>430.586338</v>
      </c>
      <c r="E137" s="2">
        <v>652.870096</v>
      </c>
      <c r="F137" s="2">
        <v>777.940793</v>
      </c>
      <c r="G137" s="2">
        <v>1010.502792</v>
      </c>
      <c r="H137" s="2">
        <v>1614.15332</v>
      </c>
      <c r="I137" s="2">
        <v>2238.230542</v>
      </c>
      <c r="J137" s="2">
        <v>2024.781116</v>
      </c>
      <c r="K137" s="2">
        <v>1600.70816</v>
      </c>
      <c r="L137" s="2">
        <v>1193.774148</v>
      </c>
      <c r="M137" s="2">
        <v>806.485213</v>
      </c>
      <c r="N137" s="2">
        <v>656.396542</v>
      </c>
      <c r="O137" s="2">
        <v>13432.667485</v>
      </c>
    </row>
    <row r="138" spans="1:15" ht="15.75">
      <c r="A138" s="1" t="s">
        <v>144</v>
      </c>
      <c r="B138" s="2">
        <v>660</v>
      </c>
      <c r="C138" s="2">
        <v>336.759287</v>
      </c>
      <c r="D138" s="2">
        <v>365.660824</v>
      </c>
      <c r="E138" s="2">
        <v>526.015268</v>
      </c>
      <c r="F138" s="2">
        <v>1237.21068</v>
      </c>
      <c r="G138" s="2">
        <v>1029.442234</v>
      </c>
      <c r="H138" s="2">
        <v>1457.140671</v>
      </c>
      <c r="I138" s="2">
        <v>1792.373777</v>
      </c>
      <c r="J138" s="2">
        <v>1292.023188</v>
      </c>
      <c r="K138" s="2">
        <v>1725.562453</v>
      </c>
      <c r="L138" s="2">
        <v>1520.162014</v>
      </c>
      <c r="M138" s="2">
        <v>1445.389152</v>
      </c>
      <c r="N138" s="2">
        <v>656.725406</v>
      </c>
      <c r="O138" s="2">
        <v>13384.464954</v>
      </c>
    </row>
    <row r="139" spans="1:15" ht="15.75">
      <c r="A139" s="1" t="s">
        <v>144</v>
      </c>
      <c r="B139" s="2">
        <v>660</v>
      </c>
      <c r="C139" s="2">
        <v>932.091782</v>
      </c>
      <c r="D139" s="2">
        <v>900.591094</v>
      </c>
      <c r="E139" s="2">
        <v>993.254494</v>
      </c>
      <c r="F139" s="2">
        <v>892.460041</v>
      </c>
      <c r="G139" s="2">
        <v>1161.157791</v>
      </c>
      <c r="H139" s="2">
        <v>979.31756</v>
      </c>
      <c r="I139" s="2">
        <v>1770.82002</v>
      </c>
      <c r="J139" s="2">
        <v>1342.515123</v>
      </c>
      <c r="K139" s="2">
        <v>1192.220529</v>
      </c>
      <c r="L139" s="2">
        <v>1141.593644</v>
      </c>
      <c r="M139" s="2">
        <v>993.420115</v>
      </c>
      <c r="N139" s="2">
        <v>1005.537886</v>
      </c>
      <c r="O139" s="2">
        <v>13304.980079</v>
      </c>
    </row>
    <row r="140" spans="1:15" ht="15.75">
      <c r="A140" s="1" t="s">
        <v>144</v>
      </c>
      <c r="B140" s="2">
        <v>660</v>
      </c>
      <c r="C140" s="2">
        <v>623.74556</v>
      </c>
      <c r="D140" s="2">
        <v>421.09737</v>
      </c>
      <c r="E140" s="2">
        <v>719.956639</v>
      </c>
      <c r="F140" s="2">
        <v>782.281993</v>
      </c>
      <c r="G140" s="2">
        <v>1056.443191</v>
      </c>
      <c r="H140" s="2">
        <v>1297.325713</v>
      </c>
      <c r="I140" s="2">
        <v>1802.157521</v>
      </c>
      <c r="J140" s="2">
        <v>1949.005216</v>
      </c>
      <c r="K140" s="2">
        <v>1336.439756</v>
      </c>
      <c r="L140" s="2">
        <v>1240.781293</v>
      </c>
      <c r="M140" s="2">
        <v>1036.293291</v>
      </c>
      <c r="N140" s="2">
        <v>745.709317</v>
      </c>
      <c r="O140" s="2">
        <v>13011.23686</v>
      </c>
    </row>
    <row r="141" spans="1:15" ht="15.75">
      <c r="A141" s="1" t="s">
        <v>144</v>
      </c>
      <c r="B141" s="2">
        <v>1794</v>
      </c>
      <c r="C141" s="2">
        <v>632.013643</v>
      </c>
      <c r="D141" s="2">
        <v>719.257763</v>
      </c>
      <c r="E141" s="2">
        <v>740.224461</v>
      </c>
      <c r="F141" s="2">
        <v>817.726999</v>
      </c>
      <c r="G141" s="2">
        <v>973.406915</v>
      </c>
      <c r="H141" s="2">
        <v>1382.685277</v>
      </c>
      <c r="I141" s="2">
        <v>1622.561101</v>
      </c>
      <c r="J141" s="2">
        <v>1498.95282</v>
      </c>
      <c r="K141" s="2">
        <v>1299.853254</v>
      </c>
      <c r="L141" s="2">
        <v>1004.317646</v>
      </c>
      <c r="M141" s="2">
        <v>1150.051761</v>
      </c>
      <c r="N141" s="2">
        <v>1028.360598</v>
      </c>
      <c r="O141" s="2">
        <v>12869.412237999999</v>
      </c>
    </row>
    <row r="142" spans="1:15" ht="15.75">
      <c r="A142" s="1" t="s">
        <v>144</v>
      </c>
      <c r="B142" s="2">
        <v>912</v>
      </c>
      <c r="C142" s="2">
        <v>994.622255</v>
      </c>
      <c r="D142" s="2">
        <v>955.909233</v>
      </c>
      <c r="E142" s="2">
        <v>848.040378</v>
      </c>
      <c r="F142" s="2">
        <v>1066.805626</v>
      </c>
      <c r="G142" s="2">
        <v>852.967937</v>
      </c>
      <c r="H142" s="2">
        <v>1312.155436</v>
      </c>
      <c r="I142" s="2">
        <v>1187.814139</v>
      </c>
      <c r="J142" s="2">
        <v>1312.55324</v>
      </c>
      <c r="K142" s="2">
        <v>1074.188235</v>
      </c>
      <c r="L142" s="2">
        <v>1153.063032</v>
      </c>
      <c r="M142" s="2">
        <v>1095.980213</v>
      </c>
      <c r="N142" s="2">
        <v>993.792342</v>
      </c>
      <c r="O142" s="2">
        <v>12847.892066000002</v>
      </c>
    </row>
    <row r="143" spans="1:15" ht="15.75">
      <c r="A143" s="1" t="s">
        <v>144</v>
      </c>
      <c r="B143" s="2">
        <v>660</v>
      </c>
      <c r="C143" s="2">
        <v>731.42919</v>
      </c>
      <c r="D143" s="2">
        <v>496.615583</v>
      </c>
      <c r="E143" s="2">
        <v>485.392954</v>
      </c>
      <c r="F143" s="2">
        <v>920.051146</v>
      </c>
      <c r="G143" s="2">
        <v>959.653459</v>
      </c>
      <c r="H143" s="2">
        <v>1397.597635</v>
      </c>
      <c r="I143" s="2">
        <v>1898.018399</v>
      </c>
      <c r="J143" s="2">
        <v>1724.980961</v>
      </c>
      <c r="K143" s="2">
        <v>1444.520303</v>
      </c>
      <c r="L143" s="2">
        <v>1074.521622</v>
      </c>
      <c r="M143" s="2">
        <v>761.55467</v>
      </c>
      <c r="N143" s="2">
        <v>899.19214</v>
      </c>
      <c r="O143" s="2">
        <v>12793.528061999998</v>
      </c>
    </row>
    <row r="144" spans="1:15" ht="15.75">
      <c r="A144" s="1" t="s">
        <v>144</v>
      </c>
      <c r="B144" s="2">
        <v>660</v>
      </c>
      <c r="C144" s="2">
        <v>465.977527</v>
      </c>
      <c r="D144" s="2">
        <v>445.307962</v>
      </c>
      <c r="E144" s="2">
        <v>469.325935</v>
      </c>
      <c r="F144" s="2">
        <v>631.946554</v>
      </c>
      <c r="G144" s="2">
        <v>931.801562</v>
      </c>
      <c r="H144" s="2">
        <v>1434.758037</v>
      </c>
      <c r="I144" s="2">
        <v>1938.809498</v>
      </c>
      <c r="J144" s="2">
        <v>1741.613661</v>
      </c>
      <c r="K144" s="2">
        <v>1416.771136</v>
      </c>
      <c r="L144" s="2">
        <v>1196.67981</v>
      </c>
      <c r="M144" s="2">
        <v>902.139302</v>
      </c>
      <c r="N144" s="2">
        <v>750.662039</v>
      </c>
      <c r="O144" s="2">
        <v>12325.793023</v>
      </c>
    </row>
    <row r="145" spans="1:15" ht="15.75">
      <c r="A145" s="1" t="s">
        <v>144</v>
      </c>
      <c r="B145" s="2">
        <v>660</v>
      </c>
      <c r="C145" s="2">
        <v>563.784868</v>
      </c>
      <c r="D145" s="2">
        <v>724.510983</v>
      </c>
      <c r="E145" s="2">
        <v>704.700055</v>
      </c>
      <c r="F145" s="2">
        <v>648.174847</v>
      </c>
      <c r="G145" s="2">
        <v>765.783153</v>
      </c>
      <c r="H145" s="2">
        <v>834.068685</v>
      </c>
      <c r="I145" s="2">
        <v>1636.221458</v>
      </c>
      <c r="J145" s="2">
        <v>1908.696858</v>
      </c>
      <c r="K145" s="2">
        <v>1442.672568</v>
      </c>
      <c r="L145" s="2">
        <v>1356.984495</v>
      </c>
      <c r="M145" s="2">
        <v>944.669919</v>
      </c>
      <c r="N145" s="2">
        <v>682.118673</v>
      </c>
      <c r="O145" s="2">
        <v>12212.386562</v>
      </c>
    </row>
    <row r="146" spans="1:15" ht="15.75">
      <c r="A146" s="1" t="s">
        <v>144</v>
      </c>
      <c r="B146" s="2">
        <v>660</v>
      </c>
      <c r="C146" s="2">
        <v>1116.198126</v>
      </c>
      <c r="D146" s="2">
        <v>1131.782888</v>
      </c>
      <c r="E146" s="2">
        <v>624.521541</v>
      </c>
      <c r="F146" s="2">
        <v>786.704579</v>
      </c>
      <c r="G146" s="2">
        <v>1598.275398</v>
      </c>
      <c r="H146" s="2">
        <v>1405.331785</v>
      </c>
      <c r="I146" s="2">
        <v>1046.270326</v>
      </c>
      <c r="J146" s="2">
        <v>825.346898</v>
      </c>
      <c r="K146" s="2">
        <v>900.240737</v>
      </c>
      <c r="L146" s="2">
        <v>870.136276</v>
      </c>
      <c r="M146" s="2">
        <v>877.385668</v>
      </c>
      <c r="N146" s="2">
        <v>1007.010912</v>
      </c>
      <c r="O146" s="2">
        <v>12189.205134</v>
      </c>
    </row>
    <row r="147" spans="1:15" ht="15.75">
      <c r="A147" s="1" t="s">
        <v>144</v>
      </c>
      <c r="B147" s="2">
        <v>660</v>
      </c>
      <c r="C147" s="2">
        <v>348.138053</v>
      </c>
      <c r="D147" s="2">
        <v>314.29533</v>
      </c>
      <c r="E147" s="2">
        <v>271.88446</v>
      </c>
      <c r="F147" s="2">
        <v>1033.863655</v>
      </c>
      <c r="G147" s="2">
        <v>1119.740835</v>
      </c>
      <c r="H147" s="2">
        <v>1167.619221</v>
      </c>
      <c r="I147" s="2">
        <v>2144.031995</v>
      </c>
      <c r="J147" s="2">
        <v>1533.541614</v>
      </c>
      <c r="K147" s="2">
        <v>1217.668115</v>
      </c>
      <c r="L147" s="2">
        <v>1239.298105</v>
      </c>
      <c r="M147" s="2">
        <v>1078.350398</v>
      </c>
      <c r="N147" s="2">
        <v>687.296063</v>
      </c>
      <c r="O147" s="2">
        <v>12155.727844000001</v>
      </c>
    </row>
    <row r="148" spans="1:15" ht="15.75">
      <c r="A148" s="1" t="s">
        <v>144</v>
      </c>
      <c r="B148" s="2">
        <v>660</v>
      </c>
      <c r="C148" s="2">
        <v>1370.547046</v>
      </c>
      <c r="D148" s="2">
        <v>1221.879302</v>
      </c>
      <c r="E148" s="2">
        <v>1347.924304</v>
      </c>
      <c r="F148" s="2">
        <v>1067.863469</v>
      </c>
      <c r="G148" s="2">
        <v>884.41801</v>
      </c>
      <c r="H148" s="2">
        <v>899.227618</v>
      </c>
      <c r="I148" s="2">
        <v>803.72548</v>
      </c>
      <c r="J148" s="2">
        <v>905.410503</v>
      </c>
      <c r="K148" s="2">
        <v>920.93826</v>
      </c>
      <c r="L148" s="2">
        <v>867.149879</v>
      </c>
      <c r="M148" s="2">
        <v>908.067652</v>
      </c>
      <c r="N148" s="2">
        <v>894.255418</v>
      </c>
      <c r="O148" s="2">
        <v>12091.406941000001</v>
      </c>
    </row>
    <row r="149" spans="1:15" ht="15.75">
      <c r="A149" s="1" t="s">
        <v>144</v>
      </c>
      <c r="B149" s="2">
        <v>660</v>
      </c>
      <c r="C149" s="2">
        <v>973.012252</v>
      </c>
      <c r="D149" s="2">
        <v>1009.759257</v>
      </c>
      <c r="E149" s="2">
        <v>924.880592</v>
      </c>
      <c r="F149" s="2">
        <v>974.237115</v>
      </c>
      <c r="G149" s="2">
        <v>940.417382</v>
      </c>
      <c r="H149" s="2">
        <v>1020.231095</v>
      </c>
      <c r="I149" s="2">
        <v>1309.779178</v>
      </c>
      <c r="J149" s="2">
        <v>1067.056001</v>
      </c>
      <c r="K149" s="2">
        <v>848.944722</v>
      </c>
      <c r="L149" s="2">
        <v>1013.093831</v>
      </c>
      <c r="M149" s="2">
        <v>1044.798124</v>
      </c>
      <c r="N149" s="2">
        <v>914.259433</v>
      </c>
      <c r="O149" s="2">
        <v>12040.468981999999</v>
      </c>
    </row>
    <row r="150" spans="1:15" ht="15.75">
      <c r="A150" s="1" t="s">
        <v>144</v>
      </c>
      <c r="B150" s="2">
        <v>660</v>
      </c>
      <c r="C150" s="2">
        <v>608.895096</v>
      </c>
      <c r="D150" s="2">
        <v>469.252818</v>
      </c>
      <c r="E150" s="2">
        <v>601.749562</v>
      </c>
      <c r="F150" s="2">
        <v>836.081634</v>
      </c>
      <c r="G150" s="2">
        <v>1051.428072</v>
      </c>
      <c r="H150" s="2">
        <v>1188.925416</v>
      </c>
      <c r="I150" s="2">
        <v>1522.741003</v>
      </c>
      <c r="J150" s="2">
        <v>1320.700716</v>
      </c>
      <c r="K150" s="2">
        <v>1384.195186</v>
      </c>
      <c r="L150" s="2">
        <v>1097.33731</v>
      </c>
      <c r="M150" s="2">
        <v>965.273484</v>
      </c>
      <c r="N150" s="2">
        <v>956.017128</v>
      </c>
      <c r="O150" s="2">
        <v>12002.597424999998</v>
      </c>
    </row>
    <row r="151" spans="1:15" ht="15.75">
      <c r="A151" s="1" t="s">
        <v>144</v>
      </c>
      <c r="B151" s="2">
        <v>660</v>
      </c>
      <c r="C151" s="2">
        <v>436.283274</v>
      </c>
      <c r="D151" s="2">
        <v>295.81294</v>
      </c>
      <c r="E151" s="2">
        <v>446.774179</v>
      </c>
      <c r="F151" s="2">
        <v>550.132608</v>
      </c>
      <c r="G151" s="2">
        <v>1124.773715</v>
      </c>
      <c r="H151" s="2">
        <v>1202.28104</v>
      </c>
      <c r="I151" s="2">
        <v>1245.923867</v>
      </c>
      <c r="J151" s="2">
        <v>1552.705944</v>
      </c>
      <c r="K151" s="2">
        <v>1393.281241</v>
      </c>
      <c r="L151" s="2">
        <v>1331.230852</v>
      </c>
      <c r="M151" s="2">
        <v>1353.281881</v>
      </c>
      <c r="N151" s="2">
        <v>1030.527533</v>
      </c>
      <c r="O151" s="2">
        <v>11963.009074000001</v>
      </c>
    </row>
    <row r="152" spans="1:15" ht="15.75">
      <c r="A152" s="1" t="s">
        <v>144</v>
      </c>
      <c r="B152" s="2">
        <v>660</v>
      </c>
      <c r="C152" s="2">
        <v>489.351178</v>
      </c>
      <c r="D152" s="2">
        <v>487.387816</v>
      </c>
      <c r="E152" s="2">
        <v>983.872478</v>
      </c>
      <c r="F152" s="2">
        <v>1382.579206</v>
      </c>
      <c r="G152" s="2">
        <v>1230.333588</v>
      </c>
      <c r="H152" s="2">
        <v>1196.967938</v>
      </c>
      <c r="I152" s="2">
        <v>1299.63551</v>
      </c>
      <c r="J152" s="2">
        <v>1432.352626</v>
      </c>
      <c r="K152" s="2">
        <v>1059.390421</v>
      </c>
      <c r="L152" s="2">
        <v>999.673811</v>
      </c>
      <c r="M152" s="2">
        <v>766.363151</v>
      </c>
      <c r="N152" s="2">
        <v>523.521558</v>
      </c>
      <c r="O152" s="2">
        <v>11851.429281</v>
      </c>
    </row>
    <row r="153" spans="1:15" ht="15.75">
      <c r="A153" s="1" t="s">
        <v>144</v>
      </c>
      <c r="B153" s="2">
        <v>780</v>
      </c>
      <c r="C153" s="2">
        <v>718.370033</v>
      </c>
      <c r="D153" s="2">
        <v>736.111285</v>
      </c>
      <c r="E153" s="2">
        <v>791.326972</v>
      </c>
      <c r="F153" s="2">
        <v>837.76875</v>
      </c>
      <c r="G153" s="2">
        <v>803.481885</v>
      </c>
      <c r="H153" s="2">
        <v>1300.523041</v>
      </c>
      <c r="I153" s="2">
        <v>1529.717643</v>
      </c>
      <c r="J153" s="2">
        <v>1271.771966</v>
      </c>
      <c r="K153" s="2">
        <v>1067.46759</v>
      </c>
      <c r="L153" s="2">
        <v>914.155911</v>
      </c>
      <c r="M153" s="2">
        <v>822.198339</v>
      </c>
      <c r="N153" s="2">
        <v>832.246833</v>
      </c>
      <c r="O153" s="2">
        <v>11625.140248</v>
      </c>
    </row>
    <row r="154" spans="1:15" ht="15.75">
      <c r="A154" s="1" t="s">
        <v>144</v>
      </c>
      <c r="B154" s="2">
        <v>660</v>
      </c>
      <c r="C154" s="2">
        <v>734.401436</v>
      </c>
      <c r="D154" s="2">
        <v>557.209083</v>
      </c>
      <c r="E154" s="2">
        <v>768.690768</v>
      </c>
      <c r="F154" s="2">
        <v>654.135946</v>
      </c>
      <c r="G154" s="2">
        <v>952.561207</v>
      </c>
      <c r="H154" s="2">
        <v>1013.53131</v>
      </c>
      <c r="I154" s="2">
        <v>1338.265558</v>
      </c>
      <c r="J154" s="2">
        <v>1556.969688</v>
      </c>
      <c r="K154" s="2">
        <v>1145.987195</v>
      </c>
      <c r="L154" s="2">
        <v>1035.020368</v>
      </c>
      <c r="M154" s="2">
        <v>1077.22568</v>
      </c>
      <c r="N154" s="2">
        <v>748.395709</v>
      </c>
      <c r="O154" s="2">
        <v>11582.393947999999</v>
      </c>
    </row>
    <row r="155" spans="1:15" ht="15.75">
      <c r="A155" s="1" t="s">
        <v>144</v>
      </c>
      <c r="B155" s="2">
        <v>660</v>
      </c>
      <c r="C155" s="2">
        <v>263.950647</v>
      </c>
      <c r="D155" s="2">
        <v>236.870516</v>
      </c>
      <c r="E155" s="2">
        <v>273.514073</v>
      </c>
      <c r="F155" s="2">
        <v>856.242778</v>
      </c>
      <c r="G155" s="2">
        <v>988.514064</v>
      </c>
      <c r="H155" s="2">
        <v>1140.302524</v>
      </c>
      <c r="I155" s="2">
        <v>1879.074164</v>
      </c>
      <c r="J155" s="2">
        <v>1479.840797</v>
      </c>
      <c r="K155" s="2">
        <v>1245.364019</v>
      </c>
      <c r="L155" s="2">
        <v>1130.961681</v>
      </c>
      <c r="M155" s="2">
        <v>1078.245329</v>
      </c>
      <c r="N155" s="2">
        <v>807.07748</v>
      </c>
      <c r="O155" s="2">
        <v>11379.958072</v>
      </c>
    </row>
    <row r="156" spans="1:15" ht="15.75">
      <c r="A156" s="1" t="s">
        <v>144</v>
      </c>
      <c r="B156" s="2">
        <v>660</v>
      </c>
      <c r="C156" s="2">
        <v>599.767477</v>
      </c>
      <c r="D156" s="2">
        <v>560.688527</v>
      </c>
      <c r="E156" s="2">
        <v>614.005033</v>
      </c>
      <c r="F156" s="2">
        <v>662.915298</v>
      </c>
      <c r="G156" s="2">
        <v>1036.558673</v>
      </c>
      <c r="H156" s="2">
        <v>1100.913275</v>
      </c>
      <c r="I156" s="2">
        <v>1235.935825</v>
      </c>
      <c r="J156" s="2">
        <v>1410.666583</v>
      </c>
      <c r="K156" s="2">
        <v>1300.321617</v>
      </c>
      <c r="L156" s="2">
        <v>1268.107043</v>
      </c>
      <c r="M156" s="2">
        <v>1523.793804</v>
      </c>
      <c r="O156" s="2">
        <v>11313.673155</v>
      </c>
    </row>
    <row r="157" spans="1:15" ht="15.75">
      <c r="A157" s="1" t="s">
        <v>144</v>
      </c>
      <c r="B157" s="2">
        <v>660</v>
      </c>
      <c r="C157" s="2">
        <v>880.690477</v>
      </c>
      <c r="D157" s="2">
        <v>866.043115</v>
      </c>
      <c r="E157" s="2">
        <v>748.668404</v>
      </c>
      <c r="F157" s="2">
        <v>944.213811</v>
      </c>
      <c r="G157" s="2">
        <v>862.126048</v>
      </c>
      <c r="H157" s="2">
        <v>1083.15962</v>
      </c>
      <c r="I157" s="2">
        <v>1089.288621</v>
      </c>
      <c r="J157" s="2">
        <v>1087.685796</v>
      </c>
      <c r="K157" s="2">
        <v>932.588083</v>
      </c>
      <c r="L157" s="2">
        <v>945.548601</v>
      </c>
      <c r="M157" s="2">
        <v>765.283503</v>
      </c>
      <c r="N157" s="2">
        <v>832.379448</v>
      </c>
      <c r="O157" s="2">
        <v>11037.675527000001</v>
      </c>
    </row>
    <row r="158" spans="1:15" ht="15.75">
      <c r="A158" s="1" t="s">
        <v>144</v>
      </c>
      <c r="B158" s="2">
        <v>660</v>
      </c>
      <c r="C158" s="2">
        <v>652.996648</v>
      </c>
      <c r="D158" s="2">
        <v>473.436168</v>
      </c>
      <c r="E158" s="2">
        <v>561.468858</v>
      </c>
      <c r="F158" s="2">
        <v>929.816761</v>
      </c>
      <c r="G158" s="2">
        <v>914.502223</v>
      </c>
      <c r="H158" s="2">
        <v>1025.428875</v>
      </c>
      <c r="I158" s="2">
        <v>1358.197053</v>
      </c>
      <c r="J158" s="2">
        <v>1322.365955</v>
      </c>
      <c r="K158" s="2">
        <v>1151.776626</v>
      </c>
      <c r="L158" s="2">
        <v>927.960805</v>
      </c>
      <c r="M158" s="2">
        <v>863.834519</v>
      </c>
      <c r="N158" s="2">
        <v>772.597964</v>
      </c>
      <c r="O158" s="2">
        <v>10954.382455</v>
      </c>
    </row>
    <row r="159" spans="1:15" ht="15.75">
      <c r="A159" s="1" t="s">
        <v>144</v>
      </c>
      <c r="B159" s="2">
        <v>660</v>
      </c>
      <c r="C159" s="2">
        <v>1156.794236</v>
      </c>
      <c r="D159" s="2">
        <v>1153.487629</v>
      </c>
      <c r="E159" s="2">
        <v>1254.505075</v>
      </c>
      <c r="F159" s="2">
        <v>879.920035</v>
      </c>
      <c r="G159" s="2">
        <v>786.143897</v>
      </c>
      <c r="H159" s="2">
        <v>918.164217</v>
      </c>
      <c r="I159" s="2">
        <v>956.125004</v>
      </c>
      <c r="J159" s="2">
        <v>1253.455468</v>
      </c>
      <c r="K159" s="2">
        <v>906.560223</v>
      </c>
      <c r="L159" s="2">
        <v>674.535653</v>
      </c>
      <c r="M159" s="2">
        <v>518.101216</v>
      </c>
      <c r="N159" s="2">
        <v>485.190222</v>
      </c>
      <c r="O159" s="2">
        <v>10942.982875</v>
      </c>
    </row>
    <row r="160" spans="1:15" ht="15.75">
      <c r="A160" s="1" t="s">
        <v>144</v>
      </c>
      <c r="B160" s="2">
        <v>660</v>
      </c>
      <c r="C160" s="2">
        <v>622.893519</v>
      </c>
      <c r="D160" s="2">
        <v>612.407486</v>
      </c>
      <c r="E160" s="2">
        <v>566.588505</v>
      </c>
      <c r="F160" s="2">
        <v>473.371225</v>
      </c>
      <c r="G160" s="2">
        <v>863.263907</v>
      </c>
      <c r="H160" s="2">
        <v>749.928806</v>
      </c>
      <c r="I160" s="2">
        <v>1637.106729</v>
      </c>
      <c r="J160" s="2">
        <v>1577.880531</v>
      </c>
      <c r="K160" s="2">
        <v>1284.53448</v>
      </c>
      <c r="L160" s="2">
        <v>834.27734</v>
      </c>
      <c r="M160" s="2">
        <v>978.087469</v>
      </c>
      <c r="N160" s="2">
        <v>709.806437</v>
      </c>
      <c r="O160" s="2">
        <v>10910.146433999998</v>
      </c>
    </row>
    <row r="161" spans="1:15" ht="15.75">
      <c r="A161" s="1" t="s">
        <v>144</v>
      </c>
      <c r="B161" s="2">
        <v>584.8299999999999</v>
      </c>
      <c r="C161" s="2">
        <v>782.764076</v>
      </c>
      <c r="D161" s="2">
        <v>642.620123</v>
      </c>
      <c r="E161" s="2">
        <v>697.611722</v>
      </c>
      <c r="F161" s="2">
        <v>832.6485</v>
      </c>
      <c r="G161" s="2">
        <v>1121.411631</v>
      </c>
      <c r="I161" s="2">
        <v>1616.076111</v>
      </c>
      <c r="J161" s="2">
        <v>1449.07613</v>
      </c>
      <c r="K161" s="2">
        <v>871.006601</v>
      </c>
      <c r="L161" s="2">
        <v>1391.621742</v>
      </c>
      <c r="M161" s="2">
        <v>795.663553</v>
      </c>
      <c r="N161" s="2">
        <v>609.890645</v>
      </c>
      <c r="O161" s="2">
        <v>10810.390834</v>
      </c>
    </row>
    <row r="162" spans="1:15" ht="15.75">
      <c r="A162" s="1" t="s">
        <v>144</v>
      </c>
      <c r="B162" s="2">
        <v>660</v>
      </c>
      <c r="C162" s="2">
        <v>289.428375</v>
      </c>
      <c r="D162" s="2">
        <v>219.639325</v>
      </c>
      <c r="E162" s="2">
        <v>360.951667</v>
      </c>
      <c r="F162" s="2">
        <v>607.876249</v>
      </c>
      <c r="G162" s="2">
        <v>899.894107</v>
      </c>
      <c r="H162" s="2">
        <v>1796.593744</v>
      </c>
      <c r="I162" s="2">
        <v>1090.257157</v>
      </c>
      <c r="J162" s="2">
        <v>1991.62522</v>
      </c>
      <c r="K162" s="2">
        <v>1005.922983</v>
      </c>
      <c r="L162" s="2">
        <v>1181.459409</v>
      </c>
      <c r="M162" s="2">
        <v>805.830822</v>
      </c>
      <c r="N162" s="2">
        <v>558.944564</v>
      </c>
      <c r="O162" s="2">
        <v>10808.423622</v>
      </c>
    </row>
    <row r="163" spans="1:15" ht="15.75">
      <c r="A163" s="1" t="s">
        <v>144</v>
      </c>
      <c r="B163" s="2">
        <v>660</v>
      </c>
      <c r="C163" s="2">
        <v>743.971679</v>
      </c>
      <c r="D163" s="2">
        <v>838.813456</v>
      </c>
      <c r="E163" s="2">
        <v>767.336214</v>
      </c>
      <c r="F163" s="2">
        <v>781.90947</v>
      </c>
      <c r="G163" s="2">
        <v>925.635314</v>
      </c>
      <c r="H163" s="2">
        <v>973.421553</v>
      </c>
      <c r="I163" s="2">
        <v>1035.673202</v>
      </c>
      <c r="J163" s="2">
        <v>1201.899269</v>
      </c>
      <c r="K163" s="2">
        <v>969.16554</v>
      </c>
      <c r="L163" s="2">
        <v>881.213559</v>
      </c>
      <c r="M163" s="2">
        <v>899.048721</v>
      </c>
      <c r="N163" s="2">
        <v>745.325204</v>
      </c>
      <c r="O163" s="2">
        <v>10763.413181</v>
      </c>
    </row>
    <row r="164" spans="1:15" ht="15.75">
      <c r="A164" s="1" t="s">
        <v>144</v>
      </c>
      <c r="B164" s="2">
        <v>660</v>
      </c>
      <c r="C164" s="2">
        <v>736.855915</v>
      </c>
      <c r="D164" s="2">
        <v>853.33283</v>
      </c>
      <c r="E164" s="2">
        <v>676.321329</v>
      </c>
      <c r="F164" s="2">
        <v>990.666387</v>
      </c>
      <c r="G164" s="2">
        <v>889.253798</v>
      </c>
      <c r="H164" s="2">
        <v>1196.407927</v>
      </c>
      <c r="I164" s="2">
        <v>1011.052224</v>
      </c>
      <c r="J164" s="2">
        <v>1086.398662</v>
      </c>
      <c r="K164" s="2">
        <v>957.892363</v>
      </c>
      <c r="L164" s="2">
        <v>853.959572</v>
      </c>
      <c r="M164" s="2">
        <v>679.21259</v>
      </c>
      <c r="N164" s="2">
        <v>754.465538</v>
      </c>
      <c r="O164" s="2">
        <v>10685.819135</v>
      </c>
    </row>
    <row r="165" spans="1:15" ht="15.75">
      <c r="A165" s="1" t="s">
        <v>144</v>
      </c>
      <c r="B165" s="2">
        <v>660</v>
      </c>
      <c r="C165" s="2">
        <v>1031.148883</v>
      </c>
      <c r="D165" s="2">
        <v>769.464991</v>
      </c>
      <c r="E165" s="2">
        <v>749.30066</v>
      </c>
      <c r="F165" s="2">
        <v>720.134852</v>
      </c>
      <c r="G165" s="2">
        <v>882.563845</v>
      </c>
      <c r="H165" s="2">
        <v>878.971983</v>
      </c>
      <c r="I165" s="2">
        <v>863.744949</v>
      </c>
      <c r="J165" s="2">
        <v>1186.990906</v>
      </c>
      <c r="K165" s="2">
        <v>540.7959</v>
      </c>
      <c r="L165" s="2">
        <v>960.406987</v>
      </c>
      <c r="M165" s="2">
        <v>921.480302</v>
      </c>
      <c r="N165" s="2">
        <v>1087.317795</v>
      </c>
      <c r="O165" s="2">
        <v>10592.322053</v>
      </c>
    </row>
    <row r="166" spans="1:15" ht="15.75">
      <c r="A166" s="1" t="s">
        <v>144</v>
      </c>
      <c r="B166" s="2">
        <v>660</v>
      </c>
      <c r="C166" s="2">
        <v>746.068522</v>
      </c>
      <c r="D166" s="2">
        <v>704.398922</v>
      </c>
      <c r="E166" s="2">
        <v>784.784057</v>
      </c>
      <c r="F166" s="2">
        <v>800.610222</v>
      </c>
      <c r="G166" s="2">
        <v>918.665382</v>
      </c>
      <c r="H166" s="2">
        <v>895.741533</v>
      </c>
      <c r="I166" s="2">
        <v>1120.469734</v>
      </c>
      <c r="J166" s="2">
        <v>1136.44675</v>
      </c>
      <c r="K166" s="2">
        <v>976.707967</v>
      </c>
      <c r="L166" s="2">
        <v>772.764254</v>
      </c>
      <c r="M166" s="2">
        <v>873.575442</v>
      </c>
      <c r="N166" s="2">
        <v>745.375952</v>
      </c>
      <c r="O166" s="2">
        <v>10475.608737</v>
      </c>
    </row>
    <row r="167" spans="1:15" ht="15.75">
      <c r="A167" s="1" t="s">
        <v>144</v>
      </c>
      <c r="B167" s="2">
        <v>660</v>
      </c>
      <c r="C167" s="2">
        <v>700.336269</v>
      </c>
      <c r="D167" s="2">
        <v>1029.894246</v>
      </c>
      <c r="E167" s="2">
        <v>1070.211286</v>
      </c>
      <c r="F167" s="2">
        <v>540.872745</v>
      </c>
      <c r="G167" s="2">
        <v>996.835096</v>
      </c>
      <c r="H167" s="2">
        <v>1023.70282</v>
      </c>
      <c r="I167" s="2">
        <v>1352.715225</v>
      </c>
      <c r="J167" s="2">
        <v>1222.582058</v>
      </c>
      <c r="K167" s="2">
        <v>1063.189121</v>
      </c>
      <c r="L167" s="2">
        <v>673.165904</v>
      </c>
      <c r="M167" s="2">
        <v>481.956493</v>
      </c>
      <c r="N167" s="2">
        <v>308.692266</v>
      </c>
      <c r="O167" s="2">
        <v>10464.153529</v>
      </c>
    </row>
    <row r="168" spans="1:15" ht="15.75">
      <c r="A168" s="1" t="s">
        <v>144</v>
      </c>
      <c r="B168" s="2">
        <v>660</v>
      </c>
      <c r="C168" s="2">
        <v>607.161266</v>
      </c>
      <c r="D168" s="2">
        <v>242.279668</v>
      </c>
      <c r="E168" s="2">
        <v>376.476313</v>
      </c>
      <c r="F168" s="2">
        <v>756.922961</v>
      </c>
      <c r="G168" s="2">
        <v>885.711327</v>
      </c>
      <c r="H168" s="2">
        <v>1159.768786</v>
      </c>
      <c r="I168" s="2">
        <v>1677.266043</v>
      </c>
      <c r="J168" s="2">
        <v>1193.232114</v>
      </c>
      <c r="K168" s="2">
        <v>1033.336322</v>
      </c>
      <c r="L168" s="2">
        <v>699.967276</v>
      </c>
      <c r="M168" s="2">
        <v>1006.938516</v>
      </c>
      <c r="N168" s="2">
        <v>731.983971</v>
      </c>
      <c r="O168" s="2">
        <v>10371.044563</v>
      </c>
    </row>
    <row r="169" spans="1:15" ht="15.75">
      <c r="A169" s="1" t="s">
        <v>144</v>
      </c>
      <c r="B169" s="2">
        <v>1320</v>
      </c>
      <c r="C169" s="2">
        <v>317.108903</v>
      </c>
      <c r="D169" s="2">
        <v>367.818879</v>
      </c>
      <c r="E169" s="2">
        <v>345.143079</v>
      </c>
      <c r="F169" s="2">
        <v>498.877482</v>
      </c>
      <c r="G169" s="2">
        <v>790.217393</v>
      </c>
      <c r="H169" s="2">
        <v>1448.715537</v>
      </c>
      <c r="I169" s="2">
        <v>2032.68666</v>
      </c>
      <c r="J169" s="2">
        <v>1628.761051</v>
      </c>
      <c r="K169" s="2">
        <v>1097.279771</v>
      </c>
      <c r="L169" s="2">
        <v>861.682619</v>
      </c>
      <c r="M169" s="2">
        <v>551.807992</v>
      </c>
      <c r="N169" s="2">
        <v>429.435671</v>
      </c>
      <c r="O169" s="2">
        <v>10369.535036999998</v>
      </c>
    </row>
    <row r="170" spans="1:15" ht="15.75">
      <c r="A170" s="1" t="s">
        <v>144</v>
      </c>
      <c r="B170" s="2">
        <v>660</v>
      </c>
      <c r="C170" s="2">
        <v>465.131344</v>
      </c>
      <c r="D170" s="2">
        <v>212.940869</v>
      </c>
      <c r="E170" s="2">
        <v>425.065644</v>
      </c>
      <c r="F170" s="2">
        <v>543.29728</v>
      </c>
      <c r="G170" s="2">
        <v>915.883316</v>
      </c>
      <c r="H170" s="2">
        <v>1045.983723</v>
      </c>
      <c r="I170" s="2">
        <v>1045.840863</v>
      </c>
      <c r="J170" s="2">
        <v>1263.878577</v>
      </c>
      <c r="K170" s="2">
        <v>1236.732411</v>
      </c>
      <c r="L170" s="2">
        <v>1172.738516</v>
      </c>
      <c r="M170" s="2">
        <v>1090.862064</v>
      </c>
      <c r="N170" s="2">
        <v>793.277545</v>
      </c>
      <c r="O170" s="2">
        <v>10211.632152000002</v>
      </c>
    </row>
    <row r="171" spans="1:15" ht="15.75">
      <c r="A171" s="1" t="s">
        <v>144</v>
      </c>
      <c r="B171" s="2">
        <v>660</v>
      </c>
      <c r="C171" s="2">
        <v>755.46239</v>
      </c>
      <c r="D171" s="2">
        <v>1047.406548</v>
      </c>
      <c r="E171" s="2">
        <v>921.144064</v>
      </c>
      <c r="F171" s="2">
        <v>947.549947</v>
      </c>
      <c r="G171" s="2">
        <v>907.411138</v>
      </c>
      <c r="H171" s="2">
        <v>814.554298</v>
      </c>
      <c r="I171" s="2">
        <v>946.04833</v>
      </c>
      <c r="J171" s="2">
        <v>895.712909</v>
      </c>
      <c r="K171" s="2">
        <v>763.189852</v>
      </c>
      <c r="L171" s="2">
        <v>712.182969</v>
      </c>
      <c r="M171" s="2">
        <v>884.179745</v>
      </c>
      <c r="N171" s="2">
        <v>552.496058</v>
      </c>
      <c r="O171" s="2">
        <v>10147.338248</v>
      </c>
    </row>
    <row r="172" spans="1:15" ht="15.75">
      <c r="A172" s="1" t="s">
        <v>144</v>
      </c>
      <c r="B172" s="2">
        <v>660</v>
      </c>
      <c r="C172" s="2">
        <v>410.642271</v>
      </c>
      <c r="D172" s="2">
        <v>470.055058</v>
      </c>
      <c r="E172" s="2">
        <v>735.431111</v>
      </c>
      <c r="F172" s="2">
        <v>1009.272364</v>
      </c>
      <c r="G172" s="2">
        <v>1164.141585</v>
      </c>
      <c r="H172" s="2">
        <v>953.681583</v>
      </c>
      <c r="I172" s="2">
        <v>891.944399</v>
      </c>
      <c r="J172" s="2">
        <v>952.174877</v>
      </c>
      <c r="K172" s="2">
        <v>997.22165</v>
      </c>
      <c r="L172" s="2">
        <v>1028.495398</v>
      </c>
      <c r="M172" s="2">
        <v>697.856728</v>
      </c>
      <c r="N172" s="2">
        <v>617.621756</v>
      </c>
      <c r="O172" s="2">
        <v>9928.53878</v>
      </c>
    </row>
    <row r="173" spans="1:15" ht="15.75">
      <c r="A173" s="1" t="s">
        <v>144</v>
      </c>
      <c r="B173" s="2">
        <v>660</v>
      </c>
      <c r="C173" s="2">
        <v>650.702319</v>
      </c>
      <c r="D173" s="2">
        <v>601.788576</v>
      </c>
      <c r="E173" s="2">
        <v>727.143436</v>
      </c>
      <c r="F173" s="2">
        <v>601.861936</v>
      </c>
      <c r="G173" s="2">
        <v>695.91682</v>
      </c>
      <c r="H173" s="2">
        <v>898.079989</v>
      </c>
      <c r="I173" s="2">
        <v>1062.789864</v>
      </c>
      <c r="J173" s="2">
        <v>1162.871957</v>
      </c>
      <c r="K173" s="2">
        <v>1144.886198</v>
      </c>
      <c r="L173" s="2">
        <v>903.632016</v>
      </c>
      <c r="M173" s="2">
        <v>812.504724</v>
      </c>
      <c r="N173" s="2">
        <v>655.732714</v>
      </c>
      <c r="O173" s="2">
        <v>9917.910549</v>
      </c>
    </row>
    <row r="174" spans="1:15" ht="15.75">
      <c r="A174" s="1" t="s">
        <v>144</v>
      </c>
      <c r="B174" s="2">
        <v>1668</v>
      </c>
      <c r="C174" s="2">
        <v>305.208867</v>
      </c>
      <c r="D174" s="2">
        <v>265.667692</v>
      </c>
      <c r="E174" s="2">
        <v>322.835597</v>
      </c>
      <c r="F174" s="2">
        <v>410.269067</v>
      </c>
      <c r="G174" s="2">
        <v>812.014812</v>
      </c>
      <c r="H174" s="2">
        <v>1049.019656</v>
      </c>
      <c r="I174" s="2">
        <v>1419.653593</v>
      </c>
      <c r="J174" s="2">
        <v>1652.692791</v>
      </c>
      <c r="K174" s="2">
        <v>1294.116284</v>
      </c>
      <c r="L174" s="2">
        <v>1001.576874</v>
      </c>
      <c r="M174" s="2">
        <v>902.37639</v>
      </c>
      <c r="N174" s="2">
        <v>454.906303</v>
      </c>
      <c r="O174" s="2">
        <v>9890.337925999998</v>
      </c>
    </row>
    <row r="175" spans="1:15" ht="15.75">
      <c r="A175" s="1" t="s">
        <v>144</v>
      </c>
      <c r="B175" s="2">
        <v>660</v>
      </c>
      <c r="C175" s="2">
        <v>747.734944</v>
      </c>
      <c r="D175" s="2">
        <v>700.103925</v>
      </c>
      <c r="E175" s="2">
        <v>819.089846</v>
      </c>
      <c r="F175" s="2">
        <v>683.343955</v>
      </c>
      <c r="G175" s="2">
        <v>770.266649</v>
      </c>
      <c r="H175" s="2">
        <v>811.415333</v>
      </c>
      <c r="I175" s="2">
        <v>967.277367</v>
      </c>
      <c r="J175" s="2">
        <v>832.202951</v>
      </c>
      <c r="K175" s="2">
        <v>873.183972</v>
      </c>
      <c r="L175" s="2">
        <v>836.093174</v>
      </c>
      <c r="M175" s="2">
        <v>916.656242</v>
      </c>
      <c r="N175" s="2">
        <v>932.587652</v>
      </c>
      <c r="O175" s="2">
        <v>9889.95601</v>
      </c>
    </row>
    <row r="176" spans="1:15" ht="15.75">
      <c r="A176" s="1" t="s">
        <v>144</v>
      </c>
      <c r="B176" s="2">
        <v>660</v>
      </c>
      <c r="C176" s="2">
        <v>572.077858</v>
      </c>
      <c r="D176" s="2">
        <v>538.438415</v>
      </c>
      <c r="E176" s="2">
        <v>605.999427</v>
      </c>
      <c r="F176" s="2">
        <v>675.92649</v>
      </c>
      <c r="G176" s="2">
        <v>888.194863</v>
      </c>
      <c r="H176" s="2">
        <v>789.405629</v>
      </c>
      <c r="I176" s="2">
        <v>1207.000626</v>
      </c>
      <c r="J176" s="2">
        <v>1130.232881</v>
      </c>
      <c r="K176" s="2">
        <v>1079.243476</v>
      </c>
      <c r="L176" s="2">
        <v>990.043274</v>
      </c>
      <c r="M176" s="2">
        <v>845.350625</v>
      </c>
      <c r="N176" s="2">
        <v>517.184932</v>
      </c>
      <c r="O176" s="2">
        <v>9839.098495999999</v>
      </c>
    </row>
    <row r="177" spans="1:15" ht="15.75">
      <c r="A177" s="1" t="s">
        <v>144</v>
      </c>
      <c r="B177" s="2">
        <v>660</v>
      </c>
      <c r="C177" s="2">
        <v>763.625558</v>
      </c>
      <c r="D177" s="2">
        <v>815.289476</v>
      </c>
      <c r="E177" s="2">
        <v>840.758686</v>
      </c>
      <c r="F177" s="2">
        <v>818.149696</v>
      </c>
      <c r="G177" s="2">
        <v>831.647394</v>
      </c>
      <c r="H177" s="2">
        <v>804.335141</v>
      </c>
      <c r="I177" s="2">
        <v>830.677416</v>
      </c>
      <c r="J177" s="2">
        <v>952.60822</v>
      </c>
      <c r="K177" s="2">
        <v>728.889436</v>
      </c>
      <c r="L177" s="2">
        <v>796.153484</v>
      </c>
      <c r="M177" s="2">
        <v>919.169541</v>
      </c>
      <c r="N177" s="2">
        <v>706.588404</v>
      </c>
      <c r="O177" s="2">
        <v>9807.892452000002</v>
      </c>
    </row>
    <row r="178" spans="1:15" ht="15.75">
      <c r="A178" s="1" t="s">
        <v>144</v>
      </c>
      <c r="B178" s="2">
        <v>628.8299999999999</v>
      </c>
      <c r="C178" s="2">
        <v>381.541386</v>
      </c>
      <c r="D178" s="2">
        <v>153.427363</v>
      </c>
      <c r="E178" s="2">
        <v>552.477438</v>
      </c>
      <c r="F178" s="2">
        <v>677.937645</v>
      </c>
      <c r="G178" s="2">
        <v>747.348214</v>
      </c>
      <c r="H178" s="2">
        <v>1184.731844</v>
      </c>
      <c r="I178" s="2">
        <v>1516.740064</v>
      </c>
      <c r="J178" s="2">
        <v>1282.589116</v>
      </c>
      <c r="K178" s="2">
        <v>994.610278</v>
      </c>
      <c r="L178" s="2">
        <v>856.479652</v>
      </c>
      <c r="M178" s="2">
        <v>580.44391</v>
      </c>
      <c r="N178" s="2">
        <v>810.504355</v>
      </c>
      <c r="O178" s="2">
        <v>9738.831265</v>
      </c>
    </row>
    <row r="179" spans="1:15" ht="15.75">
      <c r="A179" s="1" t="s">
        <v>144</v>
      </c>
      <c r="B179" s="2">
        <v>660</v>
      </c>
      <c r="C179" s="2">
        <v>620.874877</v>
      </c>
      <c r="D179" s="2">
        <v>802.613732</v>
      </c>
      <c r="E179" s="2">
        <v>687.44144</v>
      </c>
      <c r="F179" s="2">
        <v>693.461469</v>
      </c>
      <c r="G179" s="2">
        <v>773.586858</v>
      </c>
      <c r="H179" s="2">
        <v>708.709717</v>
      </c>
      <c r="I179" s="2">
        <v>853.096742</v>
      </c>
      <c r="J179" s="2">
        <v>904.697198</v>
      </c>
      <c r="K179" s="2">
        <v>831.638121</v>
      </c>
      <c r="L179" s="2">
        <v>992.539457</v>
      </c>
      <c r="M179" s="2">
        <v>1049.241897</v>
      </c>
      <c r="N179" s="2">
        <v>749.911109</v>
      </c>
      <c r="O179" s="2">
        <v>9667.812617</v>
      </c>
    </row>
    <row r="180" spans="1:15" ht="15.75">
      <c r="A180" s="1" t="s">
        <v>144</v>
      </c>
      <c r="B180" s="2">
        <v>660</v>
      </c>
      <c r="C180" s="2">
        <v>560.706783</v>
      </c>
      <c r="D180" s="2">
        <v>412.360918</v>
      </c>
      <c r="E180" s="2">
        <v>587.040394</v>
      </c>
      <c r="F180" s="2">
        <v>488.57178</v>
      </c>
      <c r="G180" s="2">
        <v>673.351893</v>
      </c>
      <c r="H180" s="2">
        <v>887.531783</v>
      </c>
      <c r="I180" s="2">
        <v>1335.587305</v>
      </c>
      <c r="J180" s="2">
        <v>1377.451409</v>
      </c>
      <c r="K180" s="2">
        <v>1156.653947</v>
      </c>
      <c r="L180" s="2">
        <v>782.460307</v>
      </c>
      <c r="M180" s="2">
        <v>647.447241</v>
      </c>
      <c r="N180" s="2">
        <v>588.919769</v>
      </c>
      <c r="O180" s="2">
        <v>9498.083529</v>
      </c>
    </row>
    <row r="181" spans="1:15" ht="15.75">
      <c r="A181" s="1" t="s">
        <v>144</v>
      </c>
      <c r="B181" s="2">
        <v>660</v>
      </c>
      <c r="C181" s="2">
        <v>571.13</v>
      </c>
      <c r="D181" s="2">
        <v>372.933183</v>
      </c>
      <c r="E181" s="2">
        <v>449.846933</v>
      </c>
      <c r="F181" s="2">
        <v>451.364782</v>
      </c>
      <c r="G181" s="2">
        <v>702.909043</v>
      </c>
      <c r="H181" s="2">
        <v>928.067249</v>
      </c>
      <c r="I181" s="2">
        <v>1178.543038</v>
      </c>
      <c r="J181" s="2">
        <v>1199.596788</v>
      </c>
      <c r="K181" s="2">
        <v>1166.480401</v>
      </c>
      <c r="L181" s="2">
        <v>907.209115</v>
      </c>
      <c r="M181" s="2">
        <v>837.202707</v>
      </c>
      <c r="N181" s="2">
        <v>644.139996</v>
      </c>
      <c r="O181" s="2">
        <v>9409.423234999998</v>
      </c>
    </row>
    <row r="182" spans="1:15" ht="15.75">
      <c r="A182" s="1" t="s">
        <v>144</v>
      </c>
      <c r="B182" s="2">
        <v>660</v>
      </c>
      <c r="C182" s="2">
        <v>817.027232</v>
      </c>
      <c r="D182" s="2">
        <v>897.82901</v>
      </c>
      <c r="E182" s="2">
        <v>983.956787</v>
      </c>
      <c r="F182" s="2">
        <v>765.722124</v>
      </c>
      <c r="G182" s="2">
        <v>848.501922</v>
      </c>
      <c r="H182" s="2">
        <v>1040.124425</v>
      </c>
      <c r="I182" s="2">
        <v>1024.806792</v>
      </c>
      <c r="J182" s="2">
        <v>882.766087</v>
      </c>
      <c r="K182" s="2">
        <v>748.589758</v>
      </c>
      <c r="L182" s="2">
        <v>511.271088</v>
      </c>
      <c r="M182" s="2">
        <v>272.006032</v>
      </c>
      <c r="N182" s="2">
        <v>482.316765</v>
      </c>
      <c r="O182" s="2">
        <v>9274.918022</v>
      </c>
    </row>
    <row r="183" spans="1:15" ht="15.75">
      <c r="A183" s="1" t="s">
        <v>144</v>
      </c>
      <c r="B183" s="2">
        <v>660</v>
      </c>
      <c r="C183" s="2">
        <v>501.504003</v>
      </c>
      <c r="D183" s="2">
        <v>485.258545</v>
      </c>
      <c r="E183" s="2">
        <v>527.508431</v>
      </c>
      <c r="F183" s="2">
        <v>669.56431</v>
      </c>
      <c r="G183" s="2">
        <v>692.114386</v>
      </c>
      <c r="H183" s="2">
        <v>934.614352</v>
      </c>
      <c r="I183" s="2">
        <v>1427.299287</v>
      </c>
      <c r="J183" s="2">
        <v>1166.414709</v>
      </c>
      <c r="K183" s="2">
        <v>1052.332412</v>
      </c>
      <c r="L183" s="2">
        <v>762.927615</v>
      </c>
      <c r="M183" s="2">
        <v>527.317918</v>
      </c>
      <c r="N183" s="2">
        <v>517.466727</v>
      </c>
      <c r="O183" s="2">
        <v>9264.322694999999</v>
      </c>
    </row>
    <row r="184" spans="1:15" ht="15.75">
      <c r="A184" s="1" t="s">
        <v>144</v>
      </c>
      <c r="B184" s="2">
        <v>660</v>
      </c>
      <c r="C184" s="2">
        <v>803.894923</v>
      </c>
      <c r="D184" s="2">
        <v>679.317448</v>
      </c>
      <c r="E184" s="2">
        <v>759.694086</v>
      </c>
      <c r="F184" s="2">
        <v>687.043106</v>
      </c>
      <c r="G184" s="2">
        <v>704.705084</v>
      </c>
      <c r="H184" s="2">
        <v>814.469346</v>
      </c>
      <c r="I184" s="2">
        <v>896.35633</v>
      </c>
      <c r="J184" s="2">
        <v>917.894221</v>
      </c>
      <c r="K184" s="2">
        <v>852.491416</v>
      </c>
      <c r="L184" s="2">
        <v>703.730384</v>
      </c>
      <c r="M184" s="2">
        <v>737.874458</v>
      </c>
      <c r="N184" s="2">
        <v>631.350173</v>
      </c>
      <c r="O184" s="2">
        <v>9188.820975</v>
      </c>
    </row>
    <row r="185" spans="1:15" ht="15.75">
      <c r="A185" s="1" t="s">
        <v>144</v>
      </c>
      <c r="B185" s="2">
        <v>660</v>
      </c>
      <c r="C185" s="2">
        <v>364.316548</v>
      </c>
      <c r="D185" s="2">
        <v>345.625887</v>
      </c>
      <c r="E185" s="2">
        <v>307.835791</v>
      </c>
      <c r="F185" s="2">
        <v>494.043391</v>
      </c>
      <c r="G185" s="2">
        <v>763.730075</v>
      </c>
      <c r="H185" s="2">
        <v>862.42558</v>
      </c>
      <c r="I185" s="2">
        <v>1508.961025</v>
      </c>
      <c r="J185" s="2">
        <v>1109.173266</v>
      </c>
      <c r="K185" s="2">
        <v>1053.582329</v>
      </c>
      <c r="L185" s="2">
        <v>922.376967</v>
      </c>
      <c r="M185" s="2">
        <v>807.139887</v>
      </c>
      <c r="N185" s="2">
        <v>645.735885</v>
      </c>
      <c r="O185" s="2">
        <v>9184.946631</v>
      </c>
    </row>
    <row r="186" spans="1:15" ht="15.75">
      <c r="A186" s="1" t="s">
        <v>144</v>
      </c>
      <c r="B186" s="2">
        <v>660</v>
      </c>
      <c r="C186" s="2">
        <v>556.825897</v>
      </c>
      <c r="D186" s="2">
        <v>556.058879</v>
      </c>
      <c r="E186" s="2">
        <v>599.97652</v>
      </c>
      <c r="F186" s="2">
        <v>711.717681</v>
      </c>
      <c r="G186" s="2">
        <v>861.191656</v>
      </c>
      <c r="H186" s="2">
        <v>1044.385955</v>
      </c>
      <c r="I186" s="2">
        <v>934.78434</v>
      </c>
      <c r="J186" s="2">
        <v>949.0146</v>
      </c>
      <c r="K186" s="2">
        <v>928.460676</v>
      </c>
      <c r="L186" s="2">
        <v>882.691762</v>
      </c>
      <c r="M186" s="2">
        <v>718.404876</v>
      </c>
      <c r="N186" s="2">
        <v>423.158502</v>
      </c>
      <c r="O186" s="2">
        <v>9166.671344</v>
      </c>
    </row>
    <row r="187" spans="1:15" ht="15.75">
      <c r="A187" s="1" t="s">
        <v>144</v>
      </c>
      <c r="B187" s="2">
        <v>605</v>
      </c>
      <c r="C187" s="2">
        <v>130.76783</v>
      </c>
      <c r="D187" s="2">
        <v>229.335527</v>
      </c>
      <c r="E187" s="2">
        <v>243.807253</v>
      </c>
      <c r="F187" s="2">
        <v>730.211869</v>
      </c>
      <c r="G187" s="2">
        <v>990.934277</v>
      </c>
      <c r="H187" s="2">
        <v>1225.597917</v>
      </c>
      <c r="I187" s="2">
        <v>1537.924435</v>
      </c>
      <c r="J187" s="2">
        <v>1333.746018</v>
      </c>
      <c r="K187" s="2">
        <v>1036.469352</v>
      </c>
      <c r="L187" s="2">
        <v>838.579295</v>
      </c>
      <c r="M187" s="2">
        <v>765.642205</v>
      </c>
      <c r="O187" s="2">
        <v>9063.015978</v>
      </c>
    </row>
    <row r="188" spans="1:15" ht="15.75">
      <c r="A188" s="1" t="s">
        <v>144</v>
      </c>
      <c r="B188" s="2">
        <v>660</v>
      </c>
      <c r="C188" s="2">
        <v>1877.155334</v>
      </c>
      <c r="D188" s="2">
        <v>1179.743603</v>
      </c>
      <c r="E188" s="2">
        <v>2498.4944</v>
      </c>
      <c r="F188" s="2">
        <v>230.924729</v>
      </c>
      <c r="G188" s="2">
        <v>0.316477</v>
      </c>
      <c r="H188" s="2">
        <v>2.648059</v>
      </c>
      <c r="I188" s="2">
        <v>6.853921</v>
      </c>
      <c r="J188" s="2">
        <v>12.222986</v>
      </c>
      <c r="K188" s="2">
        <v>19.729002</v>
      </c>
      <c r="L188" s="2">
        <v>15.539684</v>
      </c>
      <c r="M188" s="2">
        <v>2.788666</v>
      </c>
      <c r="N188" s="2">
        <v>3192.414493</v>
      </c>
      <c r="O188" s="2">
        <v>9038.831354000002</v>
      </c>
    </row>
    <row r="189" spans="1:15" ht="15.75">
      <c r="A189" s="1" t="s">
        <v>144</v>
      </c>
      <c r="B189" s="2">
        <v>660</v>
      </c>
      <c r="C189" s="2">
        <v>634.351744</v>
      </c>
      <c r="D189" s="2">
        <v>675.431868</v>
      </c>
      <c r="E189" s="2">
        <v>624.722737</v>
      </c>
      <c r="F189" s="2">
        <v>692.769497</v>
      </c>
      <c r="G189" s="2">
        <v>685.148207</v>
      </c>
      <c r="H189" s="2">
        <v>688.704249</v>
      </c>
      <c r="I189" s="2">
        <v>947.432514</v>
      </c>
      <c r="J189" s="2">
        <v>1042.013233</v>
      </c>
      <c r="K189" s="2">
        <v>851.377251</v>
      </c>
      <c r="L189" s="2">
        <v>745.36205</v>
      </c>
      <c r="M189" s="2">
        <v>699.586437</v>
      </c>
      <c r="N189" s="2">
        <v>653.927909</v>
      </c>
      <c r="O189" s="2">
        <v>8940.827696</v>
      </c>
    </row>
    <row r="190" spans="1:15" ht="15.75">
      <c r="A190" s="1" t="s">
        <v>144</v>
      </c>
      <c r="B190" s="2">
        <v>660</v>
      </c>
      <c r="C190" s="2">
        <v>438.136625</v>
      </c>
      <c r="D190" s="2">
        <v>265.574416</v>
      </c>
      <c r="E190" s="2">
        <v>390.002943</v>
      </c>
      <c r="F190" s="2">
        <v>567.791375</v>
      </c>
      <c r="G190" s="2">
        <v>653.556764</v>
      </c>
      <c r="H190" s="2">
        <v>940.869879</v>
      </c>
      <c r="I190" s="2">
        <v>1260.529244</v>
      </c>
      <c r="J190" s="2">
        <v>1123.303236</v>
      </c>
      <c r="K190" s="2">
        <v>1003.770729</v>
      </c>
      <c r="L190" s="2">
        <v>878.473612</v>
      </c>
      <c r="M190" s="2">
        <v>804.073031</v>
      </c>
      <c r="N190" s="2">
        <v>595.056052</v>
      </c>
      <c r="O190" s="2">
        <v>8921.137906</v>
      </c>
    </row>
    <row r="191" spans="1:15" ht="15.75">
      <c r="A191" s="1" t="s">
        <v>144</v>
      </c>
      <c r="B191" s="2">
        <v>720</v>
      </c>
      <c r="C191" s="2">
        <v>706.576465</v>
      </c>
      <c r="D191" s="2">
        <v>528.755657</v>
      </c>
      <c r="E191" s="2">
        <v>644.060292</v>
      </c>
      <c r="F191" s="2">
        <v>613.865875</v>
      </c>
      <c r="G191" s="2">
        <v>645.590332</v>
      </c>
      <c r="H191" s="2">
        <v>671.360469</v>
      </c>
      <c r="I191" s="2">
        <v>673.71674</v>
      </c>
      <c r="J191" s="2">
        <v>1054.674662</v>
      </c>
      <c r="K191" s="2">
        <v>1098.75949</v>
      </c>
      <c r="L191" s="2">
        <v>838.372925</v>
      </c>
      <c r="M191" s="2">
        <v>757.37028</v>
      </c>
      <c r="N191" s="2">
        <v>338.03773</v>
      </c>
      <c r="O191" s="2">
        <v>8571.140916999999</v>
      </c>
    </row>
    <row r="192" spans="1:15" ht="15.75">
      <c r="A192" s="1" t="s">
        <v>144</v>
      </c>
      <c r="B192" s="2">
        <v>434.5</v>
      </c>
      <c r="C192" s="2">
        <v>854.161446</v>
      </c>
      <c r="D192" s="2">
        <v>425.104533</v>
      </c>
      <c r="E192" s="2">
        <v>1093.655849</v>
      </c>
      <c r="F192" s="2">
        <v>1272.793389</v>
      </c>
      <c r="G192" s="2">
        <v>1456.730002</v>
      </c>
      <c r="H192" s="2">
        <v>1417.449344</v>
      </c>
      <c r="I192" s="2">
        <v>1636.159439</v>
      </c>
      <c r="J192" s="2">
        <v>339.624882</v>
      </c>
      <c r="K192" s="2">
        <v>66.361283</v>
      </c>
      <c r="O192" s="2">
        <v>8562.040167</v>
      </c>
    </row>
    <row r="193" spans="1:15" ht="15.75">
      <c r="A193" s="1" t="s">
        <v>144</v>
      </c>
      <c r="B193" s="2">
        <v>660</v>
      </c>
      <c r="C193" s="2">
        <v>607.34314</v>
      </c>
      <c r="D193" s="2">
        <v>504.345549</v>
      </c>
      <c r="E193" s="2">
        <v>589.122336</v>
      </c>
      <c r="F193" s="2">
        <v>526.735587</v>
      </c>
      <c r="G193" s="2">
        <v>751.285929</v>
      </c>
      <c r="H193" s="2">
        <v>683.598331</v>
      </c>
      <c r="I193" s="2">
        <v>873.585393</v>
      </c>
      <c r="J193" s="2">
        <v>1094.438668</v>
      </c>
      <c r="K193" s="2">
        <v>815.729126</v>
      </c>
      <c r="L193" s="2">
        <v>729.714028</v>
      </c>
      <c r="M193" s="2">
        <v>618.75177</v>
      </c>
      <c r="N193" s="2">
        <v>738.426389</v>
      </c>
      <c r="O193" s="2">
        <v>8533.076246</v>
      </c>
    </row>
    <row r="194" spans="1:15" ht="15.75">
      <c r="A194" s="1" t="s">
        <v>144</v>
      </c>
      <c r="B194" s="2">
        <v>660</v>
      </c>
      <c r="C194" s="2">
        <v>429.745364</v>
      </c>
      <c r="D194" s="2">
        <v>404.745875</v>
      </c>
      <c r="E194" s="2">
        <v>452.343241</v>
      </c>
      <c r="F194" s="2">
        <v>539.020975</v>
      </c>
      <c r="G194" s="2">
        <v>698.531644</v>
      </c>
      <c r="H194" s="2">
        <v>992.629989</v>
      </c>
      <c r="I194" s="2">
        <v>1292.697974</v>
      </c>
      <c r="J194" s="2">
        <v>1060.931249</v>
      </c>
      <c r="K194" s="2">
        <v>836.036325</v>
      </c>
      <c r="L194" s="2">
        <v>693.294689</v>
      </c>
      <c r="M194" s="2">
        <v>567.878524</v>
      </c>
      <c r="N194" s="2">
        <v>444.583287</v>
      </c>
      <c r="O194" s="2">
        <v>8412.439136</v>
      </c>
    </row>
    <row r="195" spans="1:15" ht="15.75">
      <c r="A195" s="1" t="s">
        <v>144</v>
      </c>
      <c r="B195" s="2">
        <v>660</v>
      </c>
      <c r="C195" s="2">
        <v>424.949166</v>
      </c>
      <c r="D195" s="2">
        <v>561.926176</v>
      </c>
      <c r="E195" s="2">
        <v>331.628286</v>
      </c>
      <c r="F195" s="2">
        <v>690.645459</v>
      </c>
      <c r="G195" s="2">
        <v>913.420052</v>
      </c>
      <c r="H195" s="2">
        <v>656.755059</v>
      </c>
      <c r="I195" s="2">
        <v>1098.353602</v>
      </c>
      <c r="J195" s="2">
        <v>1074.402368</v>
      </c>
      <c r="K195" s="2">
        <v>767.89644</v>
      </c>
      <c r="L195" s="2">
        <v>829.513225</v>
      </c>
      <c r="M195" s="2">
        <v>650.659653</v>
      </c>
      <c r="N195" s="2">
        <v>400.481775</v>
      </c>
      <c r="O195" s="2">
        <v>8400.631260999999</v>
      </c>
    </row>
    <row r="196" spans="1:15" ht="15.75">
      <c r="A196" s="1" t="s">
        <v>144</v>
      </c>
      <c r="B196" s="2">
        <v>638</v>
      </c>
      <c r="C196" s="2">
        <v>701.639625</v>
      </c>
      <c r="D196" s="2">
        <v>700.282833</v>
      </c>
      <c r="E196" s="2">
        <v>665.126328</v>
      </c>
      <c r="F196" s="2">
        <v>506.911474</v>
      </c>
      <c r="G196" s="2">
        <v>713.042855</v>
      </c>
      <c r="H196" s="2">
        <v>509.855019</v>
      </c>
      <c r="I196" s="2">
        <v>667.665665</v>
      </c>
      <c r="J196" s="2">
        <v>752.471105</v>
      </c>
      <c r="K196" s="2">
        <v>1061.470523</v>
      </c>
      <c r="L196" s="2">
        <v>470.896071</v>
      </c>
      <c r="M196" s="2">
        <v>869.483622</v>
      </c>
      <c r="N196" s="2">
        <v>717.010615</v>
      </c>
      <c r="O196" s="2">
        <v>8335.855735</v>
      </c>
    </row>
    <row r="197" spans="1:15" ht="15.75">
      <c r="A197" s="1" t="s">
        <v>144</v>
      </c>
      <c r="B197" s="2">
        <v>840</v>
      </c>
      <c r="C197" s="2">
        <v>414.16335</v>
      </c>
      <c r="D197" s="2">
        <v>377.015191</v>
      </c>
      <c r="E197" s="2">
        <v>488.527395</v>
      </c>
      <c r="F197" s="2">
        <v>453.660499</v>
      </c>
      <c r="G197" s="2">
        <v>580.725698</v>
      </c>
      <c r="H197" s="2">
        <v>845.019274</v>
      </c>
      <c r="I197" s="2">
        <v>1269.113258</v>
      </c>
      <c r="J197" s="2">
        <v>1162.456719</v>
      </c>
      <c r="K197" s="2">
        <v>1057.801809</v>
      </c>
      <c r="L197" s="2">
        <v>745.535976</v>
      </c>
      <c r="M197" s="2">
        <v>546.98867</v>
      </c>
      <c r="N197" s="2">
        <v>380.382159</v>
      </c>
      <c r="O197" s="2">
        <v>8321.389998</v>
      </c>
    </row>
    <row r="198" spans="1:15" ht="15.75">
      <c r="A198" s="1" t="s">
        <v>144</v>
      </c>
      <c r="B198" s="2">
        <v>660</v>
      </c>
      <c r="C198" s="2">
        <v>493.506163</v>
      </c>
      <c r="D198" s="2">
        <v>421.041881</v>
      </c>
      <c r="E198" s="2">
        <v>517.887006</v>
      </c>
      <c r="F198" s="2">
        <v>642.123675</v>
      </c>
      <c r="G198" s="2">
        <v>770.258255</v>
      </c>
      <c r="H198" s="2">
        <v>953.397911</v>
      </c>
      <c r="I198" s="2">
        <v>899.71964</v>
      </c>
      <c r="J198" s="2">
        <v>1003.520579</v>
      </c>
      <c r="K198" s="2">
        <v>740.655089</v>
      </c>
      <c r="L198" s="2">
        <v>673.687262</v>
      </c>
      <c r="M198" s="2">
        <v>605.081138</v>
      </c>
      <c r="N198" s="2">
        <v>592.447506</v>
      </c>
      <c r="O198" s="2">
        <v>8313.326105</v>
      </c>
    </row>
    <row r="199" spans="1:15" ht="15.75">
      <c r="A199" s="1" t="s">
        <v>144</v>
      </c>
      <c r="B199" s="2">
        <v>660</v>
      </c>
      <c r="C199" s="2">
        <v>464.170478</v>
      </c>
      <c r="D199" s="2">
        <v>422.431499</v>
      </c>
      <c r="E199" s="2">
        <v>469.275702</v>
      </c>
      <c r="F199" s="2">
        <v>680.16718</v>
      </c>
      <c r="G199" s="2">
        <v>734.739364</v>
      </c>
      <c r="H199" s="2">
        <v>915.568723</v>
      </c>
      <c r="I199" s="2">
        <v>910.575541</v>
      </c>
      <c r="J199" s="2">
        <v>944.768791</v>
      </c>
      <c r="K199" s="2">
        <v>755.578725</v>
      </c>
      <c r="L199" s="2">
        <v>702.436766</v>
      </c>
      <c r="M199" s="2">
        <v>743.06156</v>
      </c>
      <c r="N199" s="2">
        <v>520.558945</v>
      </c>
      <c r="O199" s="2">
        <v>8263.333274</v>
      </c>
    </row>
    <row r="200" spans="1:15" ht="15.75">
      <c r="A200" s="1" t="s">
        <v>144</v>
      </c>
      <c r="B200" s="2">
        <v>660</v>
      </c>
      <c r="C200" s="2">
        <v>341.011317</v>
      </c>
      <c r="D200" s="2">
        <v>336.563186</v>
      </c>
      <c r="E200" s="2">
        <v>360.264812</v>
      </c>
      <c r="F200" s="2">
        <v>379.248163</v>
      </c>
      <c r="G200" s="2">
        <v>587.232914</v>
      </c>
      <c r="H200" s="2">
        <v>736.939479</v>
      </c>
      <c r="I200" s="2">
        <v>1009.974496</v>
      </c>
      <c r="J200" s="2">
        <v>1237.910334</v>
      </c>
      <c r="K200" s="2">
        <v>1108.513029</v>
      </c>
      <c r="L200" s="2">
        <v>933.183486</v>
      </c>
      <c r="M200" s="2">
        <v>711.244046</v>
      </c>
      <c r="N200" s="2">
        <v>466.574411</v>
      </c>
      <c r="O200" s="2">
        <v>8208.659673</v>
      </c>
    </row>
    <row r="201" spans="1:15" ht="15.75">
      <c r="A201" s="1" t="s">
        <v>144</v>
      </c>
      <c r="B201" s="2">
        <v>467.5</v>
      </c>
      <c r="C201" s="2">
        <v>1438.625011</v>
      </c>
      <c r="D201" s="2">
        <v>1050.314528</v>
      </c>
      <c r="E201" s="2">
        <v>1339.804654</v>
      </c>
      <c r="F201" s="2">
        <v>1104.41034</v>
      </c>
      <c r="G201" s="2">
        <v>1131.966738</v>
      </c>
      <c r="H201" s="2">
        <v>403.096646</v>
      </c>
      <c r="I201" s="2">
        <v>791.83044</v>
      </c>
      <c r="J201" s="2">
        <v>772.616628</v>
      </c>
      <c r="K201" s="2">
        <v>76.047113</v>
      </c>
      <c r="O201" s="2">
        <v>8108.712097999999</v>
      </c>
    </row>
    <row r="202" spans="1:15" ht="15.75">
      <c r="A202" s="1" t="s">
        <v>144</v>
      </c>
      <c r="B202" s="2">
        <v>1380</v>
      </c>
      <c r="C202" s="2">
        <v>531.494211</v>
      </c>
      <c r="D202" s="2">
        <v>510.911387</v>
      </c>
      <c r="E202" s="2">
        <v>527.272946</v>
      </c>
      <c r="F202" s="2">
        <v>579.321139</v>
      </c>
      <c r="G202" s="2">
        <v>724.741873</v>
      </c>
      <c r="H202" s="2">
        <v>496.899396</v>
      </c>
      <c r="I202" s="2">
        <v>763.364954</v>
      </c>
      <c r="J202" s="2">
        <v>875.895222</v>
      </c>
      <c r="K202" s="2">
        <v>905.593543</v>
      </c>
      <c r="L202" s="2">
        <v>644.394555</v>
      </c>
      <c r="M202" s="2">
        <v>720.907543</v>
      </c>
      <c r="N202" s="2">
        <v>766.144359</v>
      </c>
      <c r="O202" s="2">
        <v>8046.9411279999995</v>
      </c>
    </row>
    <row r="203" spans="1:15" ht="15.75">
      <c r="A203" s="1" t="s">
        <v>144</v>
      </c>
      <c r="B203" s="2">
        <v>660</v>
      </c>
      <c r="C203" s="2">
        <v>454.089029</v>
      </c>
      <c r="D203" s="2">
        <v>474.438202</v>
      </c>
      <c r="E203" s="2">
        <v>667.22017</v>
      </c>
      <c r="F203" s="2">
        <v>568.178512</v>
      </c>
      <c r="G203" s="2">
        <v>753.887325</v>
      </c>
      <c r="H203" s="2">
        <v>854.81796</v>
      </c>
      <c r="I203" s="2">
        <v>769.804375</v>
      </c>
      <c r="J203" s="2">
        <v>725.934275</v>
      </c>
      <c r="K203" s="2">
        <v>599.446279</v>
      </c>
      <c r="L203" s="2">
        <v>669.611346</v>
      </c>
      <c r="M203" s="2">
        <v>812.216849</v>
      </c>
      <c r="N203" s="2">
        <v>694.819805</v>
      </c>
      <c r="O203" s="2">
        <v>8044.464126999999</v>
      </c>
    </row>
    <row r="204" spans="1:15" ht="15.75">
      <c r="A204" s="1" t="s">
        <v>144</v>
      </c>
      <c r="B204" s="2">
        <v>2928</v>
      </c>
      <c r="C204" s="2">
        <v>264.273407</v>
      </c>
      <c r="D204" s="2">
        <v>155.524083</v>
      </c>
      <c r="E204" s="2">
        <v>633.999291</v>
      </c>
      <c r="F204" s="2">
        <v>750.784606</v>
      </c>
      <c r="G204" s="2">
        <v>799.161282</v>
      </c>
      <c r="H204" s="2">
        <v>720.8405</v>
      </c>
      <c r="I204" s="2">
        <v>802.00069</v>
      </c>
      <c r="J204" s="2">
        <v>848.482239</v>
      </c>
      <c r="K204" s="2">
        <v>759.235164</v>
      </c>
      <c r="L204" s="2">
        <v>675.859999</v>
      </c>
      <c r="M204" s="2">
        <v>750.890684</v>
      </c>
      <c r="N204" s="2">
        <v>740.843118</v>
      </c>
      <c r="O204" s="2">
        <v>7901.895063</v>
      </c>
    </row>
    <row r="205" spans="1:15" ht="15.75">
      <c r="A205" s="1" t="s">
        <v>144</v>
      </c>
      <c r="B205" s="2">
        <v>660</v>
      </c>
      <c r="C205" s="2">
        <v>428.220687</v>
      </c>
      <c r="D205" s="2">
        <v>493.551477</v>
      </c>
      <c r="E205" s="2">
        <v>578.16301</v>
      </c>
      <c r="F205" s="2">
        <v>420.567639</v>
      </c>
      <c r="G205" s="2">
        <v>845.40757</v>
      </c>
      <c r="H205" s="2">
        <v>892.310424</v>
      </c>
      <c r="I205" s="2">
        <v>1447.564806</v>
      </c>
      <c r="J205" s="2">
        <v>739.091472</v>
      </c>
      <c r="K205" s="2">
        <v>845.472083</v>
      </c>
      <c r="L205" s="2">
        <v>535.139035</v>
      </c>
      <c r="M205" s="2">
        <v>422.55108</v>
      </c>
      <c r="N205" s="2">
        <v>208.929636</v>
      </c>
      <c r="O205" s="2">
        <v>7856.968919</v>
      </c>
    </row>
    <row r="206" spans="1:15" ht="15.75">
      <c r="A206" s="1" t="s">
        <v>144</v>
      </c>
      <c r="B206" s="2">
        <v>660</v>
      </c>
      <c r="C206" s="2">
        <v>301.813743</v>
      </c>
      <c r="D206" s="2">
        <v>311.698569</v>
      </c>
      <c r="E206" s="2">
        <v>318.554568</v>
      </c>
      <c r="F206" s="2">
        <v>475.745495</v>
      </c>
      <c r="G206" s="2">
        <v>734.80496</v>
      </c>
      <c r="H206" s="2">
        <v>1005.319871</v>
      </c>
      <c r="I206" s="2">
        <v>1214.023662</v>
      </c>
      <c r="J206" s="2">
        <v>1129.664951</v>
      </c>
      <c r="K206" s="2">
        <v>781.829892</v>
      </c>
      <c r="L206" s="2">
        <v>628.123425</v>
      </c>
      <c r="M206" s="2">
        <v>544.873836</v>
      </c>
      <c r="N206" s="2">
        <v>383.464793</v>
      </c>
      <c r="O206" s="2">
        <v>7829.917764999999</v>
      </c>
    </row>
    <row r="207" spans="1:15" ht="15.75">
      <c r="A207" s="1" t="s">
        <v>144</v>
      </c>
      <c r="B207" s="2">
        <v>660</v>
      </c>
      <c r="C207" s="2">
        <v>521.842396</v>
      </c>
      <c r="D207" s="2">
        <v>467.672617</v>
      </c>
      <c r="E207" s="2">
        <v>524.860026</v>
      </c>
      <c r="F207" s="2">
        <v>738.32248</v>
      </c>
      <c r="G207" s="2">
        <v>822.266411</v>
      </c>
      <c r="H207" s="2">
        <v>745.091498</v>
      </c>
      <c r="I207" s="2">
        <v>1132.413739</v>
      </c>
      <c r="J207" s="2">
        <v>815.205873</v>
      </c>
      <c r="K207" s="2">
        <v>605.404262</v>
      </c>
      <c r="L207" s="2">
        <v>622.705662</v>
      </c>
      <c r="M207" s="2">
        <v>504.762834</v>
      </c>
      <c r="N207" s="2">
        <v>306.925446</v>
      </c>
      <c r="O207" s="2">
        <v>7807.473244000002</v>
      </c>
    </row>
    <row r="208" spans="1:15" ht="15.75">
      <c r="A208" s="1" t="s">
        <v>144</v>
      </c>
      <c r="B208" s="2">
        <v>660</v>
      </c>
      <c r="C208" s="2">
        <v>326.713453</v>
      </c>
      <c r="D208" s="2">
        <v>356.353801</v>
      </c>
      <c r="E208" s="2">
        <v>394.056734</v>
      </c>
      <c r="F208" s="2">
        <v>493.177112</v>
      </c>
      <c r="G208" s="2">
        <v>533.158955</v>
      </c>
      <c r="H208" s="2">
        <v>530.656311</v>
      </c>
      <c r="I208" s="2">
        <v>999.169762</v>
      </c>
      <c r="J208" s="2">
        <v>999.869154</v>
      </c>
      <c r="K208" s="2">
        <v>982.934048</v>
      </c>
      <c r="L208" s="2">
        <v>825.918488</v>
      </c>
      <c r="M208" s="2">
        <v>630.229648</v>
      </c>
      <c r="N208" s="2">
        <v>588.894248</v>
      </c>
      <c r="O208" s="2">
        <v>7661.131714</v>
      </c>
    </row>
    <row r="209" spans="1:15" ht="15.75">
      <c r="A209" s="1" t="s">
        <v>144</v>
      </c>
      <c r="B209" s="2">
        <v>252</v>
      </c>
      <c r="C209" s="2">
        <v>467.844721</v>
      </c>
      <c r="D209" s="2">
        <v>432.728981</v>
      </c>
      <c r="E209" s="2">
        <v>287.374623</v>
      </c>
      <c r="F209" s="2">
        <v>299.104016</v>
      </c>
      <c r="G209" s="2">
        <v>496.068126</v>
      </c>
      <c r="H209" s="2">
        <v>440.425115</v>
      </c>
      <c r="I209" s="2">
        <v>1035.392563</v>
      </c>
      <c r="J209" s="2">
        <v>1055.404828</v>
      </c>
      <c r="K209" s="2">
        <v>850.903089</v>
      </c>
      <c r="L209" s="2">
        <v>648.66969</v>
      </c>
      <c r="M209" s="2">
        <v>981.306788</v>
      </c>
      <c r="N209" s="2">
        <v>648.250609</v>
      </c>
      <c r="O209" s="2">
        <v>7643.4731489999995</v>
      </c>
    </row>
    <row r="210" spans="1:15" ht="15.75">
      <c r="A210" s="1" t="s">
        <v>144</v>
      </c>
      <c r="B210" s="2">
        <v>660</v>
      </c>
      <c r="C210" s="2">
        <v>487.173415</v>
      </c>
      <c r="D210" s="2">
        <v>551.299651</v>
      </c>
      <c r="E210" s="2">
        <v>541.392823</v>
      </c>
      <c r="F210" s="2">
        <v>362.660665</v>
      </c>
      <c r="G210" s="2">
        <v>588.948808</v>
      </c>
      <c r="H210" s="2">
        <v>835.503889</v>
      </c>
      <c r="I210" s="2">
        <v>738.96732</v>
      </c>
      <c r="J210" s="2">
        <v>902.970873</v>
      </c>
      <c r="K210" s="2">
        <v>769.898436</v>
      </c>
      <c r="L210" s="2">
        <v>660.343118</v>
      </c>
      <c r="M210" s="2">
        <v>677.151616</v>
      </c>
      <c r="N210" s="2">
        <v>514.647074</v>
      </c>
      <c r="O210" s="2">
        <v>7630.957688</v>
      </c>
    </row>
    <row r="211" spans="1:15" ht="15.75">
      <c r="A211" s="1" t="s">
        <v>144</v>
      </c>
      <c r="B211" s="2">
        <v>2928</v>
      </c>
      <c r="C211" s="2">
        <v>90.230082</v>
      </c>
      <c r="D211" s="2">
        <v>561.926176</v>
      </c>
      <c r="E211" s="2">
        <v>430.502296</v>
      </c>
      <c r="F211" s="2">
        <v>703.498188</v>
      </c>
      <c r="G211" s="2">
        <v>697.869993</v>
      </c>
      <c r="H211" s="2">
        <v>641.97279</v>
      </c>
      <c r="I211" s="2">
        <v>824.558046</v>
      </c>
      <c r="J211" s="2">
        <v>7.410022</v>
      </c>
      <c r="K211" s="2">
        <v>655.933548</v>
      </c>
      <c r="L211" s="2">
        <v>1165.437407</v>
      </c>
      <c r="M211" s="2">
        <v>1342.847862</v>
      </c>
      <c r="N211" s="2">
        <v>504.073061</v>
      </c>
      <c r="O211" s="2">
        <v>7626.259471</v>
      </c>
    </row>
    <row r="212" spans="1:15" ht="15.75">
      <c r="A212" s="1" t="s">
        <v>144</v>
      </c>
      <c r="B212" s="2">
        <v>660</v>
      </c>
      <c r="C212" s="2">
        <v>362.505133</v>
      </c>
      <c r="D212" s="2">
        <v>305.329758</v>
      </c>
      <c r="E212" s="2">
        <v>374.369613</v>
      </c>
      <c r="F212" s="2">
        <v>366.469978</v>
      </c>
      <c r="G212" s="2">
        <v>598.677455</v>
      </c>
      <c r="H212" s="2">
        <v>672.00369</v>
      </c>
      <c r="I212" s="2">
        <v>788.880439</v>
      </c>
      <c r="J212" s="2">
        <v>1360.603755</v>
      </c>
      <c r="K212" s="2">
        <v>968.262821</v>
      </c>
      <c r="L212" s="2">
        <v>717.002303</v>
      </c>
      <c r="M212" s="2">
        <v>716.843562</v>
      </c>
      <c r="N212" s="2">
        <v>389.350851</v>
      </c>
      <c r="O212" s="2">
        <v>7620.299358</v>
      </c>
    </row>
    <row r="213" spans="1:15" ht="15.75">
      <c r="A213" s="1" t="s">
        <v>144</v>
      </c>
      <c r="B213" s="2">
        <v>660</v>
      </c>
      <c r="C213" s="2">
        <v>448.286942</v>
      </c>
      <c r="D213" s="2">
        <v>427.982758</v>
      </c>
      <c r="E213" s="2">
        <v>503.764655</v>
      </c>
      <c r="F213" s="2">
        <v>492.868407</v>
      </c>
      <c r="G213" s="2">
        <v>551.261728</v>
      </c>
      <c r="H213" s="2">
        <v>694.350183</v>
      </c>
      <c r="I213" s="2">
        <v>856.948607</v>
      </c>
      <c r="J213" s="2">
        <v>967.361539</v>
      </c>
      <c r="K213" s="2">
        <v>820.05956</v>
      </c>
      <c r="L213" s="2">
        <v>700.85314</v>
      </c>
      <c r="M213" s="2">
        <v>578.3144</v>
      </c>
      <c r="N213" s="2">
        <v>545.2641</v>
      </c>
      <c r="O213" s="2">
        <v>7587.316019</v>
      </c>
    </row>
    <row r="214" spans="1:15" ht="15.75">
      <c r="A214" s="1" t="s">
        <v>144</v>
      </c>
      <c r="B214" s="2">
        <v>660</v>
      </c>
      <c r="C214" s="2">
        <v>696.379359</v>
      </c>
      <c r="D214" s="2">
        <v>603.923782</v>
      </c>
      <c r="E214" s="2">
        <v>548.083228</v>
      </c>
      <c r="F214" s="2">
        <v>611.013819</v>
      </c>
      <c r="G214" s="2">
        <v>752.341251</v>
      </c>
      <c r="H214" s="2">
        <v>609.130155</v>
      </c>
      <c r="I214" s="2">
        <v>730.372696</v>
      </c>
      <c r="J214" s="2">
        <v>784.492153</v>
      </c>
      <c r="K214" s="2">
        <v>716.688905</v>
      </c>
      <c r="L214" s="2">
        <v>573.101098</v>
      </c>
      <c r="M214" s="2">
        <v>527.401151</v>
      </c>
      <c r="N214" s="2">
        <v>334.668026</v>
      </c>
      <c r="O214" s="2">
        <v>7487.595623</v>
      </c>
    </row>
    <row r="215" spans="1:15" ht="15.75">
      <c r="A215" s="1" t="s">
        <v>144</v>
      </c>
      <c r="B215" s="2">
        <v>660</v>
      </c>
      <c r="C215" s="2">
        <v>431.251204</v>
      </c>
      <c r="D215" s="2">
        <v>467.641561</v>
      </c>
      <c r="E215" s="2">
        <v>564.575263</v>
      </c>
      <c r="F215" s="2">
        <v>587.369169</v>
      </c>
      <c r="G215" s="2">
        <v>612.26296</v>
      </c>
      <c r="H215" s="2">
        <v>657.039753</v>
      </c>
      <c r="I215" s="2">
        <v>824.147128</v>
      </c>
      <c r="J215" s="2">
        <v>1367.576912</v>
      </c>
      <c r="K215" s="2">
        <v>739.833881</v>
      </c>
      <c r="L215" s="2">
        <v>436.076267</v>
      </c>
      <c r="M215" s="2">
        <v>406.641783</v>
      </c>
      <c r="N215" s="2">
        <v>389.327257</v>
      </c>
      <c r="O215" s="2">
        <v>7483.743138</v>
      </c>
    </row>
    <row r="216" spans="1:15" ht="15.75">
      <c r="A216" s="1" t="s">
        <v>144</v>
      </c>
      <c r="B216" s="2">
        <v>660</v>
      </c>
      <c r="C216" s="2">
        <v>342.959787</v>
      </c>
      <c r="D216" s="2">
        <v>330.242744</v>
      </c>
      <c r="E216" s="2">
        <v>394.485637</v>
      </c>
      <c r="F216" s="2">
        <v>490.712113</v>
      </c>
      <c r="G216" s="2">
        <v>696.331417</v>
      </c>
      <c r="H216" s="2">
        <v>731.304762</v>
      </c>
      <c r="I216" s="2">
        <v>1218.937968</v>
      </c>
      <c r="J216" s="2">
        <v>958.696153</v>
      </c>
      <c r="K216" s="2">
        <v>772.018035</v>
      </c>
      <c r="L216" s="2">
        <v>627.631874</v>
      </c>
      <c r="M216" s="2">
        <v>455.120269</v>
      </c>
      <c r="N216" s="2">
        <v>458.578123</v>
      </c>
      <c r="O216" s="2">
        <v>7477.018882</v>
      </c>
    </row>
    <row r="217" spans="1:15" ht="15.75">
      <c r="A217" s="1" t="s">
        <v>144</v>
      </c>
      <c r="B217" s="2">
        <v>660</v>
      </c>
      <c r="C217" s="2">
        <v>551.640151</v>
      </c>
      <c r="D217" s="2">
        <v>656.048694</v>
      </c>
      <c r="E217" s="2">
        <v>737.846008</v>
      </c>
      <c r="F217" s="2">
        <v>618.241697</v>
      </c>
      <c r="G217" s="2">
        <v>712.993076</v>
      </c>
      <c r="H217" s="2">
        <v>877.204994</v>
      </c>
      <c r="I217" s="2">
        <v>817.60114</v>
      </c>
      <c r="J217" s="2">
        <v>749.041828</v>
      </c>
      <c r="K217" s="2">
        <v>621.833346</v>
      </c>
      <c r="L217" s="2">
        <v>522.703116</v>
      </c>
      <c r="M217" s="2">
        <v>475.759479</v>
      </c>
      <c r="N217" s="2">
        <v>127.737096</v>
      </c>
      <c r="O217" s="2">
        <v>7468.650625</v>
      </c>
    </row>
    <row r="218" spans="1:15" ht="15.75">
      <c r="A218" s="1" t="s">
        <v>144</v>
      </c>
      <c r="B218" s="2">
        <v>692</v>
      </c>
      <c r="C218" s="2">
        <v>357.928813</v>
      </c>
      <c r="D218" s="2">
        <v>345.679181</v>
      </c>
      <c r="E218" s="2">
        <v>364.950813</v>
      </c>
      <c r="F218" s="2">
        <v>330.559197</v>
      </c>
      <c r="G218" s="2">
        <v>632.791989</v>
      </c>
      <c r="H218" s="2">
        <v>630.226265</v>
      </c>
      <c r="I218" s="2">
        <v>984.546897</v>
      </c>
      <c r="J218" s="2">
        <v>940.553184</v>
      </c>
      <c r="K218" s="2">
        <v>1060.392964</v>
      </c>
      <c r="L218" s="2">
        <v>372.383815</v>
      </c>
      <c r="M218" s="2">
        <v>835.916888</v>
      </c>
      <c r="N218" s="2">
        <v>599.838487</v>
      </c>
      <c r="O218" s="2">
        <v>7455.768493</v>
      </c>
    </row>
    <row r="219" spans="1:15" ht="15.75">
      <c r="A219" s="1" t="s">
        <v>144</v>
      </c>
      <c r="B219" s="2">
        <v>660</v>
      </c>
      <c r="C219" s="2">
        <v>386.122919</v>
      </c>
      <c r="D219" s="2">
        <v>372.152503</v>
      </c>
      <c r="E219" s="2">
        <v>374.847201</v>
      </c>
      <c r="F219" s="2">
        <v>501.798973</v>
      </c>
      <c r="G219" s="2">
        <v>621.958519</v>
      </c>
      <c r="H219" s="2">
        <v>657.329757</v>
      </c>
      <c r="I219" s="2">
        <v>1070.179436</v>
      </c>
      <c r="J219" s="2">
        <v>787.627984</v>
      </c>
      <c r="K219" s="2">
        <v>701.763802</v>
      </c>
      <c r="L219" s="2">
        <v>734.577986</v>
      </c>
      <c r="M219" s="2">
        <v>636.704319</v>
      </c>
      <c r="N219" s="2">
        <v>540.188508</v>
      </c>
      <c r="O219" s="2">
        <v>7385.251907000001</v>
      </c>
    </row>
    <row r="220" spans="1:15" ht="15.75">
      <c r="A220" s="1" t="s">
        <v>144</v>
      </c>
      <c r="B220" s="2">
        <v>660</v>
      </c>
      <c r="C220" s="2">
        <v>546.8243</v>
      </c>
      <c r="D220" s="2">
        <v>478.875732</v>
      </c>
      <c r="E220" s="2">
        <v>672.576231</v>
      </c>
      <c r="F220" s="2">
        <v>614.555339</v>
      </c>
      <c r="G220" s="2">
        <v>582.963712</v>
      </c>
      <c r="H220" s="2">
        <v>635.221472</v>
      </c>
      <c r="I220" s="2">
        <v>622.731886</v>
      </c>
      <c r="J220" s="2">
        <v>748.863164</v>
      </c>
      <c r="K220" s="2">
        <v>607.716996</v>
      </c>
      <c r="L220" s="2">
        <v>650.274232</v>
      </c>
      <c r="M220" s="2">
        <v>624.059004</v>
      </c>
      <c r="N220" s="2">
        <v>569.235808</v>
      </c>
      <c r="O220" s="2">
        <v>7353.897876</v>
      </c>
    </row>
    <row r="221" spans="1:15" ht="15.75">
      <c r="A221" s="1" t="s">
        <v>144</v>
      </c>
      <c r="B221" s="2">
        <v>660</v>
      </c>
      <c r="C221" s="2">
        <v>424.986153</v>
      </c>
      <c r="D221" s="2">
        <v>398.921342</v>
      </c>
      <c r="E221" s="2">
        <v>430.709165</v>
      </c>
      <c r="F221" s="2">
        <v>425.193926</v>
      </c>
      <c r="G221" s="2">
        <v>552.559368</v>
      </c>
      <c r="H221" s="2">
        <v>748.414245</v>
      </c>
      <c r="I221" s="2">
        <v>843.731414</v>
      </c>
      <c r="J221" s="2">
        <v>993.774064</v>
      </c>
      <c r="K221" s="2">
        <v>730.394121</v>
      </c>
      <c r="L221" s="2">
        <v>709.035363</v>
      </c>
      <c r="M221" s="2">
        <v>577.203406</v>
      </c>
      <c r="N221" s="2">
        <v>506.207994</v>
      </c>
      <c r="O221" s="2">
        <v>7341.130561</v>
      </c>
    </row>
    <row r="222" spans="1:15" ht="15.75">
      <c r="A222" s="1" t="s">
        <v>144</v>
      </c>
      <c r="B222" s="2">
        <v>660</v>
      </c>
      <c r="C222" s="2">
        <v>515.81628</v>
      </c>
      <c r="D222" s="2">
        <v>514.706455</v>
      </c>
      <c r="E222" s="2">
        <v>433.186463</v>
      </c>
      <c r="F222" s="2">
        <v>510.232968</v>
      </c>
      <c r="G222" s="2">
        <v>548.688492</v>
      </c>
      <c r="H222" s="2">
        <v>742.606876</v>
      </c>
      <c r="I222" s="2">
        <v>845.105048</v>
      </c>
      <c r="J222" s="2">
        <v>814.88369</v>
      </c>
      <c r="K222" s="2">
        <v>743.248999</v>
      </c>
      <c r="L222" s="2">
        <v>571.580303</v>
      </c>
      <c r="M222" s="2">
        <v>542.830452</v>
      </c>
      <c r="N222" s="2">
        <v>546.965646</v>
      </c>
      <c r="O222" s="2">
        <v>7329.851672</v>
      </c>
    </row>
    <row r="223" spans="1:15" ht="15.75">
      <c r="A223" s="1" t="s">
        <v>144</v>
      </c>
      <c r="B223" s="2">
        <v>660</v>
      </c>
      <c r="C223" s="2">
        <v>318.780344</v>
      </c>
      <c r="D223" s="2">
        <v>29.246023</v>
      </c>
      <c r="E223" s="2">
        <v>1138.003055</v>
      </c>
      <c r="F223" s="2">
        <v>794.437893</v>
      </c>
      <c r="H223" s="2">
        <v>863.571144</v>
      </c>
      <c r="I223" s="2">
        <v>780.906038</v>
      </c>
      <c r="J223" s="2">
        <v>976.761534</v>
      </c>
      <c r="K223" s="2">
        <v>679.220611</v>
      </c>
      <c r="L223" s="2">
        <v>643.29704</v>
      </c>
      <c r="M223" s="2">
        <v>703.824654</v>
      </c>
      <c r="N223" s="2">
        <v>331.89793</v>
      </c>
      <c r="O223" s="2">
        <v>7259.946266</v>
      </c>
    </row>
    <row r="224" spans="1:15" ht="15.75">
      <c r="A224" s="1" t="s">
        <v>144</v>
      </c>
      <c r="B224" s="2">
        <v>660</v>
      </c>
      <c r="C224" s="2">
        <v>577.404169</v>
      </c>
      <c r="D224" s="2">
        <v>481.720092</v>
      </c>
      <c r="E224" s="2">
        <v>498.772518</v>
      </c>
      <c r="F224" s="2">
        <v>511.685786</v>
      </c>
      <c r="G224" s="2">
        <v>534.453452</v>
      </c>
      <c r="H224" s="2">
        <v>520.673078</v>
      </c>
      <c r="I224" s="2">
        <v>844.489196</v>
      </c>
      <c r="J224" s="2">
        <v>827.40163</v>
      </c>
      <c r="K224" s="2">
        <v>589.737535</v>
      </c>
      <c r="L224" s="2">
        <v>660.792126</v>
      </c>
      <c r="M224" s="2">
        <v>582.164159</v>
      </c>
      <c r="N224" s="2">
        <v>616.805775</v>
      </c>
      <c r="O224" s="2">
        <v>7246.099515999999</v>
      </c>
    </row>
    <row r="225" spans="1:15" ht="15.75">
      <c r="A225" s="1" t="s">
        <v>144</v>
      </c>
      <c r="B225" s="2">
        <v>660</v>
      </c>
      <c r="C225" s="2">
        <v>573.531258</v>
      </c>
      <c r="D225" s="2">
        <v>531.282594</v>
      </c>
      <c r="E225" s="2">
        <v>456.44674</v>
      </c>
      <c r="F225" s="2">
        <v>329.996331</v>
      </c>
      <c r="G225" s="2">
        <v>457.687773</v>
      </c>
      <c r="H225" s="2">
        <v>671.672364</v>
      </c>
      <c r="I225" s="2">
        <v>1049.034172</v>
      </c>
      <c r="J225" s="2">
        <v>1022.945785</v>
      </c>
      <c r="K225" s="2">
        <v>773.723553</v>
      </c>
      <c r="L225" s="2">
        <v>548.523144</v>
      </c>
      <c r="M225" s="2">
        <v>423.586537</v>
      </c>
      <c r="N225" s="2">
        <v>393.182062</v>
      </c>
      <c r="O225" s="2">
        <v>7231.612313</v>
      </c>
    </row>
    <row r="226" spans="1:15" ht="15.75">
      <c r="A226" s="1" t="s">
        <v>144</v>
      </c>
      <c r="B226" s="2">
        <v>660</v>
      </c>
      <c r="C226" s="2">
        <v>396.005042</v>
      </c>
      <c r="D226" s="2">
        <v>490.737341</v>
      </c>
      <c r="E226" s="2">
        <v>586.518685</v>
      </c>
      <c r="F226" s="2">
        <v>717.974607</v>
      </c>
      <c r="G226" s="2">
        <v>828.892549</v>
      </c>
      <c r="H226" s="2">
        <v>816.006944</v>
      </c>
      <c r="I226" s="2">
        <v>726.054627</v>
      </c>
      <c r="J226" s="2">
        <v>752.298402</v>
      </c>
      <c r="K226" s="2">
        <v>629.672359</v>
      </c>
      <c r="L226" s="2">
        <v>421.919574</v>
      </c>
      <c r="M226" s="2">
        <v>422.312931</v>
      </c>
      <c r="N226" s="2">
        <v>315.553761</v>
      </c>
      <c r="O226" s="2">
        <v>7103.946822000001</v>
      </c>
    </row>
    <row r="227" spans="1:15" ht="15.75">
      <c r="A227" s="1" t="s">
        <v>144</v>
      </c>
      <c r="B227" s="2">
        <v>660</v>
      </c>
      <c r="C227" s="2">
        <v>486.082264</v>
      </c>
      <c r="D227" s="2">
        <v>389.923437</v>
      </c>
      <c r="E227" s="2">
        <v>481.671548</v>
      </c>
      <c r="F227" s="2">
        <v>351.6012</v>
      </c>
      <c r="G227" s="2">
        <v>658.953249</v>
      </c>
      <c r="H227" s="2">
        <v>633.832891</v>
      </c>
      <c r="I227" s="2">
        <v>882.928594</v>
      </c>
      <c r="J227" s="2">
        <v>1112.6116</v>
      </c>
      <c r="K227" s="2">
        <v>587.206516</v>
      </c>
      <c r="L227" s="2">
        <v>542.354759</v>
      </c>
      <c r="M227" s="2">
        <v>523.820817</v>
      </c>
      <c r="N227" s="2">
        <v>420.465294</v>
      </c>
      <c r="O227" s="2">
        <v>7071.452168999999</v>
      </c>
    </row>
    <row r="228" spans="1:15" ht="15.75">
      <c r="A228" s="1" t="s">
        <v>144</v>
      </c>
      <c r="B228" s="2">
        <v>1794</v>
      </c>
      <c r="C228" s="2">
        <v>129.416135</v>
      </c>
      <c r="D228" s="2">
        <v>158.51175</v>
      </c>
      <c r="E228" s="2">
        <v>175.326119</v>
      </c>
      <c r="F228" s="2">
        <v>388.394521</v>
      </c>
      <c r="G228" s="2">
        <v>576.446735</v>
      </c>
      <c r="H228" s="2">
        <v>1020.139771</v>
      </c>
      <c r="I228" s="2">
        <v>1280.963026</v>
      </c>
      <c r="J228" s="2">
        <v>1136.701553</v>
      </c>
      <c r="K228" s="2">
        <v>723.610348</v>
      </c>
      <c r="L228" s="2">
        <v>656.684337</v>
      </c>
      <c r="M228" s="2">
        <v>513.578353</v>
      </c>
      <c r="N228" s="2">
        <v>295.300913</v>
      </c>
      <c r="O228" s="2">
        <v>7055.073561</v>
      </c>
    </row>
    <row r="229" spans="1:15" ht="15.75">
      <c r="A229" s="1" t="s">
        <v>144</v>
      </c>
      <c r="B229" s="2">
        <v>660</v>
      </c>
      <c r="C229" s="2">
        <v>440.496929</v>
      </c>
      <c r="D229" s="2">
        <v>314.257914</v>
      </c>
      <c r="E229" s="2">
        <v>493.297495</v>
      </c>
      <c r="F229" s="2">
        <v>546.872185</v>
      </c>
      <c r="G229" s="2">
        <v>585.335347</v>
      </c>
      <c r="H229" s="2">
        <v>646.412901</v>
      </c>
      <c r="I229" s="2">
        <v>765.934801</v>
      </c>
      <c r="J229" s="2">
        <v>738.809671</v>
      </c>
      <c r="K229" s="2">
        <v>594.034101</v>
      </c>
      <c r="L229" s="2">
        <v>732.583723</v>
      </c>
      <c r="M229" s="2">
        <v>576.537456</v>
      </c>
      <c r="N229" s="2">
        <v>569.747257</v>
      </c>
      <c r="O229" s="2">
        <v>7004.31978</v>
      </c>
    </row>
    <row r="230" spans="1:15" ht="15.75">
      <c r="A230" s="1" t="s">
        <v>144</v>
      </c>
      <c r="B230" s="2">
        <v>660</v>
      </c>
      <c r="C230" s="2">
        <v>325.816366</v>
      </c>
      <c r="D230" s="2">
        <v>263.868333</v>
      </c>
      <c r="E230" s="2">
        <v>288.576041</v>
      </c>
      <c r="F230" s="2">
        <v>616.660169</v>
      </c>
      <c r="G230" s="2">
        <v>628.607301</v>
      </c>
      <c r="H230" s="2">
        <v>774.175813</v>
      </c>
      <c r="I230" s="2">
        <v>1077.057949</v>
      </c>
      <c r="J230" s="2">
        <v>873.785745</v>
      </c>
      <c r="K230" s="2">
        <v>856.659255</v>
      </c>
      <c r="L230" s="2">
        <v>562.277053</v>
      </c>
      <c r="M230" s="2">
        <v>375.744115</v>
      </c>
      <c r="N230" s="2">
        <v>347.868694</v>
      </c>
      <c r="O230" s="2">
        <v>6991.096834</v>
      </c>
    </row>
    <row r="231" spans="1:15" ht="15.75">
      <c r="A231" s="1" t="s">
        <v>144</v>
      </c>
      <c r="B231" s="2">
        <v>660</v>
      </c>
      <c r="C231" s="2">
        <v>458.728699</v>
      </c>
      <c r="D231" s="2">
        <v>333.370495</v>
      </c>
      <c r="E231" s="2">
        <v>408.29567</v>
      </c>
      <c r="F231" s="2">
        <v>400.559696</v>
      </c>
      <c r="G231" s="2">
        <v>583.71271</v>
      </c>
      <c r="H231" s="2">
        <v>674.49976</v>
      </c>
      <c r="I231" s="2">
        <v>905.59262</v>
      </c>
      <c r="J231" s="2">
        <v>945.866021</v>
      </c>
      <c r="K231" s="2">
        <v>760.966967</v>
      </c>
      <c r="L231" s="2">
        <v>550.744724</v>
      </c>
      <c r="M231" s="2">
        <v>487.181477</v>
      </c>
      <c r="N231" s="2">
        <v>317.215957</v>
      </c>
      <c r="O231" s="2">
        <v>6826.734796000001</v>
      </c>
    </row>
    <row r="232" spans="1:15" ht="15.75">
      <c r="A232" s="1" t="s">
        <v>144</v>
      </c>
      <c r="B232" s="2">
        <v>660</v>
      </c>
      <c r="C232" s="2">
        <v>413.839203</v>
      </c>
      <c r="D232" s="2">
        <v>364.469224</v>
      </c>
      <c r="E232" s="2">
        <v>367.39773</v>
      </c>
      <c r="F232" s="2">
        <v>496.595126</v>
      </c>
      <c r="G232" s="2">
        <v>490.437592</v>
      </c>
      <c r="H232" s="2">
        <v>687.640395</v>
      </c>
      <c r="I232" s="2">
        <v>942.184632</v>
      </c>
      <c r="J232" s="2">
        <v>796.858864</v>
      </c>
      <c r="K232" s="2">
        <v>695.088147</v>
      </c>
      <c r="L232" s="2">
        <v>602.476784</v>
      </c>
      <c r="M232" s="2">
        <v>476.644432</v>
      </c>
      <c r="N232" s="2">
        <v>454.437678</v>
      </c>
      <c r="O232" s="2">
        <v>6788.069807000001</v>
      </c>
    </row>
    <row r="233" spans="1:15" ht="15.75">
      <c r="A233" s="1" t="s">
        <v>144</v>
      </c>
      <c r="B233" s="2">
        <v>660</v>
      </c>
      <c r="C233" s="2">
        <v>1.128604</v>
      </c>
      <c r="D233" s="2">
        <v>182.329388</v>
      </c>
      <c r="E233" s="2">
        <v>214.106789</v>
      </c>
      <c r="F233" s="2">
        <v>452.140792</v>
      </c>
      <c r="G233" s="2">
        <v>908.893552</v>
      </c>
      <c r="H233" s="2">
        <v>664.43629</v>
      </c>
      <c r="I233" s="2">
        <v>917.869708</v>
      </c>
      <c r="J233" s="2">
        <v>1401.964229</v>
      </c>
      <c r="K233" s="2">
        <v>1388.793995</v>
      </c>
      <c r="L233" s="2">
        <v>512.519963</v>
      </c>
      <c r="M233" s="2">
        <v>118.129258</v>
      </c>
      <c r="N233" s="2">
        <v>4.269623</v>
      </c>
      <c r="O233" s="2">
        <v>6766.5821909999995</v>
      </c>
    </row>
    <row r="234" spans="1:15" ht="15.75">
      <c r="A234" s="1" t="s">
        <v>144</v>
      </c>
      <c r="B234" s="2">
        <v>660</v>
      </c>
      <c r="C234" s="2">
        <v>320.919556</v>
      </c>
      <c r="D234" s="2">
        <v>312.436666</v>
      </c>
      <c r="E234" s="2">
        <v>282.572307</v>
      </c>
      <c r="F234" s="2">
        <v>395.070944</v>
      </c>
      <c r="G234" s="2">
        <v>601.54614</v>
      </c>
      <c r="H234" s="2">
        <v>687.750775</v>
      </c>
      <c r="I234" s="2">
        <v>776.795646</v>
      </c>
      <c r="J234" s="2">
        <v>922.971365</v>
      </c>
      <c r="K234" s="2">
        <v>719.663249</v>
      </c>
      <c r="L234" s="2">
        <v>702.478907</v>
      </c>
      <c r="M234" s="2">
        <v>531.323883</v>
      </c>
      <c r="N234" s="2">
        <v>504.635956</v>
      </c>
      <c r="O234" s="2">
        <v>6758.165394000001</v>
      </c>
    </row>
    <row r="235" spans="1:15" ht="15.75">
      <c r="A235" s="1" t="s">
        <v>144</v>
      </c>
      <c r="B235" s="2">
        <v>660</v>
      </c>
      <c r="C235" s="2">
        <v>730.571305</v>
      </c>
      <c r="D235" s="2">
        <v>483.183934</v>
      </c>
      <c r="E235" s="2">
        <v>526.851294</v>
      </c>
      <c r="F235" s="2">
        <v>539.444051</v>
      </c>
      <c r="G235" s="2">
        <v>564.177786</v>
      </c>
      <c r="H235" s="2">
        <v>605.40113</v>
      </c>
      <c r="I235" s="2">
        <v>620.851655</v>
      </c>
      <c r="J235" s="2">
        <v>587.318589</v>
      </c>
      <c r="K235" s="2">
        <v>563.82227</v>
      </c>
      <c r="L235" s="2">
        <v>491.204024</v>
      </c>
      <c r="M235" s="2">
        <v>543.900827</v>
      </c>
      <c r="N235" s="2">
        <v>484.914511</v>
      </c>
      <c r="O235" s="2">
        <v>6741.641376</v>
      </c>
    </row>
    <row r="236" spans="1:15" ht="15.75">
      <c r="A236" s="1" t="s">
        <v>144</v>
      </c>
      <c r="B236" s="2">
        <v>660</v>
      </c>
      <c r="C236" s="2">
        <v>540.442498</v>
      </c>
      <c r="D236" s="2">
        <v>384.415882</v>
      </c>
      <c r="E236" s="2">
        <v>511.597875</v>
      </c>
      <c r="F236" s="2">
        <v>445.483449</v>
      </c>
      <c r="G236" s="2">
        <v>646.168085</v>
      </c>
      <c r="H236" s="2">
        <v>583.534768</v>
      </c>
      <c r="I236" s="2">
        <v>687.108349</v>
      </c>
      <c r="J236" s="2">
        <v>689.80141</v>
      </c>
      <c r="K236" s="2">
        <v>610.710719</v>
      </c>
      <c r="L236" s="2">
        <v>550.490866</v>
      </c>
      <c r="M236" s="2">
        <v>538.024404</v>
      </c>
      <c r="N236" s="2">
        <v>505.944201</v>
      </c>
      <c r="O236" s="2">
        <v>6693.722506</v>
      </c>
    </row>
    <row r="237" spans="1:15" ht="15.75">
      <c r="A237" s="1" t="s">
        <v>144</v>
      </c>
      <c r="B237" s="2">
        <v>660</v>
      </c>
      <c r="C237" s="2">
        <v>346.268675</v>
      </c>
      <c r="D237" s="2">
        <v>315.470904</v>
      </c>
      <c r="E237" s="2">
        <v>417.42591</v>
      </c>
      <c r="F237" s="2">
        <v>411.54339</v>
      </c>
      <c r="G237" s="2">
        <v>478.029834</v>
      </c>
      <c r="H237" s="2">
        <v>630.356232</v>
      </c>
      <c r="I237" s="2">
        <v>849.342806</v>
      </c>
      <c r="J237" s="2">
        <v>924.492077</v>
      </c>
      <c r="K237" s="2">
        <v>702.698647</v>
      </c>
      <c r="L237" s="2">
        <v>614.311359</v>
      </c>
      <c r="M237" s="2">
        <v>584.856965</v>
      </c>
      <c r="N237" s="2">
        <v>413.445812</v>
      </c>
      <c r="O237" s="2">
        <v>6688.242611000001</v>
      </c>
    </row>
    <row r="238" spans="1:15" ht="15.75">
      <c r="A238" s="1" t="s">
        <v>144</v>
      </c>
      <c r="B238" s="2">
        <v>660</v>
      </c>
      <c r="C238" s="2">
        <v>384.648207</v>
      </c>
      <c r="D238" s="2">
        <v>397.468578</v>
      </c>
      <c r="E238" s="2">
        <v>395.438412</v>
      </c>
      <c r="F238" s="2">
        <v>456.979892</v>
      </c>
      <c r="G238" s="2">
        <v>518.24001</v>
      </c>
      <c r="H238" s="2">
        <v>559.772536</v>
      </c>
      <c r="I238" s="2">
        <v>876.641168</v>
      </c>
      <c r="J238" s="2">
        <v>852.024283</v>
      </c>
      <c r="K238" s="2">
        <v>661.758944</v>
      </c>
      <c r="L238" s="2">
        <v>591.062845</v>
      </c>
      <c r="M238" s="2">
        <v>501.873318</v>
      </c>
      <c r="N238" s="2">
        <v>461.371673</v>
      </c>
      <c r="O238" s="2">
        <v>6657.279866</v>
      </c>
    </row>
    <row r="239" spans="1:15" ht="15.75">
      <c r="A239" s="1" t="s">
        <v>144</v>
      </c>
      <c r="B239" s="2">
        <v>912</v>
      </c>
      <c r="C239" s="2">
        <v>168.772946</v>
      </c>
      <c r="D239" s="2">
        <v>153.659922</v>
      </c>
      <c r="E239" s="2">
        <v>347.535435</v>
      </c>
      <c r="F239" s="2">
        <v>460.060164</v>
      </c>
      <c r="G239" s="2">
        <v>613.43937</v>
      </c>
      <c r="H239" s="2">
        <v>617.588788</v>
      </c>
      <c r="I239" s="2">
        <v>973.152447</v>
      </c>
      <c r="J239" s="2">
        <v>843.343415</v>
      </c>
      <c r="K239" s="2">
        <v>676.113643</v>
      </c>
      <c r="L239" s="2">
        <v>712.626264</v>
      </c>
      <c r="M239" s="2">
        <v>655.73856</v>
      </c>
      <c r="N239" s="2">
        <v>416.245613</v>
      </c>
      <c r="O239" s="2">
        <v>6638.276567</v>
      </c>
    </row>
    <row r="240" spans="1:15" ht="15.75">
      <c r="A240" s="1" t="s">
        <v>144</v>
      </c>
      <c r="B240" s="2">
        <v>660</v>
      </c>
      <c r="C240" s="2">
        <v>283.691676</v>
      </c>
      <c r="D240" s="2">
        <v>303.137684</v>
      </c>
      <c r="E240" s="2">
        <v>306.781008</v>
      </c>
      <c r="F240" s="2">
        <v>402.830924</v>
      </c>
      <c r="G240" s="2">
        <v>394.64247</v>
      </c>
      <c r="H240" s="2">
        <v>668.499676</v>
      </c>
      <c r="I240" s="2">
        <v>897.167685</v>
      </c>
      <c r="J240" s="2">
        <v>953.669288</v>
      </c>
      <c r="K240" s="2">
        <v>775.501542</v>
      </c>
      <c r="L240" s="2">
        <v>756.003469</v>
      </c>
      <c r="M240" s="2">
        <v>496.342537</v>
      </c>
      <c r="N240" s="2">
        <v>395.028047</v>
      </c>
      <c r="O240" s="2">
        <v>6633.2960060000005</v>
      </c>
    </row>
    <row r="241" spans="1:15" ht="15.75">
      <c r="A241" s="1" t="s">
        <v>144</v>
      </c>
      <c r="B241" s="2">
        <v>660</v>
      </c>
      <c r="C241" s="2">
        <v>394.615918</v>
      </c>
      <c r="D241" s="2">
        <v>480.976153</v>
      </c>
      <c r="E241" s="2">
        <v>482.278498</v>
      </c>
      <c r="F241" s="2">
        <v>536.59571</v>
      </c>
      <c r="G241" s="2">
        <v>566.933351</v>
      </c>
      <c r="H241" s="2">
        <v>575.883446</v>
      </c>
      <c r="I241" s="2">
        <v>556.506282</v>
      </c>
      <c r="J241" s="2">
        <v>766.798774</v>
      </c>
      <c r="K241" s="2">
        <v>561.832823</v>
      </c>
      <c r="L241" s="2">
        <v>610.657034</v>
      </c>
      <c r="M241" s="2">
        <v>576.164829</v>
      </c>
      <c r="N241" s="2">
        <v>509.375083</v>
      </c>
      <c r="O241" s="2">
        <v>6618.6179010000005</v>
      </c>
    </row>
    <row r="242" spans="1:15" ht="15.75">
      <c r="A242" s="1" t="s">
        <v>144</v>
      </c>
      <c r="B242" s="2">
        <v>660</v>
      </c>
      <c r="C242" s="2">
        <v>398.831935</v>
      </c>
      <c r="D242" s="2">
        <v>428.829588</v>
      </c>
      <c r="E242" s="2">
        <v>498.564241</v>
      </c>
      <c r="F242" s="2">
        <v>373.378877</v>
      </c>
      <c r="G242" s="2">
        <v>442.542681</v>
      </c>
      <c r="H242" s="2">
        <v>594.947538</v>
      </c>
      <c r="I242" s="2">
        <v>642.161996</v>
      </c>
      <c r="J242" s="2">
        <v>663.164301</v>
      </c>
      <c r="K242" s="2">
        <v>794.206634</v>
      </c>
      <c r="L242" s="2">
        <v>685.277467</v>
      </c>
      <c r="M242" s="2">
        <v>605.848749</v>
      </c>
      <c r="N242" s="2">
        <v>480.166668</v>
      </c>
      <c r="O242" s="2">
        <v>6607.920674999999</v>
      </c>
    </row>
    <row r="243" spans="1:15" ht="15.75">
      <c r="A243" s="1" t="s">
        <v>144</v>
      </c>
      <c r="B243" s="2">
        <v>660</v>
      </c>
      <c r="C243" s="2">
        <v>312.130309</v>
      </c>
      <c r="D243" s="2">
        <v>303.184764</v>
      </c>
      <c r="E243" s="2">
        <v>380.072594</v>
      </c>
      <c r="F243" s="2">
        <v>448.345138</v>
      </c>
      <c r="G243" s="2">
        <v>311.218623</v>
      </c>
      <c r="H243" s="2">
        <v>675.280949</v>
      </c>
      <c r="I243" s="2">
        <v>930.497055</v>
      </c>
      <c r="J243" s="2">
        <v>751.038962</v>
      </c>
      <c r="K243" s="2">
        <v>569.724728</v>
      </c>
      <c r="L243" s="2">
        <v>505.657686</v>
      </c>
      <c r="M243" s="2">
        <v>643.054567</v>
      </c>
      <c r="N243" s="2">
        <v>723.378663</v>
      </c>
      <c r="O243" s="2">
        <v>6553.584038000001</v>
      </c>
    </row>
    <row r="244" spans="1:15" ht="15.75">
      <c r="A244" s="1" t="s">
        <v>144</v>
      </c>
      <c r="B244" s="2">
        <v>660</v>
      </c>
      <c r="C244" s="2">
        <v>435.196087</v>
      </c>
      <c r="D244" s="2">
        <v>441.977002</v>
      </c>
      <c r="E244" s="2">
        <v>414.429101</v>
      </c>
      <c r="F244" s="2">
        <v>484.018165</v>
      </c>
      <c r="G244" s="2">
        <v>578.714418</v>
      </c>
      <c r="H244" s="2">
        <v>646.338986</v>
      </c>
      <c r="I244" s="2">
        <v>816.224635</v>
      </c>
      <c r="J244" s="2">
        <v>640.874196</v>
      </c>
      <c r="K244" s="2">
        <v>564.553456</v>
      </c>
      <c r="L244" s="2">
        <v>521.449804</v>
      </c>
      <c r="M244" s="2">
        <v>505.313488</v>
      </c>
      <c r="N244" s="2">
        <v>458.693993</v>
      </c>
      <c r="O244" s="2">
        <v>6507.783331</v>
      </c>
    </row>
    <row r="245" spans="1:15" ht="15.75">
      <c r="A245" s="1" t="s">
        <v>144</v>
      </c>
      <c r="B245" s="2">
        <v>660</v>
      </c>
      <c r="C245" s="2">
        <v>347.124431</v>
      </c>
      <c r="D245" s="2">
        <v>326.017848</v>
      </c>
      <c r="E245" s="2">
        <v>338.391607</v>
      </c>
      <c r="F245" s="2">
        <v>387.630226</v>
      </c>
      <c r="G245" s="2">
        <v>577.841375</v>
      </c>
      <c r="H245" s="2">
        <v>628.606564</v>
      </c>
      <c r="I245" s="2">
        <v>841.00428</v>
      </c>
      <c r="J245" s="2">
        <v>1006.754602</v>
      </c>
      <c r="K245" s="2">
        <v>735.573557</v>
      </c>
      <c r="L245" s="2">
        <v>637.863041</v>
      </c>
      <c r="M245" s="2">
        <v>378.522604</v>
      </c>
      <c r="N245" s="2">
        <v>267.887404</v>
      </c>
      <c r="O245" s="2">
        <v>6473.217538999999</v>
      </c>
    </row>
    <row r="246" spans="1:15" ht="15.75">
      <c r="A246" s="1" t="s">
        <v>144</v>
      </c>
      <c r="B246" s="2">
        <v>660</v>
      </c>
      <c r="C246" s="2">
        <v>236.483452</v>
      </c>
      <c r="D246" s="2">
        <v>215.122922</v>
      </c>
      <c r="E246" s="2">
        <v>230.334255</v>
      </c>
      <c r="F246" s="2">
        <v>335.050305</v>
      </c>
      <c r="G246" s="2">
        <v>654.138715</v>
      </c>
      <c r="H246" s="2">
        <v>725.149321</v>
      </c>
      <c r="I246" s="2">
        <v>947.269965</v>
      </c>
      <c r="J246" s="2">
        <v>742.480244</v>
      </c>
      <c r="K246" s="2">
        <v>772.480495</v>
      </c>
      <c r="L246" s="2">
        <v>575.445022</v>
      </c>
      <c r="M246" s="2">
        <v>589.608289</v>
      </c>
      <c r="N246" s="2">
        <v>408.082307</v>
      </c>
      <c r="O246" s="2">
        <v>6431.645291999999</v>
      </c>
    </row>
    <row r="247" spans="1:15" ht="15.75">
      <c r="A247" s="1" t="s">
        <v>144</v>
      </c>
      <c r="B247" s="2">
        <v>660</v>
      </c>
      <c r="C247" s="2">
        <v>355.215014</v>
      </c>
      <c r="D247" s="2">
        <v>384.703911</v>
      </c>
      <c r="E247" s="2">
        <v>512.200562</v>
      </c>
      <c r="F247" s="2">
        <v>393.593765</v>
      </c>
      <c r="G247" s="2">
        <v>587.984243</v>
      </c>
      <c r="H247" s="2">
        <v>569.42877</v>
      </c>
      <c r="I247" s="2">
        <v>596.009674</v>
      </c>
      <c r="J247" s="2">
        <v>704.990548</v>
      </c>
      <c r="K247" s="2">
        <v>619.571176</v>
      </c>
      <c r="L247" s="2">
        <v>606.170399</v>
      </c>
      <c r="M247" s="2">
        <v>533.855751</v>
      </c>
      <c r="N247" s="2">
        <v>549.884978</v>
      </c>
      <c r="O247" s="2">
        <v>6413.608791</v>
      </c>
    </row>
    <row r="248" spans="1:15" ht="15.75">
      <c r="A248" s="1" t="s">
        <v>144</v>
      </c>
      <c r="B248" s="2">
        <v>660</v>
      </c>
      <c r="C248" s="2">
        <v>442.292799</v>
      </c>
      <c r="D248" s="2">
        <v>579.263282</v>
      </c>
      <c r="E248" s="2">
        <v>445.421859</v>
      </c>
      <c r="F248" s="2">
        <v>404.922336</v>
      </c>
      <c r="G248" s="2">
        <v>599.13497</v>
      </c>
      <c r="H248" s="2">
        <v>640.303616</v>
      </c>
      <c r="I248" s="2">
        <v>693.387911</v>
      </c>
      <c r="J248" s="2">
        <v>703.997091</v>
      </c>
      <c r="K248" s="2">
        <v>590.766958</v>
      </c>
      <c r="L248" s="2">
        <v>415.575562</v>
      </c>
      <c r="M248" s="2">
        <v>460.519021</v>
      </c>
      <c r="N248" s="2">
        <v>420.876591</v>
      </c>
      <c r="O248" s="2">
        <v>6396.461996000001</v>
      </c>
    </row>
    <row r="249" spans="1:15" ht="15.75">
      <c r="A249" s="1" t="s">
        <v>144</v>
      </c>
      <c r="B249" s="2">
        <v>660</v>
      </c>
      <c r="C249" s="2">
        <v>297.156717</v>
      </c>
      <c r="D249" s="2">
        <v>223.114409</v>
      </c>
      <c r="E249" s="2">
        <v>128.889394</v>
      </c>
      <c r="F249" s="2">
        <v>156.310335</v>
      </c>
      <c r="G249" s="2">
        <v>746.274825</v>
      </c>
      <c r="H249" s="2">
        <v>669.533705</v>
      </c>
      <c r="I249" s="2">
        <v>781.251992</v>
      </c>
      <c r="J249" s="2">
        <v>736.860893</v>
      </c>
      <c r="K249" s="2">
        <v>661.703468</v>
      </c>
      <c r="L249" s="2">
        <v>708.749843</v>
      </c>
      <c r="M249" s="2">
        <v>704.54718</v>
      </c>
      <c r="N249" s="2">
        <v>506.027449</v>
      </c>
      <c r="O249" s="2">
        <v>6320.420209999999</v>
      </c>
    </row>
    <row r="250" spans="1:15" ht="15.75">
      <c r="A250" s="1" t="s">
        <v>144</v>
      </c>
      <c r="B250" s="2">
        <v>660</v>
      </c>
      <c r="C250" s="2">
        <v>254.570108</v>
      </c>
      <c r="D250" s="2">
        <v>73.184376</v>
      </c>
      <c r="E250" s="2">
        <v>833.933143</v>
      </c>
      <c r="F250" s="2">
        <v>426.686995</v>
      </c>
      <c r="G250" s="2">
        <v>654.867896</v>
      </c>
      <c r="H250" s="2">
        <v>569.75707</v>
      </c>
      <c r="I250" s="2">
        <v>548.688876</v>
      </c>
      <c r="J250" s="2">
        <v>930.187864</v>
      </c>
      <c r="K250" s="2">
        <v>835.855802</v>
      </c>
      <c r="L250" s="2">
        <v>655.188347</v>
      </c>
      <c r="M250" s="2">
        <v>304.24406</v>
      </c>
      <c r="N250" s="2">
        <v>173.496854</v>
      </c>
      <c r="O250" s="2">
        <v>6260.661391000001</v>
      </c>
    </row>
    <row r="251" spans="1:15" ht="15.75">
      <c r="A251" s="1" t="s">
        <v>144</v>
      </c>
      <c r="B251" s="2">
        <v>660</v>
      </c>
      <c r="C251" s="2">
        <v>458.700062</v>
      </c>
      <c r="D251" s="2">
        <v>390.349049</v>
      </c>
      <c r="E251" s="2">
        <v>400.847204</v>
      </c>
      <c r="F251" s="2">
        <v>336.203684</v>
      </c>
      <c r="G251" s="2">
        <v>545.840552</v>
      </c>
      <c r="H251" s="2">
        <v>513.277131</v>
      </c>
      <c r="I251" s="2">
        <v>666.777506</v>
      </c>
      <c r="J251" s="2">
        <v>894.364297</v>
      </c>
      <c r="K251" s="2">
        <v>583.581969</v>
      </c>
      <c r="L251" s="2">
        <v>505.357991</v>
      </c>
      <c r="M251" s="2">
        <v>530.361464</v>
      </c>
      <c r="N251" s="2">
        <v>412.897764</v>
      </c>
      <c r="O251" s="2">
        <v>6238.5586729999995</v>
      </c>
    </row>
    <row r="252" spans="1:15" ht="15.75">
      <c r="A252" s="1" t="s">
        <v>144</v>
      </c>
      <c r="B252" s="2">
        <v>660</v>
      </c>
      <c r="C252" s="2">
        <v>431.051088</v>
      </c>
      <c r="D252" s="2">
        <v>441.25272</v>
      </c>
      <c r="E252" s="2">
        <v>489.664897</v>
      </c>
      <c r="F252" s="2">
        <v>471.032137</v>
      </c>
      <c r="G252" s="2">
        <v>581.60576</v>
      </c>
      <c r="H252" s="2">
        <v>445.748943</v>
      </c>
      <c r="I252" s="2">
        <v>618.442239</v>
      </c>
      <c r="J252" s="2">
        <v>698.63688</v>
      </c>
      <c r="K252" s="2">
        <v>512.557715</v>
      </c>
      <c r="L252" s="2">
        <v>551.429105</v>
      </c>
      <c r="M252" s="2">
        <v>530.130458</v>
      </c>
      <c r="N252" s="2">
        <v>420.289279</v>
      </c>
      <c r="O252" s="2">
        <v>6191.841221</v>
      </c>
    </row>
    <row r="253" spans="1:15" ht="15.75">
      <c r="A253" s="1" t="s">
        <v>144</v>
      </c>
      <c r="B253" s="2">
        <v>660</v>
      </c>
      <c r="C253" s="2">
        <v>497.372316</v>
      </c>
      <c r="D253" s="2">
        <v>414.646886</v>
      </c>
      <c r="E253" s="2">
        <v>498.767396</v>
      </c>
      <c r="F253" s="2">
        <v>507.435552</v>
      </c>
      <c r="G253" s="2">
        <v>549.979778</v>
      </c>
      <c r="H253" s="2">
        <v>507.523009</v>
      </c>
      <c r="I253" s="2">
        <v>635.322173</v>
      </c>
      <c r="J253" s="2">
        <v>698.064071</v>
      </c>
      <c r="K253" s="2">
        <v>482.545985</v>
      </c>
      <c r="L253" s="2">
        <v>510.284698</v>
      </c>
      <c r="M253" s="2">
        <v>470.682646</v>
      </c>
      <c r="N253" s="2">
        <v>418.179757</v>
      </c>
      <c r="O253" s="2">
        <v>6190.804267</v>
      </c>
    </row>
    <row r="254" spans="1:15" ht="15.75">
      <c r="A254" s="1" t="s">
        <v>144</v>
      </c>
      <c r="B254" s="2">
        <v>660</v>
      </c>
      <c r="C254" s="2">
        <v>193.303926</v>
      </c>
      <c r="D254" s="2">
        <v>285.048305</v>
      </c>
      <c r="E254" s="2">
        <v>232.674686</v>
      </c>
      <c r="F254" s="2">
        <v>372.711675</v>
      </c>
      <c r="G254" s="2">
        <v>610.680361</v>
      </c>
      <c r="H254" s="2">
        <v>495.821598</v>
      </c>
      <c r="I254" s="2">
        <v>638.477554</v>
      </c>
      <c r="J254" s="2">
        <v>796.860659</v>
      </c>
      <c r="K254" s="2">
        <v>758.762586</v>
      </c>
      <c r="L254" s="2">
        <v>653.116366</v>
      </c>
      <c r="M254" s="2">
        <v>635.897427</v>
      </c>
      <c r="N254" s="2">
        <v>472.254926</v>
      </c>
      <c r="O254" s="2">
        <v>6145.610068999999</v>
      </c>
    </row>
    <row r="255" spans="1:15" ht="15.75">
      <c r="A255" s="1" t="s">
        <v>144</v>
      </c>
      <c r="B255" s="2">
        <v>660</v>
      </c>
      <c r="C255" s="2">
        <v>1230.478178</v>
      </c>
      <c r="D255" s="2">
        <v>1612.043793</v>
      </c>
      <c r="E255" s="2">
        <v>1079.793508</v>
      </c>
      <c r="F255" s="2">
        <v>0.12569</v>
      </c>
      <c r="G255" s="2">
        <v>0</v>
      </c>
      <c r="H255" s="2">
        <v>11.829928</v>
      </c>
      <c r="I255" s="2">
        <v>19.328787</v>
      </c>
      <c r="J255" s="2">
        <v>19.000077</v>
      </c>
      <c r="K255" s="2">
        <v>11.236945</v>
      </c>
      <c r="L255" s="2">
        <v>5.899416</v>
      </c>
      <c r="M255" s="2">
        <v>2.18556</v>
      </c>
      <c r="N255" s="2">
        <v>2153.219645</v>
      </c>
      <c r="O255" s="2">
        <v>6145.141527</v>
      </c>
    </row>
    <row r="256" spans="1:15" ht="15.75">
      <c r="A256" s="1" t="s">
        <v>144</v>
      </c>
      <c r="B256" s="2">
        <v>660</v>
      </c>
      <c r="C256" s="2">
        <v>147.926778</v>
      </c>
      <c r="D256" s="2">
        <v>94.866688</v>
      </c>
      <c r="E256" s="2">
        <v>253.001239</v>
      </c>
      <c r="F256" s="2">
        <v>458.963894</v>
      </c>
      <c r="G256" s="2">
        <v>628.44384</v>
      </c>
      <c r="H256" s="2">
        <v>749.610764</v>
      </c>
      <c r="I256" s="2">
        <v>804.325609</v>
      </c>
      <c r="J256" s="2">
        <v>857.452827</v>
      </c>
      <c r="K256" s="2">
        <v>639.901948</v>
      </c>
      <c r="L256" s="2">
        <v>611.001198</v>
      </c>
      <c r="M256" s="2">
        <v>355.904652</v>
      </c>
      <c r="N256" s="2">
        <v>451.375203</v>
      </c>
      <c r="O256" s="2">
        <v>6052.77464</v>
      </c>
    </row>
    <row r="257" spans="1:15" ht="15.75">
      <c r="A257" s="1" t="s">
        <v>144</v>
      </c>
      <c r="B257" s="2">
        <v>660</v>
      </c>
      <c r="C257" s="2">
        <v>184.559496</v>
      </c>
      <c r="D257" s="2">
        <v>97.46675</v>
      </c>
      <c r="E257" s="2">
        <v>342.723201</v>
      </c>
      <c r="F257" s="2">
        <v>469.704921</v>
      </c>
      <c r="G257" s="2">
        <v>519.19194</v>
      </c>
      <c r="H257" s="2">
        <v>530.550959</v>
      </c>
      <c r="I257" s="2">
        <v>911.670962</v>
      </c>
      <c r="J257" s="2">
        <v>775.046398</v>
      </c>
      <c r="K257" s="2">
        <v>697.753042</v>
      </c>
      <c r="L257" s="2">
        <v>645.925221</v>
      </c>
      <c r="M257" s="2">
        <v>552.883635</v>
      </c>
      <c r="N257" s="2">
        <v>314.493315</v>
      </c>
      <c r="O257" s="2">
        <v>6041.96984</v>
      </c>
    </row>
    <row r="258" spans="1:15" ht="15.75">
      <c r="A258" s="1" t="s">
        <v>144</v>
      </c>
      <c r="B258" s="2">
        <v>660</v>
      </c>
      <c r="C258" s="2">
        <v>156.300166</v>
      </c>
      <c r="D258" s="2">
        <v>136.278311</v>
      </c>
      <c r="E258" s="2">
        <v>247.8965</v>
      </c>
      <c r="F258" s="2">
        <v>340.401236</v>
      </c>
      <c r="G258" s="2">
        <v>461.504263</v>
      </c>
      <c r="H258" s="2">
        <v>633.12516</v>
      </c>
      <c r="I258" s="2">
        <v>1042.991776</v>
      </c>
      <c r="J258" s="2">
        <v>968.036677</v>
      </c>
      <c r="K258" s="2">
        <v>744.468948</v>
      </c>
      <c r="L258" s="2">
        <v>562.296134</v>
      </c>
      <c r="M258" s="2">
        <v>375.50359</v>
      </c>
      <c r="N258" s="2">
        <v>301.595056</v>
      </c>
      <c r="O258" s="2">
        <v>5970.397817000001</v>
      </c>
    </row>
    <row r="259" spans="1:15" ht="15.75">
      <c r="A259" s="1" t="s">
        <v>144</v>
      </c>
      <c r="B259" s="2">
        <v>660</v>
      </c>
      <c r="C259" s="2">
        <v>371.052802</v>
      </c>
      <c r="D259" s="2">
        <v>504.626515</v>
      </c>
      <c r="E259" s="2">
        <v>445.65296</v>
      </c>
      <c r="F259" s="2">
        <v>426.49539</v>
      </c>
      <c r="G259" s="2">
        <v>586.281061</v>
      </c>
      <c r="H259" s="2">
        <v>666.889477</v>
      </c>
      <c r="I259" s="2">
        <v>666.585239</v>
      </c>
      <c r="J259" s="2">
        <v>539.538917</v>
      </c>
      <c r="K259" s="2">
        <v>495.593831</v>
      </c>
      <c r="L259" s="2">
        <v>465.874482</v>
      </c>
      <c r="M259" s="2">
        <v>447.633037</v>
      </c>
      <c r="N259" s="2">
        <v>304.401592</v>
      </c>
      <c r="O259" s="2">
        <v>5920.625303000001</v>
      </c>
    </row>
    <row r="260" spans="1:15" ht="15.75">
      <c r="A260" s="1" t="s">
        <v>144</v>
      </c>
      <c r="B260" s="2">
        <v>660</v>
      </c>
      <c r="C260" s="2">
        <v>220.86645</v>
      </c>
      <c r="D260" s="2">
        <v>190.873785</v>
      </c>
      <c r="E260" s="2">
        <v>259.647205</v>
      </c>
      <c r="F260" s="2">
        <v>355.207273</v>
      </c>
      <c r="G260" s="2">
        <v>551.065935</v>
      </c>
      <c r="H260" s="2">
        <v>785.968872</v>
      </c>
      <c r="I260" s="2">
        <v>772.482528</v>
      </c>
      <c r="J260" s="2">
        <v>783.854962</v>
      </c>
      <c r="K260" s="2">
        <v>555.164618</v>
      </c>
      <c r="L260" s="2">
        <v>546.695677</v>
      </c>
      <c r="M260" s="2">
        <v>536.389858</v>
      </c>
      <c r="N260" s="2">
        <v>352.909267</v>
      </c>
      <c r="O260" s="2">
        <v>5911.126429999999</v>
      </c>
    </row>
    <row r="261" spans="1:15" ht="15.75">
      <c r="A261" s="1" t="s">
        <v>144</v>
      </c>
      <c r="B261" s="2">
        <v>660</v>
      </c>
      <c r="C261" s="2">
        <v>83.676698</v>
      </c>
      <c r="D261" s="2">
        <v>90.710413</v>
      </c>
      <c r="E261" s="2">
        <v>84.987232</v>
      </c>
      <c r="F261" s="2">
        <v>331.962785</v>
      </c>
      <c r="G261" s="2">
        <v>560.571316</v>
      </c>
      <c r="H261" s="2">
        <v>598.026545</v>
      </c>
      <c r="I261" s="2">
        <v>1294.310427</v>
      </c>
      <c r="J261" s="2">
        <v>964.267061</v>
      </c>
      <c r="K261" s="2">
        <v>801.582869</v>
      </c>
      <c r="L261" s="2">
        <v>571.604744</v>
      </c>
      <c r="M261" s="2">
        <v>365.580917</v>
      </c>
      <c r="N261" s="2">
        <v>126.113813</v>
      </c>
      <c r="O261" s="2">
        <v>5873.39482</v>
      </c>
    </row>
    <row r="262" spans="1:15" ht="15.75">
      <c r="A262" s="1" t="s">
        <v>144</v>
      </c>
      <c r="B262" s="2">
        <v>660</v>
      </c>
      <c r="C262" s="2">
        <v>239.846233</v>
      </c>
      <c r="D262" s="2">
        <v>184.5969</v>
      </c>
      <c r="E262" s="2">
        <v>208.563958</v>
      </c>
      <c r="F262" s="2">
        <v>322.25734</v>
      </c>
      <c r="G262" s="2">
        <v>494.559239</v>
      </c>
      <c r="H262" s="2">
        <v>681.727436</v>
      </c>
      <c r="I262" s="2">
        <v>784.616124</v>
      </c>
      <c r="J262" s="2">
        <v>793.774413</v>
      </c>
      <c r="K262" s="2">
        <v>722.495755</v>
      </c>
      <c r="L262" s="2">
        <v>531.857096</v>
      </c>
      <c r="M262" s="2">
        <v>449.576796</v>
      </c>
      <c r="N262" s="2">
        <v>407.620272</v>
      </c>
      <c r="O262" s="2">
        <v>5821.491562</v>
      </c>
    </row>
    <row r="263" spans="1:15" ht="15.75">
      <c r="A263" s="1" t="s">
        <v>144</v>
      </c>
      <c r="B263" s="2">
        <v>660</v>
      </c>
      <c r="C263" s="2">
        <v>412.21444</v>
      </c>
      <c r="D263" s="2">
        <v>306.825948</v>
      </c>
      <c r="E263" s="2">
        <v>371.088221</v>
      </c>
      <c r="F263" s="2">
        <v>355.96572</v>
      </c>
      <c r="G263" s="2">
        <v>615.978412</v>
      </c>
      <c r="H263" s="2">
        <v>520.106023</v>
      </c>
      <c r="I263" s="2">
        <v>478.696147</v>
      </c>
      <c r="J263" s="2">
        <v>683.641903</v>
      </c>
      <c r="K263" s="2">
        <v>569.316037</v>
      </c>
      <c r="L263" s="2">
        <v>627.347505</v>
      </c>
      <c r="M263" s="2">
        <v>542.877736</v>
      </c>
      <c r="N263" s="2">
        <v>283.89584</v>
      </c>
      <c r="O263" s="2">
        <v>5767.953932000001</v>
      </c>
    </row>
    <row r="264" spans="1:15" ht="15.75">
      <c r="A264" s="1" t="s">
        <v>144</v>
      </c>
      <c r="B264" s="2">
        <v>780</v>
      </c>
      <c r="C264" s="2">
        <v>266.166467</v>
      </c>
      <c r="D264" s="2">
        <v>269.628108</v>
      </c>
      <c r="E264" s="2">
        <v>302.044555</v>
      </c>
      <c r="F264" s="2">
        <v>299.977087</v>
      </c>
      <c r="G264" s="2">
        <v>406.256994</v>
      </c>
      <c r="H264" s="2">
        <v>562.024427</v>
      </c>
      <c r="I264" s="2">
        <v>715.684972</v>
      </c>
      <c r="J264" s="2">
        <v>804.108167</v>
      </c>
      <c r="K264" s="2">
        <v>584.595056</v>
      </c>
      <c r="L264" s="2">
        <v>534.163115</v>
      </c>
      <c r="M264" s="2">
        <v>513.319342</v>
      </c>
      <c r="N264" s="2">
        <v>474.98886</v>
      </c>
      <c r="O264" s="2">
        <v>5732.95715</v>
      </c>
    </row>
    <row r="265" spans="1:15" ht="15.75">
      <c r="A265" s="1" t="s">
        <v>144</v>
      </c>
      <c r="B265" s="2">
        <v>660</v>
      </c>
      <c r="C265" s="2">
        <v>286.596814</v>
      </c>
      <c r="D265" s="2">
        <v>308.776574</v>
      </c>
      <c r="E265" s="2">
        <v>384.564992</v>
      </c>
      <c r="F265" s="2">
        <v>377.699439</v>
      </c>
      <c r="G265" s="2">
        <v>512.740049</v>
      </c>
      <c r="H265" s="2">
        <v>593.122391</v>
      </c>
      <c r="I265" s="2">
        <v>761.636404</v>
      </c>
      <c r="J265" s="2">
        <v>635.17696</v>
      </c>
      <c r="K265" s="2">
        <v>538.487718</v>
      </c>
      <c r="L265" s="2">
        <v>395.572631</v>
      </c>
      <c r="M265" s="2">
        <v>449.462738</v>
      </c>
      <c r="N265" s="2">
        <v>401.794988</v>
      </c>
      <c r="O265" s="2">
        <v>5645.631698</v>
      </c>
    </row>
    <row r="266" spans="1:15" ht="15.75">
      <c r="A266" s="1" t="s">
        <v>144</v>
      </c>
      <c r="B266" s="2">
        <v>660</v>
      </c>
      <c r="C266" s="2">
        <v>334.566289</v>
      </c>
      <c r="D266" s="2">
        <v>268.689224</v>
      </c>
      <c r="E266" s="2">
        <v>261.1331</v>
      </c>
      <c r="F266" s="2">
        <v>351.484205</v>
      </c>
      <c r="G266" s="2">
        <v>318.447884</v>
      </c>
      <c r="H266" s="2">
        <v>563.284532</v>
      </c>
      <c r="I266" s="2">
        <v>1009.730451</v>
      </c>
      <c r="J266" s="2">
        <v>964.218466</v>
      </c>
      <c r="K266" s="2">
        <v>380.729002</v>
      </c>
      <c r="L266" s="2">
        <v>430.729395</v>
      </c>
      <c r="M266" s="2">
        <v>406.37697</v>
      </c>
      <c r="N266" s="2">
        <v>353.945112</v>
      </c>
      <c r="O266" s="2">
        <v>5643.334630000001</v>
      </c>
    </row>
    <row r="267" spans="1:15" ht="15.75">
      <c r="A267" s="1" t="s">
        <v>144</v>
      </c>
      <c r="B267" s="2">
        <v>660</v>
      </c>
      <c r="C267" s="2">
        <v>399.078792</v>
      </c>
      <c r="D267" s="2">
        <v>328.493267</v>
      </c>
      <c r="E267" s="2">
        <v>310.74481</v>
      </c>
      <c r="F267" s="2">
        <v>328.190321</v>
      </c>
      <c r="G267" s="2">
        <v>403.449262</v>
      </c>
      <c r="H267" s="2">
        <v>446.985777</v>
      </c>
      <c r="I267" s="2">
        <v>525.886176</v>
      </c>
      <c r="J267" s="2">
        <v>581.683913</v>
      </c>
      <c r="K267" s="2">
        <v>680.828381</v>
      </c>
      <c r="L267" s="2">
        <v>599.127025</v>
      </c>
      <c r="M267" s="2">
        <v>587.087395</v>
      </c>
      <c r="N267" s="2">
        <v>417.416425</v>
      </c>
      <c r="O267" s="2">
        <v>5608.971543999999</v>
      </c>
    </row>
    <row r="268" spans="1:15" ht="15.75">
      <c r="A268" s="1" t="s">
        <v>144</v>
      </c>
      <c r="B268" s="2">
        <v>1320</v>
      </c>
      <c r="C268" s="2">
        <v>291.588188</v>
      </c>
      <c r="D268" s="2">
        <v>286.253771</v>
      </c>
      <c r="E268" s="2">
        <v>316.312253</v>
      </c>
      <c r="F268" s="2">
        <v>360.897927</v>
      </c>
      <c r="G268" s="2">
        <v>452.948961</v>
      </c>
      <c r="H268" s="2">
        <v>500.463027</v>
      </c>
      <c r="I268" s="2">
        <v>792.807573</v>
      </c>
      <c r="J268" s="2">
        <v>828.117941</v>
      </c>
      <c r="K268" s="2">
        <v>559.563023</v>
      </c>
      <c r="L268" s="2">
        <v>456.58325</v>
      </c>
      <c r="M268" s="2">
        <v>399.883804</v>
      </c>
      <c r="N268" s="2">
        <v>343.293728</v>
      </c>
      <c r="O268" s="2">
        <v>5588.713446</v>
      </c>
    </row>
    <row r="269" spans="1:15" ht="15.75">
      <c r="A269" s="1" t="s">
        <v>144</v>
      </c>
      <c r="B269" s="2">
        <v>660</v>
      </c>
      <c r="C269" s="2">
        <v>278.651675</v>
      </c>
      <c r="D269" s="2">
        <v>298.719388</v>
      </c>
      <c r="E269" s="2">
        <v>403.584953</v>
      </c>
      <c r="F269" s="2">
        <v>439.26873</v>
      </c>
      <c r="G269" s="2">
        <v>529.782783</v>
      </c>
      <c r="H269" s="2">
        <v>595.856288</v>
      </c>
      <c r="I269" s="2">
        <v>564.520384</v>
      </c>
      <c r="J269" s="2">
        <v>647.055441</v>
      </c>
      <c r="K269" s="2">
        <v>453.687859</v>
      </c>
      <c r="L269" s="2">
        <v>444.063368</v>
      </c>
      <c r="M269" s="2">
        <v>480.788624</v>
      </c>
      <c r="N269" s="2">
        <v>402.196861</v>
      </c>
      <c r="O269" s="2">
        <v>5538.176354</v>
      </c>
    </row>
    <row r="270" spans="1:15" ht="15.75">
      <c r="A270" s="1" t="s">
        <v>144</v>
      </c>
      <c r="B270" s="2">
        <v>660</v>
      </c>
      <c r="C270" s="2">
        <v>408.159178</v>
      </c>
      <c r="D270" s="2">
        <v>333.013783</v>
      </c>
      <c r="E270" s="2">
        <v>364.517443</v>
      </c>
      <c r="F270" s="2">
        <v>404.003775</v>
      </c>
      <c r="G270" s="2">
        <v>439.78917</v>
      </c>
      <c r="H270" s="2">
        <v>475.133829</v>
      </c>
      <c r="I270" s="2">
        <v>628.229184</v>
      </c>
      <c r="J270" s="2">
        <v>555.269547</v>
      </c>
      <c r="K270" s="2">
        <v>589.698801</v>
      </c>
      <c r="L270" s="2">
        <v>418.09008</v>
      </c>
      <c r="M270" s="2">
        <v>451.36245</v>
      </c>
      <c r="N270" s="2">
        <v>470.650568</v>
      </c>
      <c r="O270" s="2">
        <v>5537.917808</v>
      </c>
    </row>
    <row r="271" spans="1:15" ht="15.75">
      <c r="A271" s="1" t="s">
        <v>144</v>
      </c>
      <c r="B271" s="2">
        <v>660</v>
      </c>
      <c r="C271" s="2">
        <v>624.718124</v>
      </c>
      <c r="D271" s="2">
        <v>300.005464</v>
      </c>
      <c r="E271" s="2">
        <v>330.506095</v>
      </c>
      <c r="F271" s="2">
        <v>284.690037</v>
      </c>
      <c r="G271" s="2">
        <v>397.220115</v>
      </c>
      <c r="H271" s="2">
        <v>510.570992</v>
      </c>
      <c r="I271" s="2">
        <v>627.951538</v>
      </c>
      <c r="J271" s="2">
        <v>648.599961</v>
      </c>
      <c r="K271" s="2">
        <v>550.974984</v>
      </c>
      <c r="L271" s="2">
        <v>451.09937</v>
      </c>
      <c r="M271" s="2">
        <v>430.453239</v>
      </c>
      <c r="N271" s="2">
        <v>352.798992</v>
      </c>
      <c r="O271" s="2">
        <v>5509.588911000001</v>
      </c>
    </row>
    <row r="272" spans="1:15" ht="15.75">
      <c r="A272" s="1" t="s">
        <v>144</v>
      </c>
      <c r="B272" s="2">
        <v>660</v>
      </c>
      <c r="C272" s="2">
        <v>324.927383</v>
      </c>
      <c r="D272" s="2">
        <v>428.927054</v>
      </c>
      <c r="E272" s="2">
        <v>404.414338</v>
      </c>
      <c r="F272" s="2">
        <v>432.051512</v>
      </c>
      <c r="G272" s="2">
        <v>337.603047</v>
      </c>
      <c r="H272" s="2">
        <v>622.44758</v>
      </c>
      <c r="I272" s="2">
        <v>586.044831</v>
      </c>
      <c r="J272" s="2">
        <v>540.581226</v>
      </c>
      <c r="K272" s="2">
        <v>465.301065</v>
      </c>
      <c r="L272" s="2">
        <v>586.992445</v>
      </c>
      <c r="M272" s="2">
        <v>278.836221</v>
      </c>
      <c r="N272" s="2">
        <v>465.796701</v>
      </c>
      <c r="O272" s="2">
        <v>5473.923403</v>
      </c>
    </row>
    <row r="273" spans="1:15" ht="15.75">
      <c r="A273" s="1" t="s">
        <v>144</v>
      </c>
      <c r="B273" s="2">
        <v>660</v>
      </c>
      <c r="C273" s="2">
        <v>422.726758</v>
      </c>
      <c r="D273" s="2">
        <v>364.090308</v>
      </c>
      <c r="E273" s="2">
        <v>484.813835</v>
      </c>
      <c r="F273" s="2">
        <v>399.476339</v>
      </c>
      <c r="G273" s="2">
        <v>408.324656</v>
      </c>
      <c r="H273" s="2">
        <v>479.70166</v>
      </c>
      <c r="I273" s="2">
        <v>572.300489</v>
      </c>
      <c r="J273" s="2">
        <v>562.688168</v>
      </c>
      <c r="K273" s="2">
        <v>467.856127</v>
      </c>
      <c r="L273" s="2">
        <v>484.584027</v>
      </c>
      <c r="M273" s="2">
        <v>528.182576</v>
      </c>
      <c r="N273" s="2">
        <v>287.113066</v>
      </c>
      <c r="O273" s="2">
        <v>5461.858009</v>
      </c>
    </row>
    <row r="274" spans="1:15" ht="15.75">
      <c r="A274" s="1" t="s">
        <v>144</v>
      </c>
      <c r="B274" s="2">
        <v>660</v>
      </c>
      <c r="C274" s="2">
        <v>1596.470515</v>
      </c>
      <c r="D274" s="2">
        <v>1102.55425</v>
      </c>
      <c r="E274" s="2">
        <v>1090.996787</v>
      </c>
      <c r="F274" s="2">
        <v>65.757803</v>
      </c>
      <c r="G274" s="2">
        <v>2.639177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2">
        <v>1579.980077</v>
      </c>
      <c r="O274" s="2">
        <v>5438.398609</v>
      </c>
    </row>
    <row r="275" spans="1:15" ht="15.75">
      <c r="A275" s="1" t="s">
        <v>144</v>
      </c>
      <c r="B275" s="2">
        <v>252</v>
      </c>
      <c r="C275" s="2">
        <v>1086.84259</v>
      </c>
      <c r="D275" s="2">
        <v>996.995526</v>
      </c>
      <c r="E275" s="2">
        <v>559.232455</v>
      </c>
      <c r="F275" s="2">
        <v>481.401134</v>
      </c>
      <c r="G275" s="2">
        <v>371.750979</v>
      </c>
      <c r="H275" s="2">
        <v>174.456588</v>
      </c>
      <c r="I275" s="2">
        <v>0</v>
      </c>
      <c r="J275" s="2">
        <v>0</v>
      </c>
      <c r="K275" s="2">
        <v>122.7619</v>
      </c>
      <c r="L275" s="2">
        <v>359.115831</v>
      </c>
      <c r="M275" s="2">
        <v>616.277829</v>
      </c>
      <c r="N275" s="2">
        <v>661.442377</v>
      </c>
      <c r="O275" s="2">
        <v>5430.277209</v>
      </c>
    </row>
    <row r="276" spans="1:15" ht="15.75">
      <c r="A276" s="1" t="s">
        <v>144</v>
      </c>
      <c r="B276" s="2">
        <v>660</v>
      </c>
      <c r="C276" s="2">
        <v>255.627194</v>
      </c>
      <c r="D276" s="2">
        <v>136.396875</v>
      </c>
      <c r="E276" s="2">
        <v>501.061009</v>
      </c>
      <c r="F276" s="2">
        <v>255.019121</v>
      </c>
      <c r="G276" s="2">
        <v>414.549873</v>
      </c>
      <c r="H276" s="2">
        <v>256.295669</v>
      </c>
      <c r="I276" s="2">
        <v>298.071787</v>
      </c>
      <c r="J276" s="2">
        <v>437.592057</v>
      </c>
      <c r="K276" s="2">
        <v>547.320738</v>
      </c>
      <c r="L276" s="2">
        <v>667.267004</v>
      </c>
      <c r="M276" s="2">
        <v>400.990879</v>
      </c>
      <c r="N276" s="2">
        <v>1258.742495</v>
      </c>
      <c r="O276" s="2">
        <v>5428.934701</v>
      </c>
    </row>
    <row r="277" spans="1:15" ht="15.75">
      <c r="A277" s="1" t="s">
        <v>144</v>
      </c>
      <c r="B277" s="2">
        <v>660</v>
      </c>
      <c r="C277" s="2">
        <v>1259.340834</v>
      </c>
      <c r="D277" s="2">
        <v>1168.979922</v>
      </c>
      <c r="E277" s="2">
        <v>110.361339</v>
      </c>
      <c r="F277" s="2">
        <v>41.486046</v>
      </c>
      <c r="G277" s="2">
        <v>23.589056</v>
      </c>
      <c r="H277" s="2">
        <v>19.7859</v>
      </c>
      <c r="I277" s="2">
        <v>22.9588</v>
      </c>
      <c r="J277" s="2">
        <v>21.453158</v>
      </c>
      <c r="K277" s="2">
        <v>19.031508</v>
      </c>
      <c r="L277" s="2">
        <v>8.214685</v>
      </c>
      <c r="M277" s="2">
        <v>793.416826</v>
      </c>
      <c r="N277" s="2">
        <v>1932.923356</v>
      </c>
      <c r="O277" s="2">
        <v>5421.541429999999</v>
      </c>
    </row>
    <row r="278" spans="1:15" ht="15.75">
      <c r="A278" s="1" t="s">
        <v>144</v>
      </c>
      <c r="B278" s="2">
        <v>660</v>
      </c>
      <c r="C278" s="2">
        <v>493.465914</v>
      </c>
      <c r="D278" s="2">
        <v>454.196159</v>
      </c>
      <c r="E278" s="2">
        <v>493.19816</v>
      </c>
      <c r="F278" s="2">
        <v>390.612138</v>
      </c>
      <c r="G278" s="2">
        <v>510.16281</v>
      </c>
      <c r="H278" s="2">
        <v>411.702977</v>
      </c>
      <c r="I278" s="2">
        <v>527.907603</v>
      </c>
      <c r="J278" s="2">
        <v>563.22563</v>
      </c>
      <c r="K278" s="2">
        <v>435.305534</v>
      </c>
      <c r="L278" s="2">
        <v>387.489727</v>
      </c>
      <c r="M278" s="2">
        <v>419.372254</v>
      </c>
      <c r="N278" s="2">
        <v>333.276742</v>
      </c>
      <c r="O278" s="2">
        <v>5419.915647999999</v>
      </c>
    </row>
    <row r="279" spans="1:15" ht="15.75">
      <c r="A279" s="1" t="s">
        <v>144</v>
      </c>
      <c r="B279" s="2">
        <v>550</v>
      </c>
      <c r="C279" s="2">
        <v>167.33416</v>
      </c>
      <c r="D279" s="2">
        <v>181.878545</v>
      </c>
      <c r="E279" s="2">
        <v>186.052116</v>
      </c>
      <c r="F279" s="2">
        <v>304.560949</v>
      </c>
      <c r="G279" s="2">
        <v>429.153658</v>
      </c>
      <c r="H279" s="2">
        <v>725.608637</v>
      </c>
      <c r="I279" s="2">
        <v>1043.919665</v>
      </c>
      <c r="J279" s="2">
        <v>1172.051664</v>
      </c>
      <c r="K279" s="2">
        <v>593.198735</v>
      </c>
      <c r="L279" s="2">
        <v>578.050017</v>
      </c>
      <c r="O279" s="2">
        <v>5381.808145999999</v>
      </c>
    </row>
    <row r="280" spans="1:15" ht="15.75">
      <c r="A280" s="1" t="s">
        <v>144</v>
      </c>
      <c r="B280" s="2">
        <v>912</v>
      </c>
      <c r="C280" s="2">
        <v>308.395783</v>
      </c>
      <c r="D280" s="2">
        <v>297.77652</v>
      </c>
      <c r="E280" s="2">
        <v>315.047961</v>
      </c>
      <c r="F280" s="2">
        <v>384.283252</v>
      </c>
      <c r="G280" s="2">
        <v>476.569293</v>
      </c>
      <c r="H280" s="2">
        <v>492.880736</v>
      </c>
      <c r="I280" s="2">
        <v>615.197925</v>
      </c>
      <c r="J280" s="2">
        <v>699.840433</v>
      </c>
      <c r="K280" s="2">
        <v>530.753594</v>
      </c>
      <c r="L280" s="2">
        <v>466.417627</v>
      </c>
      <c r="M280" s="2">
        <v>449.957151</v>
      </c>
      <c r="N280" s="2">
        <v>311.223066</v>
      </c>
      <c r="O280" s="2">
        <v>5348.343341</v>
      </c>
    </row>
    <row r="281" spans="1:15" ht="15.75">
      <c r="A281" s="1" t="s">
        <v>144</v>
      </c>
      <c r="B281" s="2">
        <v>660</v>
      </c>
      <c r="C281" s="2">
        <v>261.116159</v>
      </c>
      <c r="D281" s="2">
        <v>241.835338</v>
      </c>
      <c r="E281" s="2">
        <v>359.299303</v>
      </c>
      <c r="F281" s="2">
        <v>321.01658</v>
      </c>
      <c r="G281" s="2">
        <v>495.736998</v>
      </c>
      <c r="H281" s="2">
        <v>596.829825</v>
      </c>
      <c r="I281" s="2">
        <v>811.946452</v>
      </c>
      <c r="J281" s="2">
        <v>655.512082</v>
      </c>
      <c r="K281" s="2">
        <v>513.179135</v>
      </c>
      <c r="L281" s="2">
        <v>470.799491</v>
      </c>
      <c r="M281" s="2">
        <v>376.295817</v>
      </c>
      <c r="N281" s="2">
        <v>234.625388</v>
      </c>
      <c r="O281" s="2">
        <v>5338.192568000001</v>
      </c>
    </row>
    <row r="282" spans="1:15" ht="15.75">
      <c r="A282" s="1" t="s">
        <v>144</v>
      </c>
      <c r="B282" s="2">
        <v>660</v>
      </c>
      <c r="C282" s="2">
        <v>445.393716</v>
      </c>
      <c r="D282" s="2">
        <v>398.596509</v>
      </c>
      <c r="E282" s="2">
        <v>535.864125</v>
      </c>
      <c r="F282" s="2">
        <v>538.016435</v>
      </c>
      <c r="G282" s="2">
        <v>464.409069</v>
      </c>
      <c r="H282" s="2">
        <v>424.629914</v>
      </c>
      <c r="I282" s="2">
        <v>431.436686</v>
      </c>
      <c r="J282" s="2">
        <v>445.636212</v>
      </c>
      <c r="K282" s="2">
        <v>441.676007</v>
      </c>
      <c r="L282" s="2">
        <v>401.885393</v>
      </c>
      <c r="M282" s="2">
        <v>421.91466</v>
      </c>
      <c r="N282" s="2">
        <v>383.763467</v>
      </c>
      <c r="O282" s="2">
        <v>5333.2221930000005</v>
      </c>
    </row>
    <row r="283" spans="1:15" ht="15.75">
      <c r="A283" s="1" t="s">
        <v>144</v>
      </c>
      <c r="B283" s="2">
        <v>660</v>
      </c>
      <c r="C283" s="2">
        <v>592.04028</v>
      </c>
      <c r="D283" s="2">
        <v>882.981954</v>
      </c>
      <c r="E283" s="2">
        <v>561.971754</v>
      </c>
      <c r="F283" s="2">
        <v>567.151528</v>
      </c>
      <c r="G283" s="2">
        <v>620.510256</v>
      </c>
      <c r="H283" s="2">
        <v>616.166592</v>
      </c>
      <c r="I283" s="2">
        <v>209.92239</v>
      </c>
      <c r="J283" s="2">
        <v>262.321759</v>
      </c>
      <c r="K283" s="2">
        <v>197.668756</v>
      </c>
      <c r="L283" s="2">
        <v>143.283903</v>
      </c>
      <c r="M283" s="2">
        <v>71.478148</v>
      </c>
      <c r="N283" s="2">
        <v>601.425279</v>
      </c>
      <c r="O283" s="2">
        <v>5326.922599</v>
      </c>
    </row>
    <row r="284" spans="1:15" ht="15.75">
      <c r="A284" s="1" t="s">
        <v>144</v>
      </c>
      <c r="B284" s="2">
        <v>660</v>
      </c>
      <c r="C284" s="2">
        <v>200.356609</v>
      </c>
      <c r="D284" s="2">
        <v>156.117684</v>
      </c>
      <c r="E284" s="2">
        <v>193.550062</v>
      </c>
      <c r="F284" s="2">
        <v>272.870919</v>
      </c>
      <c r="G284" s="2">
        <v>411.19287</v>
      </c>
      <c r="H284" s="2">
        <v>576.593329</v>
      </c>
      <c r="I284" s="2">
        <v>718.811523</v>
      </c>
      <c r="J284" s="2">
        <v>741.541121</v>
      </c>
      <c r="K284" s="2">
        <v>687.397716</v>
      </c>
      <c r="L284" s="2">
        <v>532.813933</v>
      </c>
      <c r="M284" s="2">
        <v>476.204563</v>
      </c>
      <c r="N284" s="2">
        <v>350.167142</v>
      </c>
      <c r="O284" s="2">
        <v>5317.6174710000005</v>
      </c>
    </row>
    <row r="285" spans="1:15" ht="15.75">
      <c r="A285" s="1" t="s">
        <v>144</v>
      </c>
      <c r="B285" s="2">
        <v>1416</v>
      </c>
      <c r="C285" s="2">
        <v>225.19959</v>
      </c>
      <c r="D285" s="2">
        <v>126.077839</v>
      </c>
      <c r="E285" s="2">
        <v>179.650203</v>
      </c>
      <c r="F285" s="2">
        <v>302.428538</v>
      </c>
      <c r="G285" s="2">
        <v>473.86387</v>
      </c>
      <c r="H285" s="2">
        <v>525.394766</v>
      </c>
      <c r="I285" s="2">
        <v>770.052449</v>
      </c>
      <c r="J285" s="2">
        <v>741.857968</v>
      </c>
      <c r="K285" s="2">
        <v>708.418156</v>
      </c>
      <c r="L285" s="2">
        <v>526.966043</v>
      </c>
      <c r="M285" s="2">
        <v>471.582777</v>
      </c>
      <c r="N285" s="2">
        <v>229.115731</v>
      </c>
      <c r="O285" s="2">
        <v>5280.60793</v>
      </c>
    </row>
    <row r="286" spans="1:15" ht="15.75">
      <c r="A286" s="1" t="s">
        <v>144</v>
      </c>
      <c r="B286" s="2">
        <v>660</v>
      </c>
      <c r="C286" s="2">
        <v>393.121118</v>
      </c>
      <c r="D286" s="2">
        <v>397.091768</v>
      </c>
      <c r="E286" s="2">
        <v>515.272476</v>
      </c>
      <c r="F286" s="2">
        <v>338.282653</v>
      </c>
      <c r="G286" s="2">
        <v>477.342149</v>
      </c>
      <c r="H286" s="2">
        <v>393.914992</v>
      </c>
      <c r="I286" s="2">
        <v>451.513906</v>
      </c>
      <c r="J286" s="2">
        <v>600.603618</v>
      </c>
      <c r="K286" s="2">
        <v>395.179494</v>
      </c>
      <c r="L286" s="2">
        <v>405.204104</v>
      </c>
      <c r="M286" s="2">
        <v>523.28185</v>
      </c>
      <c r="N286" s="2">
        <v>372.290354</v>
      </c>
      <c r="O286" s="2">
        <v>5263.098482</v>
      </c>
    </row>
    <row r="287" spans="1:15" ht="15.75">
      <c r="A287" s="1" t="s">
        <v>144</v>
      </c>
      <c r="B287" s="2">
        <v>660</v>
      </c>
      <c r="C287" s="2">
        <v>316.251162</v>
      </c>
      <c r="D287" s="2">
        <v>295.799408</v>
      </c>
      <c r="E287" s="2">
        <v>329.281267</v>
      </c>
      <c r="F287" s="2">
        <v>383.34709</v>
      </c>
      <c r="G287" s="2">
        <v>458.134283</v>
      </c>
      <c r="H287" s="2">
        <v>525.990107</v>
      </c>
      <c r="I287" s="2">
        <v>704.472793</v>
      </c>
      <c r="J287" s="2">
        <v>515.714446</v>
      </c>
      <c r="K287" s="2">
        <v>461.310238</v>
      </c>
      <c r="L287" s="2">
        <v>474.651083</v>
      </c>
      <c r="M287" s="2">
        <v>445.432449</v>
      </c>
      <c r="N287" s="2">
        <v>350.226859</v>
      </c>
      <c r="O287" s="2">
        <v>5260.611185000001</v>
      </c>
    </row>
    <row r="288" spans="1:15" ht="15.75">
      <c r="A288" s="1" t="s">
        <v>144</v>
      </c>
      <c r="B288" s="2">
        <v>660</v>
      </c>
      <c r="C288" s="2">
        <v>1100.086215</v>
      </c>
      <c r="D288" s="2">
        <v>256.589206</v>
      </c>
      <c r="E288" s="2">
        <v>371.309883</v>
      </c>
      <c r="F288" s="2">
        <v>294.574215</v>
      </c>
      <c r="G288" s="2">
        <v>324.719513</v>
      </c>
      <c r="H288" s="2">
        <v>390.580487</v>
      </c>
      <c r="I288" s="2">
        <v>445.353617</v>
      </c>
      <c r="J288" s="2">
        <v>515.880784</v>
      </c>
      <c r="K288" s="2">
        <v>435.582422</v>
      </c>
      <c r="L288" s="2">
        <v>371.989407</v>
      </c>
      <c r="M288" s="2">
        <v>346.027152</v>
      </c>
      <c r="N288" s="2">
        <v>334.703486</v>
      </c>
      <c r="O288" s="2">
        <v>5187.396387000001</v>
      </c>
    </row>
    <row r="289" spans="1:15" ht="15.75">
      <c r="A289" s="1" t="s">
        <v>144</v>
      </c>
      <c r="B289" s="2">
        <v>660</v>
      </c>
      <c r="C289" s="2">
        <v>356.63122</v>
      </c>
      <c r="D289" s="2">
        <v>303.683959</v>
      </c>
      <c r="E289" s="2">
        <v>378.942047</v>
      </c>
      <c r="F289" s="2">
        <v>336.40149</v>
      </c>
      <c r="G289" s="2">
        <v>411.503047</v>
      </c>
      <c r="H289" s="2">
        <v>414.780867</v>
      </c>
      <c r="I289" s="2">
        <v>552.436803</v>
      </c>
      <c r="J289" s="2">
        <v>622.423153</v>
      </c>
      <c r="K289" s="2">
        <v>539.094209</v>
      </c>
      <c r="L289" s="2">
        <v>455.609238</v>
      </c>
      <c r="M289" s="2">
        <v>438.690262</v>
      </c>
      <c r="N289" s="2">
        <v>372.521478</v>
      </c>
      <c r="O289" s="2">
        <v>5182.717772999999</v>
      </c>
    </row>
    <row r="290" spans="1:15" ht="15.75">
      <c r="A290" s="1" t="s">
        <v>144</v>
      </c>
      <c r="B290" s="2">
        <v>660</v>
      </c>
      <c r="C290" s="2">
        <v>420.933132</v>
      </c>
      <c r="D290" s="2">
        <v>472.359043</v>
      </c>
      <c r="E290" s="2">
        <v>378.002102</v>
      </c>
      <c r="F290" s="2">
        <v>410.233126</v>
      </c>
      <c r="G290" s="2">
        <v>419.182818</v>
      </c>
      <c r="H290" s="2">
        <v>472.680974</v>
      </c>
      <c r="I290" s="2">
        <v>365.118141</v>
      </c>
      <c r="J290" s="2">
        <v>636.404238</v>
      </c>
      <c r="K290" s="2">
        <v>195.284296</v>
      </c>
      <c r="L290" s="2">
        <v>436.172882</v>
      </c>
      <c r="M290" s="2">
        <v>468.306364</v>
      </c>
      <c r="N290" s="2">
        <v>504.586441</v>
      </c>
      <c r="O290" s="2">
        <v>5179.263557</v>
      </c>
    </row>
    <row r="291" spans="1:15" ht="15.75">
      <c r="A291" s="1" t="s">
        <v>144</v>
      </c>
      <c r="B291" s="2">
        <v>1980</v>
      </c>
      <c r="C291" s="2">
        <v>244.017801</v>
      </c>
      <c r="D291" s="2">
        <v>230.9606</v>
      </c>
      <c r="E291" s="2">
        <v>373.930233</v>
      </c>
      <c r="F291" s="2">
        <v>583.193693</v>
      </c>
      <c r="G291" s="2">
        <v>818.994442</v>
      </c>
      <c r="H291" s="2">
        <v>670.203112</v>
      </c>
      <c r="I291" s="2">
        <v>377.515058</v>
      </c>
      <c r="J291" s="2">
        <v>470.365503</v>
      </c>
      <c r="K291" s="2">
        <v>453.634712</v>
      </c>
      <c r="L291" s="2">
        <v>324.273184</v>
      </c>
      <c r="M291" s="2">
        <v>277.343513</v>
      </c>
      <c r="N291" s="2">
        <v>352.772807</v>
      </c>
      <c r="O291" s="2">
        <v>5177.204658</v>
      </c>
    </row>
    <row r="292" spans="1:15" ht="15.75">
      <c r="A292" s="1" t="s">
        <v>144</v>
      </c>
      <c r="B292" s="2">
        <v>660</v>
      </c>
      <c r="C292" s="2">
        <v>299.063319</v>
      </c>
      <c r="D292" s="2">
        <v>191.185568</v>
      </c>
      <c r="E292" s="2">
        <v>226.147433</v>
      </c>
      <c r="F292" s="2">
        <v>330.291353</v>
      </c>
      <c r="G292" s="2">
        <v>428.553057</v>
      </c>
      <c r="H292" s="2">
        <v>524.549332</v>
      </c>
      <c r="I292" s="2">
        <v>588.727295</v>
      </c>
      <c r="J292" s="2">
        <v>519.625962</v>
      </c>
      <c r="K292" s="2">
        <v>736.9336</v>
      </c>
      <c r="L292" s="2">
        <v>609.322854</v>
      </c>
      <c r="M292" s="2">
        <v>439.310282</v>
      </c>
      <c r="N292" s="2">
        <v>282.75409</v>
      </c>
      <c r="O292" s="2">
        <v>5176.464145000001</v>
      </c>
    </row>
    <row r="293" spans="1:15" ht="15.75">
      <c r="A293" s="1" t="s">
        <v>144</v>
      </c>
      <c r="B293" s="2">
        <v>1320</v>
      </c>
      <c r="C293" s="2">
        <v>350.813581</v>
      </c>
      <c r="D293" s="2">
        <v>243.071288</v>
      </c>
      <c r="E293" s="2">
        <v>433.235214</v>
      </c>
      <c r="F293" s="2">
        <v>211.26169</v>
      </c>
      <c r="G293" s="2">
        <v>394.102774</v>
      </c>
      <c r="H293" s="2">
        <v>442.056854</v>
      </c>
      <c r="I293" s="2">
        <v>562.179345</v>
      </c>
      <c r="J293" s="2">
        <v>634.072666</v>
      </c>
      <c r="K293" s="2">
        <v>549.189488</v>
      </c>
      <c r="L293" s="2">
        <v>449.566528</v>
      </c>
      <c r="M293" s="2">
        <v>376.651284</v>
      </c>
      <c r="N293" s="2">
        <v>500.522693</v>
      </c>
      <c r="O293" s="2">
        <v>5146.723405</v>
      </c>
    </row>
    <row r="294" spans="1:15" ht="15.75">
      <c r="A294" s="1" t="s">
        <v>144</v>
      </c>
      <c r="B294" s="2">
        <v>660</v>
      </c>
      <c r="C294" s="2">
        <v>345.065634</v>
      </c>
      <c r="D294" s="2">
        <v>315.017708</v>
      </c>
      <c r="E294" s="2">
        <v>336.141781</v>
      </c>
      <c r="F294" s="2">
        <v>329.400236</v>
      </c>
      <c r="G294" s="2">
        <v>439.458747</v>
      </c>
      <c r="H294" s="2">
        <v>449.702843</v>
      </c>
      <c r="I294" s="2">
        <v>519.714325</v>
      </c>
      <c r="J294" s="2">
        <v>609.752638</v>
      </c>
      <c r="K294" s="2">
        <v>448.933262</v>
      </c>
      <c r="L294" s="2">
        <v>532.853121</v>
      </c>
      <c r="M294" s="2">
        <v>426.601069</v>
      </c>
      <c r="N294" s="2">
        <v>385.881947</v>
      </c>
      <c r="O294" s="2">
        <v>5138.523311</v>
      </c>
    </row>
    <row r="295" spans="1:15" ht="15.75">
      <c r="A295" s="1" t="s">
        <v>144</v>
      </c>
      <c r="B295" s="2">
        <v>660</v>
      </c>
      <c r="C295" s="2">
        <v>397.354126</v>
      </c>
      <c r="D295" s="2">
        <v>367.01153</v>
      </c>
      <c r="E295" s="2">
        <v>345.788136</v>
      </c>
      <c r="F295" s="2">
        <v>389.280766</v>
      </c>
      <c r="G295" s="2">
        <v>346.094843</v>
      </c>
      <c r="H295" s="2">
        <v>383.782737</v>
      </c>
      <c r="I295" s="2">
        <v>565.900246</v>
      </c>
      <c r="J295" s="2">
        <v>487.491451</v>
      </c>
      <c r="K295" s="2">
        <v>443.820808</v>
      </c>
      <c r="L295" s="2">
        <v>404.543538</v>
      </c>
      <c r="M295" s="2">
        <v>508.34016</v>
      </c>
      <c r="N295" s="2">
        <v>483.713019</v>
      </c>
      <c r="O295" s="2">
        <v>5123.12136</v>
      </c>
    </row>
    <row r="296" spans="1:15" ht="15.75">
      <c r="A296" s="1" t="s">
        <v>144</v>
      </c>
      <c r="B296" s="2">
        <v>660</v>
      </c>
      <c r="C296" s="2">
        <v>762.248344</v>
      </c>
      <c r="D296" s="2">
        <v>758.075163</v>
      </c>
      <c r="E296" s="2">
        <v>769.859479</v>
      </c>
      <c r="F296" s="2">
        <v>288.092035</v>
      </c>
      <c r="G296" s="2">
        <v>213.587627</v>
      </c>
      <c r="H296" s="2">
        <v>305.30562</v>
      </c>
      <c r="I296" s="2">
        <v>489.197845</v>
      </c>
      <c r="J296" s="2">
        <v>463.34049</v>
      </c>
      <c r="K296" s="2">
        <v>350.043207</v>
      </c>
      <c r="L296" s="2">
        <v>253.572595</v>
      </c>
      <c r="M296" s="2">
        <v>185.859399</v>
      </c>
      <c r="N296" s="2">
        <v>272.202966</v>
      </c>
      <c r="O296" s="2">
        <v>5111.38477</v>
      </c>
    </row>
    <row r="297" spans="1:15" ht="15.75">
      <c r="A297" s="1" t="s">
        <v>144</v>
      </c>
      <c r="B297" s="2">
        <v>660</v>
      </c>
      <c r="C297" s="2">
        <v>347.207504</v>
      </c>
      <c r="D297" s="2">
        <v>302.396512</v>
      </c>
      <c r="E297" s="2">
        <v>341.475193</v>
      </c>
      <c r="F297" s="2">
        <v>402.495446</v>
      </c>
      <c r="G297" s="2">
        <v>444.475416</v>
      </c>
      <c r="H297" s="2">
        <v>462.627308</v>
      </c>
      <c r="I297" s="2">
        <v>577.656705</v>
      </c>
      <c r="J297" s="2">
        <v>509.465972</v>
      </c>
      <c r="K297" s="2">
        <v>473.868722</v>
      </c>
      <c r="L297" s="2">
        <v>415.807555</v>
      </c>
      <c r="M297" s="2">
        <v>397.911732</v>
      </c>
      <c r="N297" s="2">
        <v>435.569432</v>
      </c>
      <c r="O297" s="2">
        <v>5110.957496999999</v>
      </c>
    </row>
    <row r="298" spans="1:15" ht="15.75">
      <c r="A298" s="1" t="s">
        <v>144</v>
      </c>
      <c r="B298" s="2">
        <v>660</v>
      </c>
      <c r="C298" s="2">
        <v>243.633107</v>
      </c>
      <c r="D298" s="2">
        <v>225.140825</v>
      </c>
      <c r="E298" s="2">
        <v>280.765462</v>
      </c>
      <c r="F298" s="2">
        <v>293.24426</v>
      </c>
      <c r="G298" s="2">
        <v>393.90478</v>
      </c>
      <c r="H298" s="2">
        <v>533.28507</v>
      </c>
      <c r="I298" s="2">
        <v>610.551584</v>
      </c>
      <c r="J298" s="2">
        <v>646.29263</v>
      </c>
      <c r="K298" s="2">
        <v>580.63825</v>
      </c>
      <c r="L298" s="2">
        <v>442.006141</v>
      </c>
      <c r="M298" s="2">
        <v>464.802827</v>
      </c>
      <c r="N298" s="2">
        <v>387.046855</v>
      </c>
      <c r="O298" s="2">
        <v>5101.311790999999</v>
      </c>
    </row>
    <row r="299" spans="1:15" ht="15.75">
      <c r="A299" s="1" t="s">
        <v>144</v>
      </c>
      <c r="B299" s="2">
        <v>660</v>
      </c>
      <c r="C299" s="2">
        <v>166.564285</v>
      </c>
      <c r="D299" s="2">
        <v>154.846693</v>
      </c>
      <c r="E299" s="2">
        <v>210.005341</v>
      </c>
      <c r="F299" s="2">
        <v>186.901414</v>
      </c>
      <c r="G299" s="2">
        <v>386.87643</v>
      </c>
      <c r="H299" s="2">
        <v>695.597889</v>
      </c>
      <c r="I299" s="2">
        <v>988.347472</v>
      </c>
      <c r="J299" s="2">
        <v>581.176005</v>
      </c>
      <c r="K299" s="2">
        <v>625.850031</v>
      </c>
      <c r="L299" s="2">
        <v>435.833057</v>
      </c>
      <c r="M299" s="2">
        <v>366.163743</v>
      </c>
      <c r="N299" s="2">
        <v>223.62558</v>
      </c>
      <c r="O299" s="2">
        <v>5021.787939999999</v>
      </c>
    </row>
    <row r="300" spans="1:15" ht="15.75">
      <c r="A300" s="1" t="s">
        <v>144</v>
      </c>
      <c r="B300" s="2">
        <v>660</v>
      </c>
      <c r="C300" s="2">
        <v>395.703253</v>
      </c>
      <c r="D300" s="2">
        <v>452.932917</v>
      </c>
      <c r="E300" s="2">
        <v>385.497087</v>
      </c>
      <c r="F300" s="2">
        <v>368.861288</v>
      </c>
      <c r="G300" s="2">
        <v>469.671422</v>
      </c>
      <c r="H300" s="2">
        <v>510.293369</v>
      </c>
      <c r="I300" s="2">
        <v>490.472411</v>
      </c>
      <c r="J300" s="2">
        <v>577.201451</v>
      </c>
      <c r="K300" s="2">
        <v>280.276912</v>
      </c>
      <c r="L300" s="2">
        <v>335.707771</v>
      </c>
      <c r="M300" s="2">
        <v>359.435903</v>
      </c>
      <c r="N300" s="2">
        <v>382.462714</v>
      </c>
      <c r="O300" s="2">
        <v>5008.516498</v>
      </c>
    </row>
    <row r="301" spans="1:15" ht="15.75">
      <c r="A301" s="1" t="s">
        <v>144</v>
      </c>
      <c r="B301" s="2">
        <v>660</v>
      </c>
      <c r="C301" s="2">
        <v>445.021318</v>
      </c>
      <c r="D301" s="2">
        <v>309.933155</v>
      </c>
      <c r="E301" s="2">
        <v>375.934585</v>
      </c>
      <c r="F301" s="2">
        <v>308.092564</v>
      </c>
      <c r="G301" s="2">
        <v>315.44984</v>
      </c>
      <c r="H301" s="2">
        <v>477.594872</v>
      </c>
      <c r="I301" s="2">
        <v>536.225537</v>
      </c>
      <c r="J301" s="2">
        <v>505.103013</v>
      </c>
      <c r="K301" s="2">
        <v>496.504856</v>
      </c>
      <c r="L301" s="2">
        <v>402.387795</v>
      </c>
      <c r="M301" s="2">
        <v>351.79122</v>
      </c>
      <c r="N301" s="2">
        <v>451.135813</v>
      </c>
      <c r="O301" s="2">
        <v>4975.174568</v>
      </c>
    </row>
    <row r="302" spans="1:15" ht="15.75">
      <c r="A302" s="1" t="s">
        <v>144</v>
      </c>
      <c r="B302" s="2">
        <v>660</v>
      </c>
      <c r="C302" s="2">
        <v>560.149146</v>
      </c>
      <c r="D302" s="2">
        <v>521.544462</v>
      </c>
      <c r="E302" s="2">
        <v>587.296746</v>
      </c>
      <c r="F302" s="2">
        <v>294.726166</v>
      </c>
      <c r="G302" s="2">
        <v>275.862487</v>
      </c>
      <c r="H302" s="2">
        <v>401.869382</v>
      </c>
      <c r="I302" s="2">
        <v>468.808164</v>
      </c>
      <c r="J302" s="2">
        <v>462.50535</v>
      </c>
      <c r="K302" s="2">
        <v>449.149723</v>
      </c>
      <c r="L302" s="2">
        <v>363.42079</v>
      </c>
      <c r="M302" s="2">
        <v>292.377655</v>
      </c>
      <c r="N302" s="2">
        <v>279.819888</v>
      </c>
      <c r="O302" s="2">
        <v>4957.5299589999995</v>
      </c>
    </row>
    <row r="303" spans="1:15" ht="15.75">
      <c r="A303" s="1" t="s">
        <v>144</v>
      </c>
      <c r="B303" s="2">
        <v>660</v>
      </c>
      <c r="C303" s="2">
        <v>367.28618</v>
      </c>
      <c r="D303" s="2">
        <v>325.638215</v>
      </c>
      <c r="E303" s="2">
        <v>367.239729</v>
      </c>
      <c r="F303" s="2">
        <v>361.16328</v>
      </c>
      <c r="G303" s="2">
        <v>434.513668</v>
      </c>
      <c r="H303" s="2">
        <v>428.070605</v>
      </c>
      <c r="I303" s="2">
        <v>497.881546</v>
      </c>
      <c r="J303" s="2">
        <v>594.968695</v>
      </c>
      <c r="K303" s="2">
        <v>432.031278</v>
      </c>
      <c r="L303" s="2">
        <v>411.468434</v>
      </c>
      <c r="M303" s="2">
        <v>347.5293</v>
      </c>
      <c r="N303" s="2">
        <v>381.479498</v>
      </c>
      <c r="O303" s="2">
        <v>4949.270428</v>
      </c>
    </row>
    <row r="304" spans="1:15" ht="15.75">
      <c r="A304" s="1" t="s">
        <v>144</v>
      </c>
      <c r="B304" s="2">
        <v>252</v>
      </c>
      <c r="C304" s="2">
        <v>342.451386</v>
      </c>
      <c r="D304" s="2">
        <v>366.189407</v>
      </c>
      <c r="E304" s="2">
        <v>402.22966</v>
      </c>
      <c r="F304" s="2">
        <v>326.790542</v>
      </c>
      <c r="G304" s="2">
        <v>371.693544</v>
      </c>
      <c r="H304" s="2">
        <v>434.824857</v>
      </c>
      <c r="I304" s="2">
        <v>437.259623</v>
      </c>
      <c r="J304" s="2">
        <v>476.963785</v>
      </c>
      <c r="K304" s="2">
        <v>532.428944</v>
      </c>
      <c r="L304" s="2">
        <v>408.244281</v>
      </c>
      <c r="M304" s="2">
        <v>420.750556</v>
      </c>
      <c r="N304" s="2">
        <v>415.337885</v>
      </c>
      <c r="O304" s="2">
        <v>4935.16447</v>
      </c>
    </row>
    <row r="305" spans="1:15" ht="15.75">
      <c r="A305" s="1" t="s">
        <v>144</v>
      </c>
      <c r="B305" s="2">
        <v>252</v>
      </c>
      <c r="C305" s="2">
        <v>189.713501</v>
      </c>
      <c r="D305" s="2">
        <v>193.262406</v>
      </c>
      <c r="E305" s="2">
        <v>289.037553</v>
      </c>
      <c r="F305" s="2">
        <v>409.032433</v>
      </c>
      <c r="G305" s="2">
        <v>513.158722</v>
      </c>
      <c r="H305" s="2">
        <v>581.210924</v>
      </c>
      <c r="I305" s="2">
        <v>553.784444</v>
      </c>
      <c r="J305" s="2">
        <v>557.182417</v>
      </c>
      <c r="K305" s="2">
        <v>400.375343</v>
      </c>
      <c r="L305" s="2">
        <v>434.209938</v>
      </c>
      <c r="M305" s="2">
        <v>413.482246</v>
      </c>
      <c r="N305" s="2">
        <v>342.705945</v>
      </c>
      <c r="O305" s="2">
        <v>4877.155871999999</v>
      </c>
    </row>
    <row r="306" spans="1:15" ht="15.75">
      <c r="A306" s="1" t="s">
        <v>144</v>
      </c>
      <c r="B306" s="2">
        <v>660</v>
      </c>
      <c r="C306" s="2">
        <v>197.10115</v>
      </c>
      <c r="D306" s="2">
        <v>199.13004</v>
      </c>
      <c r="E306" s="2">
        <v>282.633338</v>
      </c>
      <c r="F306" s="2">
        <v>452.013811</v>
      </c>
      <c r="G306" s="2">
        <v>613.43231</v>
      </c>
      <c r="H306" s="2">
        <v>480.651591</v>
      </c>
      <c r="I306" s="2">
        <v>520.480228</v>
      </c>
      <c r="J306" s="2">
        <v>440.177419</v>
      </c>
      <c r="K306" s="2">
        <v>490.030752</v>
      </c>
      <c r="L306" s="2">
        <v>381.40557</v>
      </c>
      <c r="M306" s="2">
        <v>415.225469</v>
      </c>
      <c r="N306" s="2">
        <v>325.365612</v>
      </c>
      <c r="O306" s="2">
        <v>4797.647289999999</v>
      </c>
    </row>
    <row r="307" spans="1:15" ht="15.75">
      <c r="A307" s="1" t="s">
        <v>144</v>
      </c>
      <c r="B307" s="2">
        <v>660</v>
      </c>
      <c r="C307" s="2">
        <v>379.900592</v>
      </c>
      <c r="D307" s="2">
        <v>360.401283</v>
      </c>
      <c r="E307" s="2">
        <v>404.36127</v>
      </c>
      <c r="F307" s="2">
        <v>324.770955</v>
      </c>
      <c r="G307" s="2">
        <v>386.102655</v>
      </c>
      <c r="H307" s="2">
        <v>431.874943</v>
      </c>
      <c r="I307" s="2">
        <v>435.013479</v>
      </c>
      <c r="J307" s="2">
        <v>451.319656</v>
      </c>
      <c r="K307" s="2">
        <v>418.690714</v>
      </c>
      <c r="L307" s="2">
        <v>417.367599</v>
      </c>
      <c r="M307" s="2">
        <v>379.928191</v>
      </c>
      <c r="N307" s="2">
        <v>392.795366</v>
      </c>
      <c r="O307" s="2">
        <v>4782.526703</v>
      </c>
    </row>
    <row r="308" spans="1:15" ht="15.75">
      <c r="A308" s="1" t="s">
        <v>144</v>
      </c>
      <c r="B308" s="2">
        <v>660</v>
      </c>
      <c r="C308" s="2">
        <v>357.96169</v>
      </c>
      <c r="D308" s="2">
        <v>294.206318</v>
      </c>
      <c r="E308" s="2">
        <v>491.382494</v>
      </c>
      <c r="F308" s="2">
        <v>427.347091</v>
      </c>
      <c r="G308" s="2">
        <v>463.771203</v>
      </c>
      <c r="H308" s="2">
        <v>377.976504</v>
      </c>
      <c r="I308" s="2">
        <v>277.786471</v>
      </c>
      <c r="J308" s="2">
        <v>434.42556</v>
      </c>
      <c r="K308" s="2">
        <v>305.256385</v>
      </c>
      <c r="L308" s="2">
        <v>464.964037</v>
      </c>
      <c r="M308" s="2">
        <v>407.119489</v>
      </c>
      <c r="N308" s="2">
        <v>444.460368</v>
      </c>
      <c r="O308" s="2">
        <v>4746.65761</v>
      </c>
    </row>
    <row r="309" spans="1:15" ht="15.75">
      <c r="A309" s="1" t="s">
        <v>144</v>
      </c>
      <c r="B309" s="2">
        <v>1187</v>
      </c>
      <c r="C309" s="2">
        <v>434.28905</v>
      </c>
      <c r="D309" s="2">
        <v>343.534579</v>
      </c>
      <c r="E309" s="2">
        <v>360.928618</v>
      </c>
      <c r="F309" s="2">
        <v>294.884039</v>
      </c>
      <c r="G309" s="2">
        <v>405.644903</v>
      </c>
      <c r="H309" s="2">
        <v>493.246366</v>
      </c>
      <c r="I309" s="2">
        <v>498.001409</v>
      </c>
      <c r="J309" s="2">
        <v>582.210076</v>
      </c>
      <c r="K309" s="2">
        <v>481.261099</v>
      </c>
      <c r="L309" s="2">
        <v>424.075281</v>
      </c>
      <c r="M309" s="2">
        <v>360.752792</v>
      </c>
      <c r="N309" s="2">
        <v>67.375485</v>
      </c>
      <c r="O309" s="2">
        <v>4746.203696999999</v>
      </c>
    </row>
    <row r="310" spans="1:15" ht="15.75">
      <c r="A310" s="1" t="s">
        <v>144</v>
      </c>
      <c r="B310" s="2">
        <v>660</v>
      </c>
      <c r="C310" s="2">
        <v>385.43768</v>
      </c>
      <c r="D310" s="2">
        <v>369.378618</v>
      </c>
      <c r="E310" s="2">
        <v>225.934009</v>
      </c>
      <c r="F310" s="2">
        <v>403.1109</v>
      </c>
      <c r="G310" s="2">
        <v>426.694535</v>
      </c>
      <c r="H310" s="2">
        <v>189.720645</v>
      </c>
      <c r="I310" s="2">
        <v>527.183283</v>
      </c>
      <c r="J310" s="2">
        <v>460.958651</v>
      </c>
      <c r="K310" s="2">
        <v>420.572084</v>
      </c>
      <c r="L310" s="2">
        <v>445.785151</v>
      </c>
      <c r="M310" s="2">
        <v>440.063214</v>
      </c>
      <c r="N310" s="2">
        <v>398.680891</v>
      </c>
      <c r="O310" s="2">
        <v>4693.519660999999</v>
      </c>
    </row>
    <row r="311" spans="1:15" ht="15.75">
      <c r="A311" s="1" t="s">
        <v>144</v>
      </c>
      <c r="B311" s="2">
        <v>660</v>
      </c>
      <c r="C311" s="2">
        <v>316.166233</v>
      </c>
      <c r="D311" s="2">
        <v>313.012759</v>
      </c>
      <c r="E311" s="2">
        <v>283.803308</v>
      </c>
      <c r="F311" s="2">
        <v>313.848456</v>
      </c>
      <c r="G311" s="2">
        <v>366.535936</v>
      </c>
      <c r="H311" s="2">
        <v>497.157098</v>
      </c>
      <c r="I311" s="2">
        <v>611.228391</v>
      </c>
      <c r="J311" s="2">
        <v>579.555571</v>
      </c>
      <c r="K311" s="2">
        <v>447.251714</v>
      </c>
      <c r="L311" s="2">
        <v>369.66708</v>
      </c>
      <c r="M311" s="2">
        <v>321.861513</v>
      </c>
      <c r="N311" s="2">
        <v>267.582233</v>
      </c>
      <c r="O311" s="2">
        <v>4687.670292</v>
      </c>
    </row>
    <row r="312" spans="1:15" ht="15.75">
      <c r="A312" s="1" t="s">
        <v>144</v>
      </c>
      <c r="B312" s="2">
        <v>660</v>
      </c>
      <c r="C312" s="2">
        <v>248.108577</v>
      </c>
      <c r="D312" s="2">
        <v>250.719675</v>
      </c>
      <c r="E312" s="2">
        <v>257.047358</v>
      </c>
      <c r="F312" s="2">
        <v>281.344961</v>
      </c>
      <c r="G312" s="2">
        <v>322.058289</v>
      </c>
      <c r="H312" s="2">
        <v>460.865957</v>
      </c>
      <c r="I312" s="2">
        <v>630.26502</v>
      </c>
      <c r="J312" s="2">
        <v>553.510025</v>
      </c>
      <c r="K312" s="2">
        <v>456.075413</v>
      </c>
      <c r="L312" s="2">
        <v>400.383215</v>
      </c>
      <c r="M312" s="2">
        <v>407.612457</v>
      </c>
      <c r="N312" s="2">
        <v>407.633857</v>
      </c>
      <c r="O312" s="2">
        <v>4675.624804</v>
      </c>
    </row>
    <row r="313" spans="1:15" ht="15.75">
      <c r="A313" s="1" t="s">
        <v>144</v>
      </c>
      <c r="B313" s="2">
        <v>660</v>
      </c>
      <c r="C313" s="2">
        <v>323.698109</v>
      </c>
      <c r="D313" s="2">
        <v>272.579691</v>
      </c>
      <c r="E313" s="2">
        <v>316.796737</v>
      </c>
      <c r="F313" s="2">
        <v>331.21441</v>
      </c>
      <c r="G313" s="2">
        <v>398.23314</v>
      </c>
      <c r="H313" s="2">
        <v>388.101303</v>
      </c>
      <c r="I313" s="2">
        <v>602.947729</v>
      </c>
      <c r="J313" s="2">
        <v>566.223333</v>
      </c>
      <c r="K313" s="2">
        <v>399.277986</v>
      </c>
      <c r="L313" s="2">
        <v>350.709712</v>
      </c>
      <c r="M313" s="2">
        <v>401.332933</v>
      </c>
      <c r="N313" s="2">
        <v>316.603186</v>
      </c>
      <c r="O313" s="2">
        <v>4667.718269</v>
      </c>
    </row>
    <row r="314" spans="1:15" ht="15.75">
      <c r="A314" s="1" t="s">
        <v>144</v>
      </c>
      <c r="B314" s="2">
        <v>1440</v>
      </c>
      <c r="C314" s="2">
        <v>241.842958</v>
      </c>
      <c r="D314" s="2">
        <v>241.508237</v>
      </c>
      <c r="E314" s="2">
        <v>262.24763</v>
      </c>
      <c r="F314" s="2">
        <v>301.700511</v>
      </c>
      <c r="G314" s="2">
        <v>409.567335</v>
      </c>
      <c r="H314" s="2">
        <v>378.468405</v>
      </c>
      <c r="I314" s="2">
        <v>695.817773</v>
      </c>
      <c r="J314" s="2">
        <v>616.169441</v>
      </c>
      <c r="K314" s="2">
        <v>436.07851900000003</v>
      </c>
      <c r="L314" s="2">
        <v>429.991104</v>
      </c>
      <c r="M314" s="2">
        <v>338.68398</v>
      </c>
      <c r="N314" s="2">
        <v>303.325719</v>
      </c>
      <c r="O314" s="2">
        <v>4655.401612000001</v>
      </c>
    </row>
    <row r="315" spans="1:15" ht="15.75">
      <c r="A315" s="1" t="s">
        <v>144</v>
      </c>
      <c r="B315" s="2">
        <v>660</v>
      </c>
      <c r="C315" s="2">
        <v>456.381267</v>
      </c>
      <c r="D315" s="2">
        <v>358.195095</v>
      </c>
      <c r="E315" s="2">
        <v>364.736816</v>
      </c>
      <c r="F315" s="2">
        <v>355.842008</v>
      </c>
      <c r="G315" s="2">
        <v>393.111054</v>
      </c>
      <c r="H315" s="2">
        <v>409.358575</v>
      </c>
      <c r="I315" s="2">
        <v>479.42608</v>
      </c>
      <c r="J315" s="2">
        <v>321.650581</v>
      </c>
      <c r="K315" s="2">
        <v>318.384551</v>
      </c>
      <c r="L315" s="2">
        <v>379.609869</v>
      </c>
      <c r="M315" s="2">
        <v>299.464664</v>
      </c>
      <c r="N315" s="2">
        <v>514.152698</v>
      </c>
      <c r="O315" s="2">
        <v>4650.313258</v>
      </c>
    </row>
    <row r="316" spans="1:15" ht="15.75">
      <c r="A316" s="1" t="s">
        <v>144</v>
      </c>
      <c r="B316" s="2">
        <v>660</v>
      </c>
      <c r="C316" s="2">
        <v>311.18812</v>
      </c>
      <c r="D316" s="2">
        <v>250.02329</v>
      </c>
      <c r="E316" s="2">
        <v>310.103178</v>
      </c>
      <c r="F316" s="2">
        <v>298.802995</v>
      </c>
      <c r="G316" s="2">
        <v>345.260215</v>
      </c>
      <c r="H316" s="2">
        <v>379.942104</v>
      </c>
      <c r="I316" s="2">
        <v>503.787997</v>
      </c>
      <c r="J316" s="2">
        <v>528.668798</v>
      </c>
      <c r="K316" s="2">
        <v>456.635166</v>
      </c>
      <c r="L316" s="2">
        <v>447.333831</v>
      </c>
      <c r="M316" s="2">
        <v>406.120442</v>
      </c>
      <c r="N316" s="2">
        <v>368.034537</v>
      </c>
      <c r="O316" s="2">
        <v>4605.900673</v>
      </c>
    </row>
    <row r="317" spans="1:15" ht="15.75">
      <c r="A317" s="1" t="s">
        <v>144</v>
      </c>
      <c r="B317" s="2">
        <v>605</v>
      </c>
      <c r="C317" s="2">
        <v>168.844314</v>
      </c>
      <c r="D317" s="2">
        <v>103.418191</v>
      </c>
      <c r="E317" s="2">
        <v>198.369797</v>
      </c>
      <c r="F317" s="2">
        <v>334.435</v>
      </c>
      <c r="G317" s="2">
        <v>448.50928</v>
      </c>
      <c r="H317" s="2">
        <v>570.427547</v>
      </c>
      <c r="I317" s="2">
        <v>773.361968</v>
      </c>
      <c r="J317" s="2">
        <v>621.162455</v>
      </c>
      <c r="K317" s="2">
        <v>612.265098</v>
      </c>
      <c r="L317" s="2">
        <v>416.61587</v>
      </c>
      <c r="M317" s="2">
        <v>349.061533</v>
      </c>
      <c r="O317" s="2">
        <v>4596.471053</v>
      </c>
    </row>
    <row r="318" spans="1:15" ht="15.75">
      <c r="A318" s="1" t="s">
        <v>144</v>
      </c>
      <c r="B318" s="2">
        <v>660</v>
      </c>
      <c r="C318" s="2">
        <v>376.314804</v>
      </c>
      <c r="D318" s="2">
        <v>296.073669</v>
      </c>
      <c r="E318" s="2">
        <v>318.347959</v>
      </c>
      <c r="F318" s="2">
        <v>370.537151</v>
      </c>
      <c r="G318" s="2">
        <v>353.893689</v>
      </c>
      <c r="H318" s="2">
        <v>376.587935</v>
      </c>
      <c r="I318" s="2">
        <v>498.859362</v>
      </c>
      <c r="J318" s="2">
        <v>429.642816</v>
      </c>
      <c r="K318" s="2">
        <v>472.831489</v>
      </c>
      <c r="L318" s="2">
        <v>301.339676</v>
      </c>
      <c r="M318" s="2">
        <v>406.005054</v>
      </c>
      <c r="N318" s="2">
        <v>342.774576</v>
      </c>
      <c r="O318" s="2">
        <v>4543.2081800000005</v>
      </c>
    </row>
    <row r="319" spans="1:15" ht="15.75">
      <c r="A319" s="1" t="s">
        <v>144</v>
      </c>
      <c r="B319" s="2">
        <v>252</v>
      </c>
      <c r="C319" s="2">
        <v>284.883895</v>
      </c>
      <c r="D319" s="2">
        <v>228.114687</v>
      </c>
      <c r="E319" s="2">
        <v>286.915922</v>
      </c>
      <c r="F319" s="2">
        <v>317.232287</v>
      </c>
      <c r="G319" s="2">
        <v>423.635341</v>
      </c>
      <c r="H319" s="2">
        <v>464.738559</v>
      </c>
      <c r="I319" s="2">
        <v>549.327364</v>
      </c>
      <c r="J319" s="2">
        <v>454.417317</v>
      </c>
      <c r="K319" s="2">
        <v>449.20516</v>
      </c>
      <c r="L319" s="2">
        <v>431.26715</v>
      </c>
      <c r="M319" s="2">
        <v>352.975821</v>
      </c>
      <c r="N319" s="2">
        <v>296.460088</v>
      </c>
      <c r="O319" s="2">
        <v>4539.173590999999</v>
      </c>
    </row>
    <row r="320" spans="1:15" ht="15.75">
      <c r="A320" s="1" t="s">
        <v>144</v>
      </c>
      <c r="B320" s="2">
        <v>660</v>
      </c>
      <c r="C320" s="2">
        <v>358.60025</v>
      </c>
      <c r="D320" s="2">
        <v>340.376658</v>
      </c>
      <c r="E320" s="2">
        <v>360.16089</v>
      </c>
      <c r="F320" s="2">
        <v>349.784533</v>
      </c>
      <c r="G320" s="2">
        <v>389.316488</v>
      </c>
      <c r="H320" s="2">
        <v>276.949234</v>
      </c>
      <c r="I320" s="2">
        <v>417.631787</v>
      </c>
      <c r="J320" s="2">
        <v>461.83796</v>
      </c>
      <c r="K320" s="2">
        <v>382.684651</v>
      </c>
      <c r="L320" s="2">
        <v>461.164301</v>
      </c>
      <c r="M320" s="2">
        <v>396.651733</v>
      </c>
      <c r="N320" s="2">
        <v>327.330099</v>
      </c>
      <c r="O320" s="2">
        <v>4522.488584</v>
      </c>
    </row>
    <row r="321" spans="1:15" ht="15.75">
      <c r="A321" s="1" t="s">
        <v>144</v>
      </c>
      <c r="B321" s="2">
        <v>660</v>
      </c>
      <c r="C321" s="2">
        <v>304.863717</v>
      </c>
      <c r="D321" s="2">
        <v>342.099311</v>
      </c>
      <c r="E321" s="2">
        <v>432.95125</v>
      </c>
      <c r="F321" s="2">
        <v>285.107745</v>
      </c>
      <c r="G321" s="2">
        <v>380.49932</v>
      </c>
      <c r="H321" s="2">
        <v>401.407033</v>
      </c>
      <c r="I321" s="2">
        <v>463.101018</v>
      </c>
      <c r="J321" s="2">
        <v>460.539327</v>
      </c>
      <c r="K321" s="2">
        <v>389.942105</v>
      </c>
      <c r="L321" s="2">
        <v>368.563527</v>
      </c>
      <c r="M321" s="2">
        <v>349.96099</v>
      </c>
      <c r="N321" s="2">
        <v>334.451937</v>
      </c>
      <c r="O321" s="2">
        <v>4513.487279999999</v>
      </c>
    </row>
    <row r="322" spans="1:15" ht="15.75">
      <c r="A322" s="1" t="s">
        <v>144</v>
      </c>
      <c r="B322" s="2">
        <v>1032</v>
      </c>
      <c r="C322" s="2">
        <v>294.719051</v>
      </c>
      <c r="D322" s="2">
        <v>273.769396</v>
      </c>
      <c r="E322" s="2">
        <v>260.199977</v>
      </c>
      <c r="F322" s="2">
        <v>259.225541</v>
      </c>
      <c r="G322" s="2">
        <v>302.062777</v>
      </c>
      <c r="H322" s="2">
        <v>481.330927</v>
      </c>
      <c r="I322" s="2">
        <v>690.321023</v>
      </c>
      <c r="J322" s="2">
        <v>572.671252</v>
      </c>
      <c r="K322" s="2">
        <v>412.4969</v>
      </c>
      <c r="L322" s="2">
        <v>329.074387</v>
      </c>
      <c r="M322" s="2">
        <v>306.60734</v>
      </c>
      <c r="N322" s="2">
        <v>311.506613</v>
      </c>
      <c r="O322" s="2">
        <v>4493.985183999999</v>
      </c>
    </row>
    <row r="323" spans="1:15" ht="15.75">
      <c r="A323" s="1" t="s">
        <v>144</v>
      </c>
      <c r="B323" s="2">
        <v>660</v>
      </c>
      <c r="C323" s="2">
        <v>294.583197</v>
      </c>
      <c r="D323" s="2">
        <v>275.439311</v>
      </c>
      <c r="E323" s="2">
        <v>327.663866</v>
      </c>
      <c r="F323" s="2">
        <v>296.010007</v>
      </c>
      <c r="G323" s="2">
        <v>346.422423</v>
      </c>
      <c r="H323" s="2">
        <v>446.836283</v>
      </c>
      <c r="I323" s="2">
        <v>450.834792</v>
      </c>
      <c r="J323" s="2">
        <v>475.696881</v>
      </c>
      <c r="K323" s="2">
        <v>483.981003</v>
      </c>
      <c r="L323" s="2">
        <v>386.057366</v>
      </c>
      <c r="M323" s="2">
        <v>385.100762</v>
      </c>
      <c r="N323" s="2">
        <v>323.257709</v>
      </c>
      <c r="O323" s="2">
        <v>4491.883599999999</v>
      </c>
    </row>
    <row r="324" spans="1:15" ht="15.75">
      <c r="A324" s="1" t="s">
        <v>144</v>
      </c>
      <c r="B324" s="2">
        <v>660</v>
      </c>
      <c r="C324" s="2">
        <v>117.383069</v>
      </c>
      <c r="D324" s="2">
        <v>87.636401</v>
      </c>
      <c r="E324" s="2">
        <v>168.95641</v>
      </c>
      <c r="F324" s="2">
        <v>321.407729</v>
      </c>
      <c r="G324" s="2">
        <v>510.944972</v>
      </c>
      <c r="H324" s="2">
        <v>501.656191</v>
      </c>
      <c r="I324" s="2">
        <v>583.325739</v>
      </c>
      <c r="J324" s="2">
        <v>582.482109</v>
      </c>
      <c r="K324" s="2">
        <v>605.282117</v>
      </c>
      <c r="L324" s="2">
        <v>459.553767</v>
      </c>
      <c r="M324" s="2">
        <v>258.343967</v>
      </c>
      <c r="N324" s="2">
        <v>264.011682</v>
      </c>
      <c r="O324" s="2">
        <v>4460.984153</v>
      </c>
    </row>
    <row r="325" spans="1:15" ht="15.75">
      <c r="A325" s="1" t="s">
        <v>144</v>
      </c>
      <c r="B325" s="2">
        <v>660</v>
      </c>
      <c r="C325" s="2">
        <v>346.712046</v>
      </c>
      <c r="D325" s="2">
        <v>295.977327</v>
      </c>
      <c r="E325" s="2">
        <v>355.056288</v>
      </c>
      <c r="F325" s="2">
        <v>265.362268</v>
      </c>
      <c r="G325" s="2">
        <v>400.708608</v>
      </c>
      <c r="H325" s="2">
        <v>383.799569</v>
      </c>
      <c r="I325" s="2">
        <v>469.976816</v>
      </c>
      <c r="J325" s="2">
        <v>464.074204</v>
      </c>
      <c r="K325" s="2">
        <v>418.272459</v>
      </c>
      <c r="L325" s="2">
        <v>381.370316</v>
      </c>
      <c r="M325" s="2">
        <v>364.477583</v>
      </c>
      <c r="N325" s="2">
        <v>307.945043</v>
      </c>
      <c r="O325" s="2">
        <v>4453.732527</v>
      </c>
    </row>
    <row r="326" spans="1:15" ht="15.75">
      <c r="A326" s="1" t="s">
        <v>144</v>
      </c>
      <c r="B326" s="2">
        <v>660</v>
      </c>
      <c r="C326" s="2">
        <v>349.389161</v>
      </c>
      <c r="D326" s="2">
        <v>314.57888</v>
      </c>
      <c r="E326" s="2">
        <v>352.544768</v>
      </c>
      <c r="F326" s="2">
        <v>397.709995</v>
      </c>
      <c r="G326" s="2">
        <v>340.503834</v>
      </c>
      <c r="H326" s="2">
        <v>304.167826</v>
      </c>
      <c r="I326" s="2">
        <v>533.670656</v>
      </c>
      <c r="J326" s="2">
        <v>652.917436</v>
      </c>
      <c r="K326" s="2">
        <v>191.278173</v>
      </c>
      <c r="L326" s="2">
        <v>389.035863</v>
      </c>
      <c r="M326" s="2">
        <v>289.43636</v>
      </c>
      <c r="N326" s="2">
        <v>329.276085</v>
      </c>
      <c r="O326" s="2">
        <v>4444.509037000001</v>
      </c>
    </row>
    <row r="327" spans="1:15" ht="15.75">
      <c r="A327" s="1" t="s">
        <v>144</v>
      </c>
      <c r="B327" s="2">
        <v>1500</v>
      </c>
      <c r="C327" s="2">
        <v>380.647575</v>
      </c>
      <c r="D327" s="2">
        <v>364.90572</v>
      </c>
      <c r="E327" s="2">
        <v>432.598236</v>
      </c>
      <c r="F327" s="2">
        <v>371.897446</v>
      </c>
      <c r="G327" s="2">
        <v>475.88516</v>
      </c>
      <c r="H327" s="2">
        <v>646.342296</v>
      </c>
      <c r="I327" s="2">
        <v>227.713615</v>
      </c>
      <c r="J327" s="2">
        <v>204.461369</v>
      </c>
      <c r="K327" s="2">
        <v>163.906906</v>
      </c>
      <c r="L327" s="2">
        <v>378.794912</v>
      </c>
      <c r="M327" s="2">
        <v>350.008716</v>
      </c>
      <c r="N327" s="2">
        <v>379.284873</v>
      </c>
      <c r="O327" s="2">
        <v>4376.446824</v>
      </c>
    </row>
    <row r="328" spans="1:15" ht="15.75">
      <c r="A328" s="1" t="s">
        <v>144</v>
      </c>
      <c r="B328" s="2">
        <v>660</v>
      </c>
      <c r="C328" s="2">
        <v>292.753325</v>
      </c>
      <c r="D328" s="2">
        <v>271.862242</v>
      </c>
      <c r="E328" s="2">
        <v>276.681006</v>
      </c>
      <c r="F328" s="2">
        <v>358.537451</v>
      </c>
      <c r="G328" s="2">
        <v>391.477439</v>
      </c>
      <c r="H328" s="2">
        <v>392.156273</v>
      </c>
      <c r="I328" s="2">
        <v>408.170499</v>
      </c>
      <c r="J328" s="2">
        <v>461.441756</v>
      </c>
      <c r="K328" s="2">
        <v>373.670853</v>
      </c>
      <c r="L328" s="2">
        <v>468.130157</v>
      </c>
      <c r="M328" s="2">
        <v>325.6545</v>
      </c>
      <c r="N328" s="2">
        <v>350.918414</v>
      </c>
      <c r="O328" s="2">
        <v>4371.453915</v>
      </c>
    </row>
    <row r="329" spans="1:15" ht="15.75">
      <c r="A329" s="1" t="s">
        <v>144</v>
      </c>
      <c r="B329" s="2">
        <v>720</v>
      </c>
      <c r="C329" s="2">
        <v>233.036603</v>
      </c>
      <c r="D329" s="2">
        <v>225.039638</v>
      </c>
      <c r="E329" s="2">
        <v>250.522258</v>
      </c>
      <c r="F329" s="2">
        <v>270.345736</v>
      </c>
      <c r="G329" s="2">
        <v>411.076134</v>
      </c>
      <c r="H329" s="2">
        <v>546.575444</v>
      </c>
      <c r="I329" s="2">
        <v>568.014902</v>
      </c>
      <c r="J329" s="2">
        <v>511.495779</v>
      </c>
      <c r="K329" s="2">
        <v>465.594741</v>
      </c>
      <c r="L329" s="2">
        <v>379.978289</v>
      </c>
      <c r="M329" s="2">
        <v>253.132924</v>
      </c>
      <c r="N329" s="2">
        <v>243.045079</v>
      </c>
      <c r="O329" s="2">
        <v>4357.857527</v>
      </c>
    </row>
    <row r="330" spans="1:15" ht="15.75">
      <c r="A330" s="1" t="s">
        <v>144</v>
      </c>
      <c r="B330" s="2">
        <v>660</v>
      </c>
      <c r="C330" s="2">
        <v>240.689667</v>
      </c>
      <c r="D330" s="2">
        <v>203.890594</v>
      </c>
      <c r="E330" s="2">
        <v>239.195894</v>
      </c>
      <c r="F330" s="2">
        <v>239.323816</v>
      </c>
      <c r="G330" s="2">
        <v>416.382881</v>
      </c>
      <c r="H330" s="2">
        <v>377.887334</v>
      </c>
      <c r="I330" s="2">
        <v>391.065606</v>
      </c>
      <c r="J330" s="2">
        <v>543.350885</v>
      </c>
      <c r="K330" s="2">
        <v>462.6185</v>
      </c>
      <c r="L330" s="2">
        <v>456.627042</v>
      </c>
      <c r="M330" s="2">
        <v>406.553617</v>
      </c>
      <c r="N330" s="2">
        <v>374.420916</v>
      </c>
      <c r="O330" s="2">
        <v>4352.006752</v>
      </c>
    </row>
    <row r="331" spans="1:15" ht="15.75">
      <c r="A331" s="1" t="s">
        <v>144</v>
      </c>
      <c r="B331" s="2">
        <v>372</v>
      </c>
      <c r="C331" s="2">
        <v>105.688635</v>
      </c>
      <c r="D331" s="2">
        <v>99.612994</v>
      </c>
      <c r="E331" s="2">
        <v>100.561009</v>
      </c>
      <c r="F331" s="2">
        <v>310.587615</v>
      </c>
      <c r="G331" s="2">
        <v>438.542415</v>
      </c>
      <c r="H331" s="2">
        <v>517.084531</v>
      </c>
      <c r="I331" s="2">
        <v>610.154458</v>
      </c>
      <c r="J331" s="2">
        <v>583.4656</v>
      </c>
      <c r="K331" s="2">
        <v>467.248435</v>
      </c>
      <c r="L331" s="2">
        <v>485.062752</v>
      </c>
      <c r="M331" s="2">
        <v>363.084428</v>
      </c>
      <c r="N331" s="2">
        <v>265.408154</v>
      </c>
      <c r="O331" s="2">
        <v>4346.501026</v>
      </c>
    </row>
    <row r="332" spans="1:15" ht="15.75">
      <c r="A332" s="1" t="s">
        <v>144</v>
      </c>
      <c r="B332" s="2">
        <v>660</v>
      </c>
      <c r="C332" s="2">
        <v>305.163343</v>
      </c>
      <c r="D332" s="2">
        <v>375.94032</v>
      </c>
      <c r="E332" s="2">
        <v>459.060136</v>
      </c>
      <c r="F332" s="2">
        <v>329.718902</v>
      </c>
      <c r="G332" s="2">
        <v>328.46974</v>
      </c>
      <c r="H332" s="2">
        <v>353.795698</v>
      </c>
      <c r="I332" s="2">
        <v>423.498108</v>
      </c>
      <c r="J332" s="2">
        <v>416.6396</v>
      </c>
      <c r="K332" s="2">
        <v>402.228106</v>
      </c>
      <c r="L332" s="2">
        <v>310.022642</v>
      </c>
      <c r="M332" s="2">
        <v>289.338798</v>
      </c>
      <c r="N332" s="2">
        <v>352.287323</v>
      </c>
      <c r="O332" s="2">
        <v>4346.162715999999</v>
      </c>
    </row>
    <row r="333" spans="1:15" ht="15.75">
      <c r="A333" s="1" t="s">
        <v>144</v>
      </c>
      <c r="B333" s="2">
        <v>660</v>
      </c>
      <c r="C333" s="2">
        <v>261.53275</v>
      </c>
      <c r="D333" s="2">
        <v>317.656065</v>
      </c>
      <c r="E333" s="2">
        <v>261.733647</v>
      </c>
      <c r="F333" s="2">
        <v>305.886029</v>
      </c>
      <c r="G333" s="2">
        <v>360.358851</v>
      </c>
      <c r="H333" s="2">
        <v>384.547492</v>
      </c>
      <c r="I333" s="2">
        <v>390.246513</v>
      </c>
      <c r="J333" s="2">
        <v>423.191091</v>
      </c>
      <c r="K333" s="2">
        <v>425.471153</v>
      </c>
      <c r="L333" s="2">
        <v>446.955816</v>
      </c>
      <c r="M333" s="2">
        <v>419.016353</v>
      </c>
      <c r="N333" s="2">
        <v>331.707745</v>
      </c>
      <c r="O333" s="2">
        <v>4328.303505</v>
      </c>
    </row>
    <row r="334" spans="1:15" ht="15.75">
      <c r="A334" s="1" t="s">
        <v>144</v>
      </c>
      <c r="B334" s="2">
        <v>660</v>
      </c>
      <c r="C334" s="2">
        <v>296.566941</v>
      </c>
      <c r="D334" s="2">
        <v>343.615944</v>
      </c>
      <c r="E334" s="2">
        <v>307.328882</v>
      </c>
      <c r="F334" s="2">
        <v>311.907164</v>
      </c>
      <c r="G334" s="2">
        <v>331.487322</v>
      </c>
      <c r="H334" s="2">
        <v>345.330847</v>
      </c>
      <c r="I334" s="2">
        <v>390.430008</v>
      </c>
      <c r="J334" s="2">
        <v>449.185425</v>
      </c>
      <c r="K334" s="2">
        <v>390.603029</v>
      </c>
      <c r="L334" s="2">
        <v>375.07966</v>
      </c>
      <c r="M334" s="2">
        <v>409.455699</v>
      </c>
      <c r="N334" s="2">
        <v>359.826105</v>
      </c>
      <c r="O334" s="2">
        <v>4310.817026</v>
      </c>
    </row>
    <row r="335" spans="1:15" ht="15.75">
      <c r="A335" s="1" t="s">
        <v>144</v>
      </c>
      <c r="B335" s="2">
        <v>660</v>
      </c>
      <c r="C335" s="2">
        <v>231.561462</v>
      </c>
      <c r="D335" s="2">
        <v>176.420673</v>
      </c>
      <c r="E335" s="2">
        <v>227.655158</v>
      </c>
      <c r="F335" s="2">
        <v>266.232087</v>
      </c>
      <c r="G335" s="2">
        <v>361.42947</v>
      </c>
      <c r="H335" s="2">
        <v>367.092474</v>
      </c>
      <c r="I335" s="2">
        <v>526.518125</v>
      </c>
      <c r="J335" s="2">
        <v>616.989267</v>
      </c>
      <c r="K335" s="2">
        <v>460.77541</v>
      </c>
      <c r="L335" s="2">
        <v>435.117563</v>
      </c>
      <c r="M335" s="2">
        <v>356.102134</v>
      </c>
      <c r="N335" s="2">
        <v>257.108089</v>
      </c>
      <c r="O335" s="2">
        <v>4283.001912</v>
      </c>
    </row>
    <row r="336" spans="1:15" ht="15.75">
      <c r="A336" s="1" t="s">
        <v>144</v>
      </c>
      <c r="B336" s="2">
        <v>660</v>
      </c>
      <c r="C336" s="2">
        <v>139.122339</v>
      </c>
      <c r="D336" s="2">
        <v>328.242358</v>
      </c>
      <c r="E336" s="2">
        <v>241.778277</v>
      </c>
      <c r="F336" s="2">
        <v>332.535334</v>
      </c>
      <c r="G336" s="2">
        <v>428.364296</v>
      </c>
      <c r="H336" s="2">
        <v>370.056612</v>
      </c>
      <c r="I336" s="2">
        <v>592.471841</v>
      </c>
      <c r="J336" s="2">
        <v>489.143184</v>
      </c>
      <c r="K336" s="2">
        <v>395.600571</v>
      </c>
      <c r="L336" s="2">
        <v>362.512387</v>
      </c>
      <c r="M336" s="2">
        <v>301.140625</v>
      </c>
      <c r="N336" s="2">
        <v>287.12208</v>
      </c>
      <c r="O336" s="2">
        <v>4268.089904</v>
      </c>
    </row>
    <row r="337" spans="1:15" ht="15.75">
      <c r="A337" s="1" t="s">
        <v>144</v>
      </c>
      <c r="B337" s="2">
        <v>1752</v>
      </c>
      <c r="C337" s="2">
        <v>309.524299</v>
      </c>
      <c r="D337" s="2">
        <v>182.961412</v>
      </c>
      <c r="E337" s="2">
        <v>193.893603</v>
      </c>
      <c r="F337" s="2">
        <v>273.81888</v>
      </c>
      <c r="G337" s="2">
        <v>276.818925</v>
      </c>
      <c r="H337" s="2">
        <v>550.687566</v>
      </c>
      <c r="I337" s="2">
        <v>772.969396</v>
      </c>
      <c r="J337" s="2">
        <v>439.673933</v>
      </c>
      <c r="K337" s="2">
        <v>375.845274</v>
      </c>
      <c r="L337" s="2">
        <v>311.737418</v>
      </c>
      <c r="M337" s="2">
        <v>264.513193</v>
      </c>
      <c r="N337" s="2">
        <v>265.034584</v>
      </c>
      <c r="O337" s="2">
        <v>4217.478483000001</v>
      </c>
    </row>
    <row r="338" spans="1:15" ht="15.75">
      <c r="A338" s="1" t="s">
        <v>144</v>
      </c>
      <c r="B338" s="2">
        <v>720</v>
      </c>
      <c r="C338" s="2">
        <v>287.293932</v>
      </c>
      <c r="D338" s="2">
        <v>263.902792</v>
      </c>
      <c r="E338" s="2">
        <v>310.285636</v>
      </c>
      <c r="F338" s="2">
        <v>264.535803</v>
      </c>
      <c r="G338" s="2">
        <v>314.402289</v>
      </c>
      <c r="H338" s="2">
        <v>432.199245</v>
      </c>
      <c r="I338" s="2">
        <v>453.184419</v>
      </c>
      <c r="J338" s="2">
        <v>159.283205</v>
      </c>
      <c r="K338" s="2">
        <v>638.819976</v>
      </c>
      <c r="L338" s="2">
        <v>401.361622</v>
      </c>
      <c r="M338" s="2">
        <v>307.264333</v>
      </c>
      <c r="N338" s="2">
        <v>371.685577</v>
      </c>
      <c r="O338" s="2">
        <v>4204.2188289999995</v>
      </c>
    </row>
    <row r="339" spans="1:15" ht="15.75">
      <c r="A339" s="1" t="s">
        <v>144</v>
      </c>
      <c r="B339" s="2">
        <v>660</v>
      </c>
      <c r="C339" s="2">
        <v>373.397608</v>
      </c>
      <c r="D339" s="2">
        <v>302.234431</v>
      </c>
      <c r="E339" s="2">
        <v>384.221063</v>
      </c>
      <c r="F339" s="2">
        <v>329.025721</v>
      </c>
      <c r="G339" s="2">
        <v>391.114823</v>
      </c>
      <c r="H339" s="2">
        <v>357.371611</v>
      </c>
      <c r="I339" s="2">
        <v>341.134352</v>
      </c>
      <c r="J339" s="2">
        <v>385.28824</v>
      </c>
      <c r="K339" s="2">
        <v>297.425816</v>
      </c>
      <c r="L339" s="2">
        <v>315.906632</v>
      </c>
      <c r="M339" s="2">
        <v>397.860947</v>
      </c>
      <c r="N339" s="2">
        <v>314.324245</v>
      </c>
      <c r="O339" s="2">
        <v>4189.305489</v>
      </c>
    </row>
    <row r="340" spans="1:15" ht="15.75">
      <c r="A340" s="1" t="s">
        <v>144</v>
      </c>
      <c r="B340" s="2">
        <v>660</v>
      </c>
      <c r="C340" s="2">
        <v>378.768276</v>
      </c>
      <c r="D340" s="2">
        <v>258.432787</v>
      </c>
      <c r="E340" s="2">
        <v>247.442287</v>
      </c>
      <c r="F340" s="2">
        <v>224.970217</v>
      </c>
      <c r="G340" s="2">
        <v>307.08799</v>
      </c>
      <c r="H340" s="2">
        <v>375.494742</v>
      </c>
      <c r="I340" s="2">
        <v>466.648528</v>
      </c>
      <c r="J340" s="2">
        <v>509.048986</v>
      </c>
      <c r="K340" s="2">
        <v>390.7289</v>
      </c>
      <c r="L340" s="2">
        <v>369.923004</v>
      </c>
      <c r="M340" s="2">
        <v>394.096912</v>
      </c>
      <c r="N340" s="2">
        <v>259.608924</v>
      </c>
      <c r="O340" s="2">
        <v>4182.251553</v>
      </c>
    </row>
    <row r="341" spans="1:15" ht="15.75">
      <c r="A341" s="1" t="s">
        <v>144</v>
      </c>
      <c r="B341" s="2">
        <v>660</v>
      </c>
      <c r="C341" s="2">
        <v>351.348694</v>
      </c>
      <c r="D341" s="2">
        <v>364.8039</v>
      </c>
      <c r="E341" s="2">
        <v>300.553257</v>
      </c>
      <c r="F341" s="2">
        <v>316.14419</v>
      </c>
      <c r="G341" s="2">
        <v>385.296116</v>
      </c>
      <c r="H341" s="2">
        <v>334.19439</v>
      </c>
      <c r="I341" s="2">
        <v>279.477356</v>
      </c>
      <c r="J341" s="2">
        <v>433.87462</v>
      </c>
      <c r="K341" s="2">
        <v>367.367054</v>
      </c>
      <c r="L341" s="2">
        <v>374.529755</v>
      </c>
      <c r="M341" s="2">
        <v>330.807108</v>
      </c>
      <c r="N341" s="2">
        <v>335.251599</v>
      </c>
      <c r="O341" s="2">
        <v>4173.648039</v>
      </c>
    </row>
    <row r="342" spans="1:15" ht="15.75">
      <c r="A342" s="1" t="s">
        <v>144</v>
      </c>
      <c r="B342" s="2">
        <v>660</v>
      </c>
      <c r="C342" s="2">
        <v>270.104525</v>
      </c>
      <c r="D342" s="2">
        <v>282.126058</v>
      </c>
      <c r="E342" s="2">
        <v>339.291066</v>
      </c>
      <c r="F342" s="2">
        <v>239.199487</v>
      </c>
      <c r="G342" s="2">
        <v>344.698994</v>
      </c>
      <c r="H342" s="2">
        <v>305.891326</v>
      </c>
      <c r="I342" s="2">
        <v>431.924946</v>
      </c>
      <c r="J342" s="2">
        <v>529.068297</v>
      </c>
      <c r="K342" s="2">
        <v>462.015123</v>
      </c>
      <c r="L342" s="2">
        <v>324.92153</v>
      </c>
      <c r="M342" s="2">
        <v>319.841313</v>
      </c>
      <c r="N342" s="2">
        <v>313.578217</v>
      </c>
      <c r="O342" s="2">
        <v>4162.660882</v>
      </c>
    </row>
    <row r="343" spans="1:15" ht="15.75">
      <c r="A343" s="1" t="s">
        <v>144</v>
      </c>
      <c r="B343" s="2">
        <v>660</v>
      </c>
      <c r="C343" s="2">
        <v>336.137386</v>
      </c>
      <c r="D343" s="2">
        <v>245.939965</v>
      </c>
      <c r="E343" s="2">
        <v>295.593329</v>
      </c>
      <c r="F343" s="2">
        <v>309.134624</v>
      </c>
      <c r="G343" s="2">
        <v>337.438239</v>
      </c>
      <c r="H343" s="2">
        <v>375.587995</v>
      </c>
      <c r="I343" s="2">
        <v>418.05614</v>
      </c>
      <c r="J343" s="2">
        <v>430.539744</v>
      </c>
      <c r="K343" s="2">
        <v>344.002401</v>
      </c>
      <c r="L343" s="2">
        <v>338.205576</v>
      </c>
      <c r="M343" s="2">
        <v>367.023476</v>
      </c>
      <c r="N343" s="2">
        <v>312.765986</v>
      </c>
      <c r="O343" s="2">
        <v>4110.424861</v>
      </c>
    </row>
    <row r="344" spans="1:15" ht="15.75">
      <c r="A344" s="1" t="s">
        <v>144</v>
      </c>
      <c r="B344" s="2">
        <v>660</v>
      </c>
      <c r="C344" s="2">
        <v>215.818466</v>
      </c>
      <c r="D344" s="2">
        <v>235.455593</v>
      </c>
      <c r="E344" s="2">
        <v>232.831309</v>
      </c>
      <c r="F344" s="2">
        <v>202.368366</v>
      </c>
      <c r="G344" s="2">
        <v>332.649819</v>
      </c>
      <c r="H344" s="2">
        <v>367.704513</v>
      </c>
      <c r="I344" s="2">
        <v>446.574182</v>
      </c>
      <c r="J344" s="2">
        <v>671.831727</v>
      </c>
      <c r="K344" s="2">
        <v>468.683925</v>
      </c>
      <c r="L344" s="2">
        <v>407.136992</v>
      </c>
      <c r="M344" s="2">
        <v>286.407461</v>
      </c>
      <c r="N344" s="2">
        <v>222.50307</v>
      </c>
      <c r="O344" s="2">
        <v>4089.965423</v>
      </c>
    </row>
    <row r="345" spans="1:15" ht="15.75">
      <c r="A345" s="1" t="s">
        <v>144</v>
      </c>
      <c r="B345" s="2">
        <v>1164</v>
      </c>
      <c r="C345" s="2">
        <v>371.160443</v>
      </c>
      <c r="D345" s="2">
        <v>238.548183</v>
      </c>
      <c r="E345" s="2">
        <v>366.908291</v>
      </c>
      <c r="F345" s="2">
        <v>474.901867</v>
      </c>
      <c r="G345" s="2">
        <v>321.882893</v>
      </c>
      <c r="H345" s="2">
        <v>261.262428</v>
      </c>
      <c r="I345" s="2">
        <v>181.510127</v>
      </c>
      <c r="J345" s="2">
        <v>276.232152</v>
      </c>
      <c r="K345" s="2">
        <v>264.407427</v>
      </c>
      <c r="L345" s="2">
        <v>280.544029</v>
      </c>
      <c r="M345" s="2">
        <v>663.678626</v>
      </c>
      <c r="N345" s="2">
        <v>386.323922</v>
      </c>
      <c r="O345" s="2">
        <v>4087.3603880000005</v>
      </c>
    </row>
    <row r="346" spans="1:15" ht="15.75">
      <c r="A346" s="1" t="s">
        <v>144</v>
      </c>
      <c r="B346" s="2">
        <v>564</v>
      </c>
      <c r="C346" s="2">
        <v>326.361938</v>
      </c>
      <c r="D346" s="2">
        <v>262.221297</v>
      </c>
      <c r="E346" s="2">
        <v>297.039001</v>
      </c>
      <c r="F346" s="2">
        <v>277.550194</v>
      </c>
      <c r="G346" s="2">
        <v>318.314357</v>
      </c>
      <c r="H346" s="2">
        <v>412.092486</v>
      </c>
      <c r="I346" s="2">
        <v>403.777684</v>
      </c>
      <c r="J346" s="2">
        <v>487.53237</v>
      </c>
      <c r="K346" s="2">
        <v>376.09032</v>
      </c>
      <c r="L346" s="2">
        <v>316.554818</v>
      </c>
      <c r="M346" s="2">
        <v>303.786936</v>
      </c>
      <c r="N346" s="2">
        <v>305.850673</v>
      </c>
      <c r="O346" s="2">
        <v>4087.172074</v>
      </c>
    </row>
    <row r="347" spans="1:15" ht="15.75">
      <c r="A347" s="1" t="s">
        <v>144</v>
      </c>
      <c r="B347" s="2">
        <v>660</v>
      </c>
      <c r="C347" s="2">
        <v>328.783218</v>
      </c>
      <c r="D347" s="2">
        <v>265.206734</v>
      </c>
      <c r="E347" s="2">
        <v>291.117736</v>
      </c>
      <c r="F347" s="2">
        <v>307.767197</v>
      </c>
      <c r="G347" s="2">
        <v>341.111872</v>
      </c>
      <c r="H347" s="2">
        <v>414.82786</v>
      </c>
      <c r="I347" s="2">
        <v>429.954911</v>
      </c>
      <c r="J347" s="2">
        <v>396.731091</v>
      </c>
      <c r="K347" s="2">
        <v>328.33433</v>
      </c>
      <c r="L347" s="2">
        <v>347.792113</v>
      </c>
      <c r="M347" s="2">
        <v>339.564239</v>
      </c>
      <c r="N347" s="2">
        <v>287.845648</v>
      </c>
      <c r="O347" s="2">
        <v>4079.0369489999994</v>
      </c>
    </row>
    <row r="348" spans="1:15" ht="15.75">
      <c r="A348" s="1" t="s">
        <v>144</v>
      </c>
      <c r="B348" s="2">
        <v>660</v>
      </c>
      <c r="C348" s="2">
        <v>131.207694</v>
      </c>
      <c r="D348" s="2">
        <v>119.115412</v>
      </c>
      <c r="E348" s="2">
        <v>149.061001</v>
      </c>
      <c r="F348" s="2">
        <v>227.188922</v>
      </c>
      <c r="G348" s="2">
        <v>357.263458</v>
      </c>
      <c r="H348" s="2">
        <v>490.082234</v>
      </c>
      <c r="I348" s="2">
        <v>601.517962</v>
      </c>
      <c r="J348" s="2">
        <v>507.307405</v>
      </c>
      <c r="K348" s="2">
        <v>458.708782</v>
      </c>
      <c r="L348" s="2">
        <v>437.470267</v>
      </c>
      <c r="M348" s="2">
        <v>370.888218</v>
      </c>
      <c r="N348" s="2">
        <v>199.52347</v>
      </c>
      <c r="O348" s="2">
        <v>4049.3348250000004</v>
      </c>
    </row>
    <row r="349" spans="1:15" ht="15.75">
      <c r="A349" s="1" t="s">
        <v>144</v>
      </c>
      <c r="B349" s="2">
        <v>660</v>
      </c>
      <c r="C349" s="2">
        <v>204.211487</v>
      </c>
      <c r="D349" s="2">
        <v>219.35311</v>
      </c>
      <c r="E349" s="2">
        <v>213.324538</v>
      </c>
      <c r="F349" s="2">
        <v>313.692454</v>
      </c>
      <c r="G349" s="2">
        <v>377.35722</v>
      </c>
      <c r="H349" s="2">
        <v>379.596629</v>
      </c>
      <c r="I349" s="2">
        <v>232.289145</v>
      </c>
      <c r="J349" s="2">
        <v>454.546345</v>
      </c>
      <c r="K349" s="2">
        <v>399.667077</v>
      </c>
      <c r="L349" s="2">
        <v>363.258454</v>
      </c>
      <c r="M349" s="2">
        <v>328.63052</v>
      </c>
      <c r="N349" s="2">
        <v>538.514792</v>
      </c>
      <c r="O349" s="2">
        <v>4024.441771</v>
      </c>
    </row>
    <row r="350" spans="1:15" ht="15.75">
      <c r="A350" s="1" t="s">
        <v>144</v>
      </c>
      <c r="B350" s="2">
        <v>660</v>
      </c>
      <c r="C350" s="2">
        <v>241.343545</v>
      </c>
      <c r="D350" s="2">
        <v>230.512311</v>
      </c>
      <c r="E350" s="2">
        <v>284.347328</v>
      </c>
      <c r="F350" s="2">
        <v>258.361494</v>
      </c>
      <c r="G350" s="2">
        <v>332.511157</v>
      </c>
      <c r="H350" s="2">
        <v>325.863721</v>
      </c>
      <c r="I350" s="2">
        <v>452.459618</v>
      </c>
      <c r="J350" s="2">
        <v>512.357677</v>
      </c>
      <c r="K350" s="2">
        <v>402.455384</v>
      </c>
      <c r="L350" s="2">
        <v>340.603144</v>
      </c>
      <c r="M350" s="2">
        <v>362.583669</v>
      </c>
      <c r="N350" s="2">
        <v>278.404092</v>
      </c>
      <c r="O350" s="2">
        <v>4021.80314</v>
      </c>
    </row>
    <row r="351" spans="1:15" ht="15.75">
      <c r="A351" s="1" t="s">
        <v>144</v>
      </c>
      <c r="B351" s="2">
        <v>660</v>
      </c>
      <c r="C351" s="2">
        <v>224.173607</v>
      </c>
      <c r="D351" s="2">
        <v>233.991362</v>
      </c>
      <c r="E351" s="2">
        <v>229.047259</v>
      </c>
      <c r="F351" s="2">
        <v>276.652727</v>
      </c>
      <c r="G351" s="2">
        <v>378.68792</v>
      </c>
      <c r="H351" s="2">
        <v>340.691797</v>
      </c>
      <c r="I351" s="2">
        <v>740.507049</v>
      </c>
      <c r="J351" s="2">
        <v>466.10029</v>
      </c>
      <c r="K351" s="2">
        <v>344.81028</v>
      </c>
      <c r="L351" s="2">
        <v>304.048287</v>
      </c>
      <c r="M351" s="2">
        <v>273.584462</v>
      </c>
      <c r="N351" s="2">
        <v>207.311041</v>
      </c>
      <c r="O351" s="2">
        <v>4019.606081</v>
      </c>
    </row>
    <row r="352" spans="1:15" ht="15.75">
      <c r="A352" s="1" t="s">
        <v>144</v>
      </c>
      <c r="B352" s="2">
        <v>660</v>
      </c>
      <c r="C352" s="2">
        <v>294.812722</v>
      </c>
      <c r="D352" s="2">
        <v>263.313276</v>
      </c>
      <c r="E352" s="2">
        <v>316.799861</v>
      </c>
      <c r="F352" s="2">
        <v>338.921242</v>
      </c>
      <c r="G352" s="2">
        <v>354.880089</v>
      </c>
      <c r="H352" s="2">
        <v>296.413446</v>
      </c>
      <c r="I352" s="2">
        <v>502.968557</v>
      </c>
      <c r="J352" s="2">
        <v>344.212047</v>
      </c>
      <c r="K352" s="2">
        <v>352.04321</v>
      </c>
      <c r="L352" s="2">
        <v>315.706302</v>
      </c>
      <c r="M352" s="2">
        <v>364.218921</v>
      </c>
      <c r="N352" s="2">
        <v>268.325356</v>
      </c>
      <c r="O352" s="2">
        <v>4012.6150289999996</v>
      </c>
    </row>
    <row r="353" spans="1:15" ht="15.75">
      <c r="A353" s="1" t="s">
        <v>144</v>
      </c>
      <c r="B353" s="2">
        <v>660</v>
      </c>
      <c r="C353" s="2">
        <v>220.100797</v>
      </c>
      <c r="D353" s="2">
        <v>168.718098</v>
      </c>
      <c r="E353" s="2">
        <v>272.203726</v>
      </c>
      <c r="F353" s="2">
        <v>310.182539</v>
      </c>
      <c r="G353" s="2">
        <v>344.443862</v>
      </c>
      <c r="H353" s="2">
        <v>460.047085</v>
      </c>
      <c r="I353" s="2">
        <v>554.530895</v>
      </c>
      <c r="J353" s="2">
        <v>612.087803</v>
      </c>
      <c r="K353" s="2">
        <v>406.941105</v>
      </c>
      <c r="L353" s="2">
        <v>277.940506</v>
      </c>
      <c r="M353" s="2">
        <v>207.451433</v>
      </c>
      <c r="N353" s="2">
        <v>159.143245</v>
      </c>
      <c r="O353" s="2">
        <v>3993.791094</v>
      </c>
    </row>
    <row r="354" spans="1:15" ht="15.75">
      <c r="A354" s="1" t="s">
        <v>144</v>
      </c>
      <c r="B354" s="2">
        <v>660</v>
      </c>
      <c r="C354" s="2">
        <v>775.526289</v>
      </c>
      <c r="D354" s="2">
        <v>1060.929629</v>
      </c>
      <c r="E354" s="2">
        <v>149.085927</v>
      </c>
      <c r="F354" s="2">
        <v>3.021112</v>
      </c>
      <c r="G354" s="2">
        <v>3.664398</v>
      </c>
      <c r="H354" s="2">
        <v>9.53109</v>
      </c>
      <c r="I354" s="2">
        <v>12.916195</v>
      </c>
      <c r="J354" s="2">
        <v>9.925221</v>
      </c>
      <c r="K354" s="2">
        <v>5.733723</v>
      </c>
      <c r="L354" s="2">
        <v>1.552556</v>
      </c>
      <c r="M354" s="2">
        <v>535.618926</v>
      </c>
      <c r="N354" s="2">
        <v>1424.141575</v>
      </c>
      <c r="O354" s="2">
        <v>3991.6466410000003</v>
      </c>
    </row>
    <row r="355" spans="1:15" ht="15.75">
      <c r="A355" s="1" t="s">
        <v>144</v>
      </c>
      <c r="B355" s="2">
        <v>660</v>
      </c>
      <c r="C355" s="2">
        <v>334.380757</v>
      </c>
      <c r="D355" s="2">
        <v>311.993761</v>
      </c>
      <c r="E355" s="2">
        <v>174.30784</v>
      </c>
      <c r="F355" s="2">
        <v>201.739578</v>
      </c>
      <c r="G355" s="2">
        <v>299.116675</v>
      </c>
      <c r="H355" s="2">
        <v>422.302324</v>
      </c>
      <c r="I355" s="2">
        <v>393.544489</v>
      </c>
      <c r="J355" s="2">
        <v>348.568815</v>
      </c>
      <c r="K355" s="2">
        <v>251.110592</v>
      </c>
      <c r="L355" s="2">
        <v>252.386535</v>
      </c>
      <c r="M355" s="2">
        <v>439.499196</v>
      </c>
      <c r="N355" s="2">
        <v>556.772626</v>
      </c>
      <c r="O355" s="2">
        <v>3985.723188</v>
      </c>
    </row>
    <row r="356" spans="1:15" ht="15.75">
      <c r="A356" s="1" t="s">
        <v>144</v>
      </c>
      <c r="B356" s="2">
        <v>660</v>
      </c>
      <c r="C356" s="2">
        <v>270.042611</v>
      </c>
      <c r="D356" s="2">
        <v>284.05369</v>
      </c>
      <c r="E356" s="2">
        <v>269.925789</v>
      </c>
      <c r="F356" s="2">
        <v>186.397204</v>
      </c>
      <c r="G356" s="2">
        <v>294.55168</v>
      </c>
      <c r="H356" s="2">
        <v>393.577318</v>
      </c>
      <c r="I356" s="2">
        <v>442.17642</v>
      </c>
      <c r="J356" s="2">
        <v>516.661525</v>
      </c>
      <c r="K356" s="2">
        <v>401.061609</v>
      </c>
      <c r="L356" s="2">
        <v>339.690152</v>
      </c>
      <c r="M356" s="2">
        <v>315.810201</v>
      </c>
      <c r="N356" s="2">
        <v>256.882739</v>
      </c>
      <c r="O356" s="2">
        <v>3970.8309380000005</v>
      </c>
    </row>
    <row r="357" spans="1:15" ht="15.75">
      <c r="A357" s="1" t="s">
        <v>144</v>
      </c>
      <c r="B357" s="2">
        <v>660</v>
      </c>
      <c r="C357" s="2">
        <v>237.325429</v>
      </c>
      <c r="D357" s="2">
        <v>206.360946</v>
      </c>
      <c r="E357" s="2">
        <v>191.73535</v>
      </c>
      <c r="F357" s="2">
        <v>196.652721</v>
      </c>
      <c r="G357" s="2">
        <v>262.19953</v>
      </c>
      <c r="H357" s="2">
        <v>388.521369</v>
      </c>
      <c r="I357" s="2">
        <v>557.117751</v>
      </c>
      <c r="J357" s="2">
        <v>606.364875</v>
      </c>
      <c r="K357" s="2">
        <v>393.078695</v>
      </c>
      <c r="L357" s="2">
        <v>387.99208</v>
      </c>
      <c r="M357" s="2">
        <v>297.860803</v>
      </c>
      <c r="N357" s="2">
        <v>235.326252</v>
      </c>
      <c r="O357" s="2">
        <v>3960.535801</v>
      </c>
    </row>
    <row r="358" spans="1:15" ht="15.75">
      <c r="A358" s="1" t="s">
        <v>144</v>
      </c>
      <c r="B358" s="2">
        <v>660</v>
      </c>
      <c r="C358" s="2">
        <v>201.757466</v>
      </c>
      <c r="D358" s="2">
        <v>216.65886</v>
      </c>
      <c r="E358" s="2">
        <v>248.779414</v>
      </c>
      <c r="F358" s="2">
        <v>208.162</v>
      </c>
      <c r="G358" s="2">
        <v>293.936092</v>
      </c>
      <c r="H358" s="2">
        <v>401.003982</v>
      </c>
      <c r="I358" s="2">
        <v>476.00325</v>
      </c>
      <c r="J358" s="2">
        <v>485.120207</v>
      </c>
      <c r="K358" s="2">
        <v>449.356677</v>
      </c>
      <c r="L358" s="2">
        <v>338.641181</v>
      </c>
      <c r="M358" s="2">
        <v>328.328455</v>
      </c>
      <c r="N358" s="2">
        <v>303.129213</v>
      </c>
      <c r="O358" s="2">
        <v>3950.876797</v>
      </c>
    </row>
    <row r="359" spans="1:15" ht="15.75">
      <c r="A359" s="1" t="s">
        <v>144</v>
      </c>
      <c r="B359" s="2">
        <v>660</v>
      </c>
      <c r="C359" s="2">
        <v>210.906272</v>
      </c>
      <c r="D359" s="2">
        <v>228.684977</v>
      </c>
      <c r="E359" s="2">
        <v>247.761698</v>
      </c>
      <c r="F359" s="2">
        <v>217.625135</v>
      </c>
      <c r="G359" s="2">
        <v>342.04203</v>
      </c>
      <c r="H359" s="2">
        <v>324.101882</v>
      </c>
      <c r="I359" s="2">
        <v>396.095898</v>
      </c>
      <c r="J359" s="2">
        <v>536.711193</v>
      </c>
      <c r="K359" s="2">
        <v>408.973298</v>
      </c>
      <c r="L359" s="2">
        <v>419.453338</v>
      </c>
      <c r="M359" s="2">
        <v>355.655731</v>
      </c>
      <c r="N359" s="2">
        <v>261.022095</v>
      </c>
      <c r="O359" s="2">
        <v>3949.033546999999</v>
      </c>
    </row>
    <row r="360" spans="1:15" ht="15.75">
      <c r="A360" s="1" t="s">
        <v>144</v>
      </c>
      <c r="B360" s="2">
        <v>660</v>
      </c>
      <c r="C360" s="2">
        <v>178.953771</v>
      </c>
      <c r="D360" s="2">
        <v>166.825843</v>
      </c>
      <c r="E360" s="2">
        <v>96.611318</v>
      </c>
      <c r="F360" s="2">
        <v>174.082508</v>
      </c>
      <c r="G360" s="2">
        <v>300.971791</v>
      </c>
      <c r="H360" s="2">
        <v>474.087841</v>
      </c>
      <c r="I360" s="2">
        <v>649.581096</v>
      </c>
      <c r="J360" s="2">
        <v>624.187979</v>
      </c>
      <c r="K360" s="2">
        <v>423.876</v>
      </c>
      <c r="L360" s="2">
        <v>390.232456</v>
      </c>
      <c r="M360" s="2">
        <v>292.130284</v>
      </c>
      <c r="N360" s="2">
        <v>176.981893</v>
      </c>
      <c r="O360" s="2">
        <v>3948.5227800000007</v>
      </c>
    </row>
    <row r="361" spans="1:15" ht="15.75">
      <c r="A361" s="1" t="s">
        <v>144</v>
      </c>
      <c r="B361" s="2">
        <v>660</v>
      </c>
      <c r="C361" s="2">
        <v>378.069946</v>
      </c>
      <c r="D361" s="2">
        <v>288.727512</v>
      </c>
      <c r="E361" s="2">
        <v>316.756223</v>
      </c>
      <c r="F361" s="2">
        <v>311.791759</v>
      </c>
      <c r="G361" s="2">
        <v>340.632143</v>
      </c>
      <c r="I361" s="2">
        <v>722.0928269999999</v>
      </c>
      <c r="J361" s="2">
        <v>397.463864</v>
      </c>
      <c r="K361" s="2">
        <v>319.236168</v>
      </c>
      <c r="L361" s="2">
        <v>334.157394</v>
      </c>
      <c r="M361" s="2">
        <v>298.148753</v>
      </c>
      <c r="N361" s="2">
        <v>238.973136</v>
      </c>
      <c r="O361" s="2">
        <v>3946.049725</v>
      </c>
    </row>
    <row r="362" spans="1:15" ht="15.75">
      <c r="A362" s="1" t="s">
        <v>144</v>
      </c>
      <c r="B362" s="2">
        <v>1320</v>
      </c>
      <c r="C362" s="2">
        <v>192.710464</v>
      </c>
      <c r="D362" s="2">
        <v>177.708427</v>
      </c>
      <c r="E362" s="2">
        <v>207.304322</v>
      </c>
      <c r="F362" s="2">
        <v>185.317555</v>
      </c>
      <c r="G362" s="2">
        <v>321.327782</v>
      </c>
      <c r="H362" s="2">
        <v>404.487247</v>
      </c>
      <c r="I362" s="2">
        <v>566.473762</v>
      </c>
      <c r="J362" s="2">
        <v>526.648696</v>
      </c>
      <c r="K362" s="2">
        <v>453.849797</v>
      </c>
      <c r="L362" s="2">
        <v>356.947743</v>
      </c>
      <c r="M362" s="2">
        <v>330.170717</v>
      </c>
      <c r="N362" s="2">
        <v>207.939047</v>
      </c>
      <c r="O362" s="2">
        <v>3930.885559</v>
      </c>
    </row>
    <row r="363" spans="1:15" ht="15.75">
      <c r="A363" s="1" t="s">
        <v>144</v>
      </c>
      <c r="B363" s="2">
        <v>660</v>
      </c>
      <c r="C363" s="2">
        <v>268.956095</v>
      </c>
      <c r="D363" s="2">
        <v>250.256042</v>
      </c>
      <c r="E363" s="2">
        <v>313.442753</v>
      </c>
      <c r="F363" s="2">
        <v>300.494391</v>
      </c>
      <c r="G363" s="2">
        <v>361.124868</v>
      </c>
      <c r="H363" s="2">
        <v>316.63978</v>
      </c>
      <c r="I363" s="2">
        <v>403.559411</v>
      </c>
      <c r="J363" s="2">
        <v>380.119128</v>
      </c>
      <c r="K363" s="2">
        <v>342.300583</v>
      </c>
      <c r="L363" s="2">
        <v>371.463394</v>
      </c>
      <c r="M363" s="2">
        <v>327.514829</v>
      </c>
      <c r="N363" s="2">
        <v>282.942933</v>
      </c>
      <c r="O363" s="2">
        <v>3918.814207</v>
      </c>
    </row>
    <row r="364" spans="1:15" ht="15.75">
      <c r="A364" s="1" t="s">
        <v>144</v>
      </c>
      <c r="B364" s="2">
        <v>1320</v>
      </c>
      <c r="C364" s="2">
        <v>251.404189</v>
      </c>
      <c r="D364" s="2">
        <v>243.448421</v>
      </c>
      <c r="E364" s="2">
        <v>231.272317</v>
      </c>
      <c r="F364" s="2">
        <v>229.275769</v>
      </c>
      <c r="G364" s="2">
        <v>351.326638</v>
      </c>
      <c r="H364" s="2">
        <v>321.43751</v>
      </c>
      <c r="I364" s="2">
        <v>497.791454</v>
      </c>
      <c r="J364" s="2">
        <v>510.699187</v>
      </c>
      <c r="K364" s="2">
        <v>425.748093</v>
      </c>
      <c r="L364" s="2">
        <v>288.631646</v>
      </c>
      <c r="M364" s="2">
        <v>313.572528</v>
      </c>
      <c r="N364" s="2">
        <v>238.046407</v>
      </c>
      <c r="O364" s="2">
        <v>3902.654159</v>
      </c>
    </row>
    <row r="365" spans="1:15" ht="15.75">
      <c r="A365" s="1" t="s">
        <v>144</v>
      </c>
      <c r="B365" s="2">
        <v>660</v>
      </c>
      <c r="C365" s="2">
        <v>242.812717</v>
      </c>
      <c r="D365" s="2">
        <v>219.562661</v>
      </c>
      <c r="E365" s="2">
        <v>259.985541</v>
      </c>
      <c r="F365" s="2">
        <v>232.020946</v>
      </c>
      <c r="G365" s="2">
        <v>371.030804</v>
      </c>
      <c r="H365" s="2">
        <v>377.660609</v>
      </c>
      <c r="I365" s="2">
        <v>451.975976</v>
      </c>
      <c r="J365" s="2">
        <v>466.266221</v>
      </c>
      <c r="K365" s="2">
        <v>371.691042</v>
      </c>
      <c r="L365" s="2">
        <v>314.073311</v>
      </c>
      <c r="M365" s="2">
        <v>325.343543</v>
      </c>
      <c r="N365" s="2">
        <v>265.123888</v>
      </c>
      <c r="O365" s="2">
        <v>3897.547259</v>
      </c>
    </row>
    <row r="366" spans="1:15" ht="15.75">
      <c r="A366" s="1" t="s">
        <v>144</v>
      </c>
      <c r="B366" s="2">
        <v>660</v>
      </c>
      <c r="C366" s="2">
        <v>315.535254</v>
      </c>
      <c r="D366" s="2">
        <v>267.632373</v>
      </c>
      <c r="E366" s="2">
        <v>290.995915</v>
      </c>
      <c r="F366" s="2">
        <v>235.982629</v>
      </c>
      <c r="G366" s="2">
        <v>336.914184</v>
      </c>
      <c r="H366" s="2">
        <v>303.74445</v>
      </c>
      <c r="I366" s="2">
        <v>322.376815</v>
      </c>
      <c r="J366" s="2">
        <v>412.111297</v>
      </c>
      <c r="K366" s="2">
        <v>377.578785</v>
      </c>
      <c r="L366" s="2">
        <v>375.163048</v>
      </c>
      <c r="M366" s="2">
        <v>308.551129</v>
      </c>
      <c r="N366" s="2">
        <v>315.236454</v>
      </c>
      <c r="O366" s="2">
        <v>3861.8223329999996</v>
      </c>
    </row>
    <row r="367" spans="1:15" ht="15.75">
      <c r="A367" s="1" t="s">
        <v>144</v>
      </c>
      <c r="B367" s="2">
        <v>660</v>
      </c>
      <c r="C367" s="2">
        <v>161.957565</v>
      </c>
      <c r="D367" s="2">
        <v>163.349401</v>
      </c>
      <c r="E367" s="2">
        <v>314.252026</v>
      </c>
      <c r="F367" s="2">
        <v>187.405482</v>
      </c>
      <c r="G367" s="2">
        <v>599.242938</v>
      </c>
      <c r="H367" s="2">
        <v>617.83916</v>
      </c>
      <c r="I367" s="2">
        <v>515.451526</v>
      </c>
      <c r="J367" s="2">
        <v>484.75952</v>
      </c>
      <c r="K367" s="2">
        <v>370.997928</v>
      </c>
      <c r="L367" s="2">
        <v>143.382366</v>
      </c>
      <c r="M367" s="2">
        <v>148.096452</v>
      </c>
      <c r="N367" s="2">
        <v>144.603156</v>
      </c>
      <c r="O367" s="2">
        <v>3851.33752</v>
      </c>
    </row>
    <row r="368" spans="1:15" ht="15.75">
      <c r="A368" s="1" t="s">
        <v>144</v>
      </c>
      <c r="B368" s="2">
        <v>660</v>
      </c>
      <c r="C368" s="2">
        <v>89.46731</v>
      </c>
      <c r="D368" s="2">
        <v>70.663433</v>
      </c>
      <c r="E368" s="2">
        <v>129.496899</v>
      </c>
      <c r="F368" s="2">
        <v>184.195561</v>
      </c>
      <c r="G368" s="2">
        <v>342.847718</v>
      </c>
      <c r="H368" s="2">
        <v>417.700887</v>
      </c>
      <c r="I368" s="2">
        <v>520.123764</v>
      </c>
      <c r="J368" s="2">
        <v>565.462432</v>
      </c>
      <c r="K368" s="2">
        <v>543.948323</v>
      </c>
      <c r="L368" s="2">
        <v>396.096452</v>
      </c>
      <c r="M368" s="2">
        <v>345.8926</v>
      </c>
      <c r="N368" s="2">
        <v>228.262441</v>
      </c>
      <c r="O368" s="2">
        <v>3834.1578200000004</v>
      </c>
    </row>
    <row r="369" spans="1:15" ht="15.75">
      <c r="A369" s="1" t="s">
        <v>144</v>
      </c>
      <c r="B369" s="2">
        <v>660</v>
      </c>
      <c r="C369" s="2">
        <v>218.5046</v>
      </c>
      <c r="D369" s="2">
        <v>189.666814</v>
      </c>
      <c r="E369" s="2">
        <v>212.255398</v>
      </c>
      <c r="F369" s="2">
        <v>197.831118</v>
      </c>
      <c r="G369" s="2">
        <v>296.92358</v>
      </c>
      <c r="H369" s="2">
        <v>370.220951</v>
      </c>
      <c r="I369" s="2">
        <v>526.165345</v>
      </c>
      <c r="J369" s="2">
        <v>499.846736</v>
      </c>
      <c r="K369" s="2">
        <v>424.742547</v>
      </c>
      <c r="L369" s="2">
        <v>339.292109</v>
      </c>
      <c r="M369" s="2">
        <v>337.178793</v>
      </c>
      <c r="N369" s="2">
        <v>220.514713</v>
      </c>
      <c r="O369" s="2">
        <v>3833.142704</v>
      </c>
    </row>
    <row r="370" spans="1:15" ht="15.75">
      <c r="A370" s="1" t="s">
        <v>144</v>
      </c>
      <c r="B370" s="2">
        <v>252</v>
      </c>
      <c r="C370" s="2">
        <v>194.983031</v>
      </c>
      <c r="D370" s="2">
        <v>179.340503</v>
      </c>
      <c r="E370" s="2">
        <v>196.276197</v>
      </c>
      <c r="F370" s="2">
        <v>285.546691</v>
      </c>
      <c r="G370" s="2">
        <v>328.377262</v>
      </c>
      <c r="H370" s="2">
        <v>416.632188</v>
      </c>
      <c r="I370" s="2">
        <v>472.4929</v>
      </c>
      <c r="J370" s="2">
        <v>438.234553</v>
      </c>
      <c r="K370" s="2">
        <v>367.896412</v>
      </c>
      <c r="L370" s="2">
        <v>340.963827</v>
      </c>
      <c r="M370" s="2">
        <v>336.082153</v>
      </c>
      <c r="N370" s="2">
        <v>272.962588</v>
      </c>
      <c r="O370" s="2">
        <v>3829.7883049999996</v>
      </c>
    </row>
    <row r="371" spans="1:15" ht="15.75">
      <c r="A371" s="1" t="s">
        <v>144</v>
      </c>
      <c r="B371" s="2">
        <v>252</v>
      </c>
      <c r="C371" s="2">
        <v>262.171129</v>
      </c>
      <c r="D371" s="2">
        <v>251.471445</v>
      </c>
      <c r="E371" s="2">
        <v>253.41213</v>
      </c>
      <c r="F371" s="2">
        <v>195.789812</v>
      </c>
      <c r="G371" s="2">
        <v>259.425873</v>
      </c>
      <c r="H371" s="2">
        <v>321.989103</v>
      </c>
      <c r="I371" s="2">
        <v>432.483645</v>
      </c>
      <c r="J371" s="2">
        <v>500.223571</v>
      </c>
      <c r="K371" s="2">
        <v>414.769655</v>
      </c>
      <c r="L371" s="2">
        <v>362.72696</v>
      </c>
      <c r="M371" s="2">
        <v>334.244795</v>
      </c>
      <c r="N371" s="2">
        <v>230.263557</v>
      </c>
      <c r="O371" s="2">
        <v>3818.971675</v>
      </c>
    </row>
    <row r="372" spans="1:15" ht="15.75">
      <c r="A372" s="1" t="s">
        <v>144</v>
      </c>
      <c r="B372" s="2">
        <v>660</v>
      </c>
      <c r="C372" s="2">
        <v>257.998523</v>
      </c>
      <c r="D372" s="2">
        <v>315.769219</v>
      </c>
      <c r="E372" s="2">
        <v>264.615932</v>
      </c>
      <c r="F372" s="2">
        <v>257.348558</v>
      </c>
      <c r="G372" s="2">
        <v>277.043435</v>
      </c>
      <c r="H372" s="2">
        <v>359.640698</v>
      </c>
      <c r="I372" s="2">
        <v>339.557913</v>
      </c>
      <c r="J372" s="2">
        <v>402.764239</v>
      </c>
      <c r="K372" s="2">
        <v>325.087759</v>
      </c>
      <c r="L372" s="2">
        <v>336.823198</v>
      </c>
      <c r="M372" s="2">
        <v>350.249993</v>
      </c>
      <c r="N372" s="2">
        <v>301.26003</v>
      </c>
      <c r="O372" s="2">
        <v>3788.1594969999996</v>
      </c>
    </row>
    <row r="373" spans="1:15" ht="15.75">
      <c r="A373" s="1" t="s">
        <v>144</v>
      </c>
      <c r="B373" s="2">
        <v>660</v>
      </c>
      <c r="C373" s="2">
        <v>239.439331</v>
      </c>
      <c r="D373" s="2">
        <v>319.875634</v>
      </c>
      <c r="E373" s="2">
        <v>131.171942</v>
      </c>
      <c r="F373" s="2">
        <v>221.281206</v>
      </c>
      <c r="G373" s="2">
        <v>312.287161</v>
      </c>
      <c r="H373" s="2">
        <v>366.828235</v>
      </c>
      <c r="I373" s="2">
        <v>420.672767</v>
      </c>
      <c r="J373" s="2">
        <v>517.017409</v>
      </c>
      <c r="K373" s="2">
        <v>362.178107</v>
      </c>
      <c r="L373" s="2">
        <v>350.871883</v>
      </c>
      <c r="M373" s="2">
        <v>338.064478</v>
      </c>
      <c r="N373" s="2">
        <v>203.529155</v>
      </c>
      <c r="O373" s="2">
        <v>3783.217308000001</v>
      </c>
    </row>
    <row r="374" spans="1:15" ht="15.75">
      <c r="A374" s="1" t="s">
        <v>144</v>
      </c>
      <c r="B374" s="2">
        <v>660</v>
      </c>
      <c r="C374" s="2">
        <v>132.270257</v>
      </c>
      <c r="D374" s="2">
        <v>105.617395</v>
      </c>
      <c r="E374" s="2">
        <v>125.391262</v>
      </c>
      <c r="F374" s="2">
        <v>227.573929</v>
      </c>
      <c r="G374" s="2">
        <v>265.292513</v>
      </c>
      <c r="H374" s="2">
        <v>360.306952</v>
      </c>
      <c r="I374" s="2">
        <v>492.346437</v>
      </c>
      <c r="J374" s="2">
        <v>564.723942</v>
      </c>
      <c r="K374" s="2">
        <v>470.982514</v>
      </c>
      <c r="L374" s="2">
        <v>393.378598</v>
      </c>
      <c r="M374" s="2">
        <v>335.879404</v>
      </c>
      <c r="N374" s="2">
        <v>298.129308</v>
      </c>
      <c r="O374" s="2">
        <v>3771.8925109999996</v>
      </c>
    </row>
    <row r="375" spans="1:15" ht="15.75">
      <c r="A375" s="1" t="s">
        <v>144</v>
      </c>
      <c r="B375" s="2">
        <v>660</v>
      </c>
      <c r="C375" s="2">
        <v>70.560829</v>
      </c>
      <c r="D375" s="2">
        <v>52.718526</v>
      </c>
      <c r="E375" s="2">
        <v>70.710484</v>
      </c>
      <c r="F375" s="2">
        <v>161.01368</v>
      </c>
      <c r="G375" s="2">
        <v>230.846583</v>
      </c>
      <c r="H375" s="2">
        <v>438.392455</v>
      </c>
      <c r="I375" s="2">
        <v>618.784907</v>
      </c>
      <c r="J375" s="2">
        <v>757.127457</v>
      </c>
      <c r="K375" s="2">
        <v>482.59946</v>
      </c>
      <c r="L375" s="2">
        <v>363.392868</v>
      </c>
      <c r="M375" s="2">
        <v>294.012574</v>
      </c>
      <c r="N375" s="2">
        <v>228.379003</v>
      </c>
      <c r="O375" s="2">
        <v>3768.538826</v>
      </c>
    </row>
    <row r="376" spans="1:15" ht="15.75">
      <c r="A376" s="1" t="s">
        <v>144</v>
      </c>
      <c r="B376" s="2">
        <v>252</v>
      </c>
      <c r="C376" s="2">
        <v>154.781509</v>
      </c>
      <c r="D376" s="2">
        <v>103.518938</v>
      </c>
      <c r="E376" s="2">
        <v>198.127922</v>
      </c>
      <c r="F376" s="2">
        <v>216.856296</v>
      </c>
      <c r="G376" s="2">
        <v>281.813968</v>
      </c>
      <c r="H376" s="2">
        <v>351.442903</v>
      </c>
      <c r="I376" s="2">
        <v>452.802092</v>
      </c>
      <c r="J376" s="2">
        <v>401.475583</v>
      </c>
      <c r="K376" s="2">
        <v>420.889364</v>
      </c>
      <c r="L376" s="2">
        <v>426.861294</v>
      </c>
      <c r="M376" s="2">
        <v>453.189043</v>
      </c>
      <c r="N376" s="2">
        <v>286.553702</v>
      </c>
      <c r="O376" s="2">
        <v>3748.312614</v>
      </c>
    </row>
    <row r="377" spans="1:15" ht="15.75">
      <c r="A377" s="1" t="s">
        <v>144</v>
      </c>
      <c r="B377" s="2">
        <v>660</v>
      </c>
      <c r="C377" s="2">
        <v>256.605191</v>
      </c>
      <c r="D377" s="2">
        <v>194.336276</v>
      </c>
      <c r="E377" s="2">
        <v>248.463197</v>
      </c>
      <c r="F377" s="2">
        <v>256.65923</v>
      </c>
      <c r="G377" s="2">
        <v>252.984678</v>
      </c>
      <c r="H377" s="2">
        <v>341.02816</v>
      </c>
      <c r="I377" s="2">
        <v>466.12198</v>
      </c>
      <c r="J377" s="2">
        <v>380.014987</v>
      </c>
      <c r="K377" s="2">
        <v>418.893653</v>
      </c>
      <c r="L377" s="2">
        <v>343.019047</v>
      </c>
      <c r="M377" s="2">
        <v>290.768642</v>
      </c>
      <c r="N377" s="2">
        <v>281.627246</v>
      </c>
      <c r="O377" s="2">
        <v>3730.522287</v>
      </c>
    </row>
    <row r="378" spans="1:15" ht="15.75">
      <c r="A378" s="1" t="s">
        <v>144</v>
      </c>
      <c r="B378" s="2">
        <v>518.83</v>
      </c>
      <c r="C378" s="2">
        <v>484.451834</v>
      </c>
      <c r="D378" s="2">
        <v>484.219647</v>
      </c>
      <c r="E378" s="2">
        <v>476.087514</v>
      </c>
      <c r="F378" s="2">
        <v>497.772453</v>
      </c>
      <c r="G378" s="2">
        <v>444.107198</v>
      </c>
      <c r="H378" s="2">
        <v>321.495384</v>
      </c>
      <c r="I378" s="2">
        <v>83.253983</v>
      </c>
      <c r="J378" s="2">
        <v>165.194676</v>
      </c>
      <c r="K378" s="2">
        <v>277.896215</v>
      </c>
      <c r="L378" s="2">
        <v>472.802576</v>
      </c>
      <c r="O378" s="2">
        <v>3707.2814800000006</v>
      </c>
    </row>
    <row r="379" spans="1:15" ht="15.75">
      <c r="A379" s="1" t="s">
        <v>144</v>
      </c>
      <c r="B379" s="2">
        <v>660</v>
      </c>
      <c r="C379" s="2">
        <v>230.003982</v>
      </c>
      <c r="D379" s="2">
        <v>178.862435</v>
      </c>
      <c r="E379" s="2">
        <v>252.742385</v>
      </c>
      <c r="F379" s="2">
        <v>267.285517</v>
      </c>
      <c r="G379" s="2">
        <v>363.34167</v>
      </c>
      <c r="H379" s="2">
        <v>294.920156</v>
      </c>
      <c r="I379" s="2">
        <v>508.392088</v>
      </c>
      <c r="J379" s="2">
        <v>445.678859</v>
      </c>
      <c r="K379" s="2">
        <v>319.502713</v>
      </c>
      <c r="L379" s="2">
        <v>309.445189</v>
      </c>
      <c r="M379" s="2">
        <v>291.663338</v>
      </c>
      <c r="N379" s="2">
        <v>224.26721</v>
      </c>
      <c r="O379" s="2">
        <v>3686.105542</v>
      </c>
    </row>
    <row r="380" spans="1:15" ht="15.75">
      <c r="A380" s="1" t="s">
        <v>144</v>
      </c>
      <c r="B380" s="2">
        <v>1320</v>
      </c>
      <c r="C380" s="2">
        <v>155.105818</v>
      </c>
      <c r="D380" s="2">
        <v>188.657603</v>
      </c>
      <c r="E380" s="2">
        <v>207.861897</v>
      </c>
      <c r="F380" s="2">
        <v>278.144659</v>
      </c>
      <c r="G380" s="2">
        <v>238.15177</v>
      </c>
      <c r="H380" s="2">
        <v>450.120371</v>
      </c>
      <c r="I380" s="2">
        <v>484.673738</v>
      </c>
      <c r="J380" s="2">
        <v>448.397632</v>
      </c>
      <c r="K380" s="2">
        <v>339.058546</v>
      </c>
      <c r="L380" s="2">
        <v>333.159149</v>
      </c>
      <c r="M380" s="2">
        <v>329.802878</v>
      </c>
      <c r="N380" s="2">
        <v>210.686215</v>
      </c>
      <c r="O380" s="2">
        <v>3663.8202760000004</v>
      </c>
    </row>
    <row r="381" spans="1:15" ht="15.75">
      <c r="A381" s="1" t="s">
        <v>144</v>
      </c>
      <c r="B381" s="2">
        <v>660</v>
      </c>
      <c r="C381" s="2">
        <v>60.084594</v>
      </c>
      <c r="D381" s="2">
        <v>17.422728</v>
      </c>
      <c r="E381" s="2">
        <v>37.552124</v>
      </c>
      <c r="F381" s="2">
        <v>102.048683</v>
      </c>
      <c r="G381" s="2">
        <v>300.749346</v>
      </c>
      <c r="H381" s="2">
        <v>461.717258</v>
      </c>
      <c r="I381" s="2">
        <v>504.639572</v>
      </c>
      <c r="J381" s="2">
        <v>605.092892</v>
      </c>
      <c r="K381" s="2">
        <v>542.771477</v>
      </c>
      <c r="L381" s="2">
        <v>462.846022</v>
      </c>
      <c r="M381" s="2">
        <v>355.032994</v>
      </c>
      <c r="N381" s="2">
        <v>213.502645</v>
      </c>
      <c r="O381" s="2">
        <v>3663.4603350000007</v>
      </c>
    </row>
    <row r="382" spans="1:15" ht="15.75">
      <c r="A382" s="1" t="s">
        <v>144</v>
      </c>
      <c r="B382" s="2">
        <v>660</v>
      </c>
      <c r="C382" s="2">
        <v>269.098287</v>
      </c>
      <c r="D382" s="2">
        <v>164.799311</v>
      </c>
      <c r="E382" s="2">
        <v>600.423156</v>
      </c>
      <c r="F382" s="2">
        <v>212.538626</v>
      </c>
      <c r="G382" s="2">
        <v>245.120653</v>
      </c>
      <c r="H382" s="2">
        <v>364.642444</v>
      </c>
      <c r="I382" s="2">
        <v>102.552706</v>
      </c>
      <c r="J382" s="2">
        <v>426.058482</v>
      </c>
      <c r="K382" s="2">
        <v>237.148148</v>
      </c>
      <c r="L382" s="2">
        <v>224.466354</v>
      </c>
      <c r="M382" s="2">
        <v>258.727667</v>
      </c>
      <c r="N382" s="2">
        <v>554.345247</v>
      </c>
      <c r="O382" s="2">
        <v>3659.9210810000004</v>
      </c>
    </row>
    <row r="383" spans="1:15" ht="15.75">
      <c r="A383" s="1" t="s">
        <v>144</v>
      </c>
      <c r="B383" s="2">
        <v>660</v>
      </c>
      <c r="C383" s="2">
        <v>429.702121</v>
      </c>
      <c r="D383" s="2">
        <v>956.096313</v>
      </c>
      <c r="E383" s="2">
        <v>406.976127</v>
      </c>
      <c r="F383" s="2">
        <v>216.920377</v>
      </c>
      <c r="G383" s="2">
        <v>122.661727</v>
      </c>
      <c r="H383" s="2">
        <v>226.813254</v>
      </c>
      <c r="I383" s="2">
        <v>331.080544</v>
      </c>
      <c r="J383" s="2">
        <v>344.92062</v>
      </c>
      <c r="K383" s="2">
        <v>201.275742</v>
      </c>
      <c r="L383" s="2">
        <v>158.343543</v>
      </c>
      <c r="M383" s="2">
        <v>137.307874</v>
      </c>
      <c r="N383" s="2">
        <v>121.87292</v>
      </c>
      <c r="O383" s="2">
        <v>3653.971162</v>
      </c>
    </row>
    <row r="384" spans="1:15" ht="15.75">
      <c r="A384" s="1" t="s">
        <v>144</v>
      </c>
      <c r="B384" s="2">
        <v>660</v>
      </c>
      <c r="C384" s="2">
        <v>292.855977</v>
      </c>
      <c r="D384" s="2">
        <v>259.483809</v>
      </c>
      <c r="E384" s="2">
        <v>256.722639</v>
      </c>
      <c r="F384" s="2">
        <v>254.123767</v>
      </c>
      <c r="G384" s="2">
        <v>338.503818</v>
      </c>
      <c r="H384" s="2">
        <v>306.17861</v>
      </c>
      <c r="I384" s="2">
        <v>356.118204</v>
      </c>
      <c r="J384" s="2">
        <v>393.108685</v>
      </c>
      <c r="K384" s="2">
        <v>336.770717</v>
      </c>
      <c r="L384" s="2">
        <v>292.818494</v>
      </c>
      <c r="M384" s="2">
        <v>295.959997</v>
      </c>
      <c r="N384" s="2">
        <v>268.669819</v>
      </c>
      <c r="O384" s="2">
        <v>3651.3145360000003</v>
      </c>
    </row>
    <row r="385" spans="1:15" ht="15.75">
      <c r="A385" s="1" t="s">
        <v>144</v>
      </c>
      <c r="B385" s="2">
        <v>660</v>
      </c>
      <c r="C385" s="2">
        <v>176.641433</v>
      </c>
      <c r="D385" s="2">
        <v>192.144684</v>
      </c>
      <c r="E385" s="2">
        <v>157.316912</v>
      </c>
      <c r="F385" s="2">
        <v>53.735829</v>
      </c>
      <c r="G385" s="2">
        <v>881.191694</v>
      </c>
      <c r="H385" s="2">
        <v>358.985819</v>
      </c>
      <c r="I385" s="2">
        <v>383.140229</v>
      </c>
      <c r="J385" s="2">
        <v>378.765036</v>
      </c>
      <c r="K385" s="2">
        <v>342.200472</v>
      </c>
      <c r="L385" s="2">
        <v>273.758894</v>
      </c>
      <c r="M385" s="2">
        <v>258.03417</v>
      </c>
      <c r="N385" s="2">
        <v>191.193595</v>
      </c>
      <c r="O385" s="2">
        <v>3647.108767</v>
      </c>
    </row>
    <row r="386" spans="1:15" ht="15.75">
      <c r="A386" s="1" t="s">
        <v>144</v>
      </c>
      <c r="B386" s="2">
        <v>252</v>
      </c>
      <c r="C386" s="2">
        <v>299.053838</v>
      </c>
      <c r="D386" s="2">
        <v>263.25044</v>
      </c>
      <c r="E386" s="2">
        <v>294.207221</v>
      </c>
      <c r="F386" s="2">
        <v>263.222868</v>
      </c>
      <c r="G386" s="2">
        <v>434.015022</v>
      </c>
      <c r="H386" s="2">
        <v>184.677797</v>
      </c>
      <c r="I386" s="2">
        <v>311.863723</v>
      </c>
      <c r="J386" s="2">
        <v>353.25307</v>
      </c>
      <c r="K386" s="2">
        <v>280.408217</v>
      </c>
      <c r="L386" s="2">
        <v>299.054691</v>
      </c>
      <c r="M386" s="2">
        <v>334.609514</v>
      </c>
      <c r="N386" s="2">
        <v>295.722553</v>
      </c>
      <c r="O386" s="2">
        <v>3613.3389540000003</v>
      </c>
    </row>
    <row r="387" spans="1:15" ht="15.75">
      <c r="A387" s="1" t="s">
        <v>144</v>
      </c>
      <c r="B387" s="2">
        <v>660</v>
      </c>
      <c r="C387" s="2">
        <v>216.394406</v>
      </c>
      <c r="D387" s="2">
        <v>203.853397</v>
      </c>
      <c r="E387" s="2">
        <v>242.705917</v>
      </c>
      <c r="F387" s="2">
        <v>259.839941</v>
      </c>
      <c r="G387" s="2">
        <v>262.220545</v>
      </c>
      <c r="H387" s="2">
        <v>327.304429</v>
      </c>
      <c r="I387" s="2">
        <v>383.793824</v>
      </c>
      <c r="J387" s="2">
        <v>437.182032</v>
      </c>
      <c r="K387" s="2">
        <v>373.519969</v>
      </c>
      <c r="L387" s="2">
        <v>340.794617</v>
      </c>
      <c r="M387" s="2">
        <v>346.890215</v>
      </c>
      <c r="N387" s="2">
        <v>213.169593</v>
      </c>
      <c r="O387" s="2">
        <v>3607.668885</v>
      </c>
    </row>
    <row r="388" spans="1:15" ht="15.75">
      <c r="A388" s="1" t="s">
        <v>144</v>
      </c>
      <c r="B388" s="2">
        <v>660</v>
      </c>
      <c r="C388" s="2">
        <v>252.804915</v>
      </c>
      <c r="D388" s="2">
        <v>219.633628</v>
      </c>
      <c r="E388" s="2">
        <v>268.672532</v>
      </c>
      <c r="F388" s="2">
        <v>274.307223</v>
      </c>
      <c r="G388" s="2">
        <v>323.433581</v>
      </c>
      <c r="H388" s="2">
        <v>261.896841</v>
      </c>
      <c r="I388" s="2">
        <v>427.817372</v>
      </c>
      <c r="J388" s="2">
        <v>369.833882</v>
      </c>
      <c r="K388" s="2">
        <v>269.29321</v>
      </c>
      <c r="L388" s="2">
        <v>329.03367</v>
      </c>
      <c r="M388" s="2">
        <v>283.994388</v>
      </c>
      <c r="N388" s="2">
        <v>310.663065</v>
      </c>
      <c r="O388" s="2">
        <v>3591.384307</v>
      </c>
    </row>
    <row r="389" spans="1:15" ht="15.75">
      <c r="A389" s="1" t="s">
        <v>144</v>
      </c>
      <c r="B389" s="2">
        <v>660</v>
      </c>
      <c r="C389" s="2">
        <v>283.369715</v>
      </c>
      <c r="D389" s="2">
        <v>220.783532</v>
      </c>
      <c r="E389" s="2">
        <v>242.343575</v>
      </c>
      <c r="F389" s="2">
        <v>221.40231</v>
      </c>
      <c r="G389" s="2">
        <v>275.283934</v>
      </c>
      <c r="H389" s="2">
        <v>282.205565</v>
      </c>
      <c r="I389" s="2">
        <v>448.806605</v>
      </c>
      <c r="J389" s="2">
        <v>430.056223</v>
      </c>
      <c r="K389" s="2">
        <v>382.405793</v>
      </c>
      <c r="L389" s="2">
        <v>285.570743</v>
      </c>
      <c r="M389" s="2">
        <v>257.655868</v>
      </c>
      <c r="N389" s="2">
        <v>253.512704</v>
      </c>
      <c r="O389" s="2">
        <v>3583.3965670000002</v>
      </c>
    </row>
    <row r="390" spans="1:15" ht="15.75">
      <c r="A390" s="1" t="s">
        <v>144</v>
      </c>
      <c r="B390" s="2">
        <v>660</v>
      </c>
      <c r="C390" s="2">
        <v>83.181383</v>
      </c>
      <c r="D390" s="2">
        <v>78.166459</v>
      </c>
      <c r="E390" s="2">
        <v>511.329785</v>
      </c>
      <c r="F390" s="2">
        <v>620.359034</v>
      </c>
      <c r="G390" s="2">
        <v>576.223506</v>
      </c>
      <c r="H390" s="2">
        <v>436.702678</v>
      </c>
      <c r="I390" s="2">
        <v>390.625811</v>
      </c>
      <c r="J390" s="2">
        <v>173.876058</v>
      </c>
      <c r="K390" s="2">
        <v>197.344916</v>
      </c>
      <c r="L390" s="2">
        <v>288.480416</v>
      </c>
      <c r="M390" s="2">
        <v>150.436181</v>
      </c>
      <c r="N390" s="2">
        <v>33.843242</v>
      </c>
      <c r="O390" s="2">
        <v>3540.5694689999996</v>
      </c>
    </row>
    <row r="391" spans="1:15" ht="15.75">
      <c r="A391" s="1" t="s">
        <v>144</v>
      </c>
      <c r="B391" s="2">
        <v>660</v>
      </c>
      <c r="C391" s="2">
        <v>168.507691</v>
      </c>
      <c r="D391" s="2">
        <v>155.451196</v>
      </c>
      <c r="E391" s="2">
        <v>105.280043</v>
      </c>
      <c r="F391" s="2">
        <v>188.684574</v>
      </c>
      <c r="G391" s="2">
        <v>338.04724</v>
      </c>
      <c r="H391" s="2">
        <v>487.031067</v>
      </c>
      <c r="I391" s="2">
        <v>478.072147</v>
      </c>
      <c r="J391" s="2">
        <v>495.915853</v>
      </c>
      <c r="K391" s="2">
        <v>388.609277</v>
      </c>
      <c r="L391" s="2">
        <v>273.298246</v>
      </c>
      <c r="M391" s="2">
        <v>264.071475</v>
      </c>
      <c r="N391" s="2">
        <v>188.453102</v>
      </c>
      <c r="O391" s="2">
        <v>3531.421911</v>
      </c>
    </row>
    <row r="392" spans="1:15" ht="15.75">
      <c r="A392" s="1" t="s">
        <v>144</v>
      </c>
      <c r="B392" s="2">
        <v>252</v>
      </c>
      <c r="C392" s="2">
        <v>247.745546</v>
      </c>
      <c r="D392" s="2">
        <v>243.586111</v>
      </c>
      <c r="E392" s="2">
        <v>258.391368</v>
      </c>
      <c r="F392" s="2">
        <v>224.954682</v>
      </c>
      <c r="G392" s="2">
        <v>269.149967</v>
      </c>
      <c r="H392" s="2">
        <v>325.485362</v>
      </c>
      <c r="I392" s="2">
        <v>399.724856</v>
      </c>
      <c r="J392" s="2">
        <v>406.499928</v>
      </c>
      <c r="K392" s="2">
        <v>335.530652</v>
      </c>
      <c r="L392" s="2">
        <v>298.84592</v>
      </c>
      <c r="M392" s="2">
        <v>272.292075</v>
      </c>
      <c r="N392" s="2">
        <v>245.895046</v>
      </c>
      <c r="O392" s="2">
        <v>3528.1015129999996</v>
      </c>
    </row>
    <row r="393" spans="1:15" ht="15.75">
      <c r="A393" s="1" t="s">
        <v>144</v>
      </c>
      <c r="B393" s="2">
        <v>660</v>
      </c>
      <c r="C393" s="2">
        <v>239.393484</v>
      </c>
      <c r="D393" s="2">
        <v>209.654444</v>
      </c>
      <c r="E393" s="2">
        <v>81.175752</v>
      </c>
      <c r="F393" s="2">
        <v>110.283015</v>
      </c>
      <c r="G393" s="2">
        <v>149.871507</v>
      </c>
      <c r="H393" s="2">
        <v>435.698233</v>
      </c>
      <c r="I393" s="2">
        <v>546.301411</v>
      </c>
      <c r="J393" s="2">
        <v>448.934436</v>
      </c>
      <c r="K393" s="2">
        <v>335.797772</v>
      </c>
      <c r="L393" s="2">
        <v>246.450182</v>
      </c>
      <c r="M393" s="2">
        <v>176.457317</v>
      </c>
      <c r="N393" s="2">
        <v>515.403504</v>
      </c>
      <c r="O393" s="2">
        <v>3495.421057</v>
      </c>
    </row>
    <row r="394" spans="1:15" ht="15.75">
      <c r="A394" s="1" t="s">
        <v>144</v>
      </c>
      <c r="B394" s="2">
        <v>660</v>
      </c>
      <c r="C394" s="2">
        <v>208.742085</v>
      </c>
      <c r="D394" s="2">
        <v>198.035469</v>
      </c>
      <c r="E394" s="2">
        <v>215.689736</v>
      </c>
      <c r="F394" s="2">
        <v>217.419402</v>
      </c>
      <c r="G394" s="2">
        <v>290.025624</v>
      </c>
      <c r="H394" s="2">
        <v>319.408515</v>
      </c>
      <c r="I394" s="2">
        <v>419.078269</v>
      </c>
      <c r="J394" s="2">
        <v>466.335197</v>
      </c>
      <c r="K394" s="2">
        <v>350.744233</v>
      </c>
      <c r="L394" s="2">
        <v>336.40053</v>
      </c>
      <c r="M394" s="2">
        <v>260.601532</v>
      </c>
      <c r="N394" s="2">
        <v>205.171396</v>
      </c>
      <c r="O394" s="2">
        <v>3487.651988</v>
      </c>
    </row>
    <row r="395" spans="1:15" ht="15.75">
      <c r="A395" s="1" t="s">
        <v>144</v>
      </c>
      <c r="B395" s="2">
        <v>660</v>
      </c>
      <c r="C395" s="2">
        <v>475.639537</v>
      </c>
      <c r="D395" s="2">
        <v>590.591479</v>
      </c>
      <c r="E395" s="2">
        <v>136.400448</v>
      </c>
      <c r="F395" s="2">
        <v>2.08292</v>
      </c>
      <c r="G395" s="2">
        <v>4.815189</v>
      </c>
      <c r="H395" s="2">
        <v>17.770091</v>
      </c>
      <c r="I395" s="2">
        <v>22.225531</v>
      </c>
      <c r="J395" s="2">
        <v>16.152416</v>
      </c>
      <c r="K395" s="2">
        <v>6.616156</v>
      </c>
      <c r="L395" s="2">
        <v>7.546039</v>
      </c>
      <c r="M395" s="2">
        <v>846.490213</v>
      </c>
      <c r="N395" s="2">
        <v>1360.468628</v>
      </c>
      <c r="O395" s="2">
        <v>3486.7986470000005</v>
      </c>
    </row>
    <row r="396" spans="1:15" ht="15.75">
      <c r="A396" s="1" t="s">
        <v>144</v>
      </c>
      <c r="B396" s="2">
        <v>660</v>
      </c>
      <c r="C396" s="2">
        <v>231.731998</v>
      </c>
      <c r="D396" s="2">
        <v>191.065442</v>
      </c>
      <c r="E396" s="2">
        <v>185.178668</v>
      </c>
      <c r="F396" s="2">
        <v>233.714838</v>
      </c>
      <c r="G396" s="2">
        <v>241.03689</v>
      </c>
      <c r="H396" s="2">
        <v>307.867543</v>
      </c>
      <c r="I396" s="2">
        <v>402.673233</v>
      </c>
      <c r="J396" s="2">
        <v>445.762103</v>
      </c>
      <c r="K396" s="2">
        <v>416.760927</v>
      </c>
      <c r="L396" s="2">
        <v>310.026136</v>
      </c>
      <c r="M396" s="2">
        <v>256.698605</v>
      </c>
      <c r="N396" s="2">
        <v>252.267805</v>
      </c>
      <c r="O396" s="2">
        <v>3474.7841879999996</v>
      </c>
    </row>
    <row r="397" spans="1:15" ht="15.75">
      <c r="A397" s="1" t="s">
        <v>144</v>
      </c>
      <c r="B397" s="2">
        <v>660</v>
      </c>
      <c r="C397" s="2">
        <v>53.070201</v>
      </c>
      <c r="D397" s="2">
        <v>52.861532</v>
      </c>
      <c r="E397" s="2">
        <v>104.415297</v>
      </c>
      <c r="F397" s="2">
        <v>157.761714</v>
      </c>
      <c r="G397" s="2">
        <v>238.477942</v>
      </c>
      <c r="H397" s="2">
        <v>411.517389</v>
      </c>
      <c r="I397" s="2">
        <v>833.538157</v>
      </c>
      <c r="J397" s="2">
        <v>621.09935</v>
      </c>
      <c r="K397" s="2">
        <v>367.914442</v>
      </c>
      <c r="L397" s="2">
        <v>308.987748</v>
      </c>
      <c r="M397" s="2">
        <v>159.236007</v>
      </c>
      <c r="N397" s="2">
        <v>118.95232</v>
      </c>
      <c r="O397" s="2">
        <v>3427.8320989999997</v>
      </c>
    </row>
    <row r="398" spans="1:15" ht="15.75">
      <c r="A398" s="1" t="s">
        <v>144</v>
      </c>
      <c r="B398" s="2">
        <v>660</v>
      </c>
      <c r="C398" s="2">
        <v>245.613616</v>
      </c>
      <c r="D398" s="2">
        <v>217.321256</v>
      </c>
      <c r="E398" s="2">
        <v>268.221842</v>
      </c>
      <c r="F398" s="2">
        <v>229.342462</v>
      </c>
      <c r="G398" s="2">
        <v>293.313209</v>
      </c>
      <c r="H398" s="2">
        <v>296.725374</v>
      </c>
      <c r="I398" s="2">
        <v>349.925186</v>
      </c>
      <c r="J398" s="2">
        <v>384.593031</v>
      </c>
      <c r="K398" s="2">
        <v>325.587984</v>
      </c>
      <c r="L398" s="2">
        <v>248.126201</v>
      </c>
      <c r="M398" s="2">
        <v>272.021069</v>
      </c>
      <c r="N398" s="2">
        <v>287.816549</v>
      </c>
      <c r="O398" s="2">
        <v>3418.6077789999995</v>
      </c>
    </row>
    <row r="399" spans="1:15" ht="15.75">
      <c r="A399" s="1" t="s">
        <v>144</v>
      </c>
      <c r="B399" s="2">
        <v>660</v>
      </c>
      <c r="C399" s="2">
        <v>162.1112</v>
      </c>
      <c r="D399" s="2">
        <v>170.072861</v>
      </c>
      <c r="E399" s="2">
        <v>139.985691</v>
      </c>
      <c r="F399" s="2">
        <v>179.840922</v>
      </c>
      <c r="G399" s="2">
        <v>300.392224</v>
      </c>
      <c r="H399" s="2">
        <v>352.397016</v>
      </c>
      <c r="I399" s="2">
        <v>434.346953</v>
      </c>
      <c r="J399" s="2">
        <v>571.170139</v>
      </c>
      <c r="K399" s="2">
        <v>430.210329</v>
      </c>
      <c r="L399" s="2">
        <v>324.395543</v>
      </c>
      <c r="M399" s="2">
        <v>204.43056</v>
      </c>
      <c r="N399" s="2">
        <v>134.317441</v>
      </c>
      <c r="O399" s="2">
        <v>3403.6708790000002</v>
      </c>
    </row>
    <row r="400" spans="1:15" ht="15.75">
      <c r="A400" s="1" t="s">
        <v>144</v>
      </c>
      <c r="B400" s="2">
        <v>660</v>
      </c>
      <c r="C400" s="2">
        <v>273.587784</v>
      </c>
      <c r="D400" s="2">
        <v>276.555744</v>
      </c>
      <c r="E400" s="2">
        <v>295.682087</v>
      </c>
      <c r="F400" s="2">
        <v>233.837523</v>
      </c>
      <c r="G400" s="2">
        <v>301.086929</v>
      </c>
      <c r="H400" s="2">
        <v>259.582808</v>
      </c>
      <c r="I400" s="2">
        <v>326.430319</v>
      </c>
      <c r="J400" s="2">
        <v>443.388379</v>
      </c>
      <c r="K400" s="2">
        <v>356.876846</v>
      </c>
      <c r="L400" s="2">
        <v>252.717104</v>
      </c>
      <c r="M400" s="2">
        <v>190.983045</v>
      </c>
      <c r="N400" s="2">
        <v>183.902054</v>
      </c>
      <c r="O400" s="2">
        <v>3394.630622</v>
      </c>
    </row>
    <row r="401" spans="1:15" ht="15.75">
      <c r="A401" s="1" t="s">
        <v>144</v>
      </c>
      <c r="B401" s="2">
        <v>660</v>
      </c>
      <c r="C401" s="2">
        <v>173.570718</v>
      </c>
      <c r="D401" s="2">
        <v>146.669861</v>
      </c>
      <c r="E401" s="2">
        <v>195.438014</v>
      </c>
      <c r="F401" s="2">
        <v>186.895909</v>
      </c>
      <c r="G401" s="2">
        <v>310.35154</v>
      </c>
      <c r="H401" s="2">
        <v>332.127632</v>
      </c>
      <c r="I401" s="2">
        <v>393.468731</v>
      </c>
      <c r="J401" s="2">
        <v>462.531405</v>
      </c>
      <c r="K401" s="2">
        <v>336.3481</v>
      </c>
      <c r="L401" s="2">
        <v>292.504035</v>
      </c>
      <c r="M401" s="2">
        <v>334.066205</v>
      </c>
      <c r="N401" s="2">
        <v>224.509305</v>
      </c>
      <c r="O401" s="2">
        <v>3388.481455</v>
      </c>
    </row>
    <row r="402" spans="1:15" ht="15.75">
      <c r="A402" s="1" t="s">
        <v>144</v>
      </c>
      <c r="B402" s="2">
        <v>660</v>
      </c>
      <c r="C402" s="2">
        <v>266.629731</v>
      </c>
      <c r="D402" s="2">
        <v>233.358785</v>
      </c>
      <c r="E402" s="2">
        <v>251.385017</v>
      </c>
      <c r="F402" s="2">
        <v>260.114521</v>
      </c>
      <c r="G402" s="2">
        <v>289.919446</v>
      </c>
      <c r="H402" s="2">
        <v>293.478524</v>
      </c>
      <c r="I402" s="2">
        <v>376.587624</v>
      </c>
      <c r="J402" s="2">
        <v>315.11801</v>
      </c>
      <c r="K402" s="2">
        <v>337.236913</v>
      </c>
      <c r="L402" s="2">
        <v>241.72271</v>
      </c>
      <c r="M402" s="2">
        <v>256.321293</v>
      </c>
      <c r="N402" s="2">
        <v>257.889453</v>
      </c>
      <c r="O402" s="2">
        <v>3379.7620269999998</v>
      </c>
    </row>
    <row r="403" spans="1:15" ht="15.75">
      <c r="A403" s="1" t="s">
        <v>144</v>
      </c>
      <c r="B403" s="2">
        <v>252</v>
      </c>
      <c r="C403" s="2">
        <v>207.231158</v>
      </c>
      <c r="D403" s="2">
        <v>185.600616</v>
      </c>
      <c r="E403" s="2">
        <v>277.211137</v>
      </c>
      <c r="F403" s="2">
        <v>460.078838</v>
      </c>
      <c r="G403" s="2">
        <v>241.237143</v>
      </c>
      <c r="H403" s="2">
        <v>296.802823</v>
      </c>
      <c r="I403" s="2">
        <v>375.36013</v>
      </c>
      <c r="J403" s="2">
        <v>352.92468</v>
      </c>
      <c r="K403" s="2">
        <v>256.646311</v>
      </c>
      <c r="L403" s="2">
        <v>278.600274</v>
      </c>
      <c r="M403" s="2">
        <v>253.572588</v>
      </c>
      <c r="N403" s="2">
        <v>186.614855</v>
      </c>
      <c r="O403" s="2">
        <v>3371.8805529999995</v>
      </c>
    </row>
    <row r="404" spans="1:15" ht="15.75">
      <c r="A404" s="1" t="s">
        <v>144</v>
      </c>
      <c r="B404" s="2">
        <v>252</v>
      </c>
      <c r="C404" s="2">
        <v>261.523913</v>
      </c>
      <c r="D404" s="2">
        <v>227.787784</v>
      </c>
      <c r="E404" s="2">
        <v>229.636234</v>
      </c>
      <c r="F404" s="2">
        <v>239.663611</v>
      </c>
      <c r="G404" s="2">
        <v>313.277577</v>
      </c>
      <c r="H404" s="2">
        <v>315.18127</v>
      </c>
      <c r="I404" s="2">
        <v>405.497591</v>
      </c>
      <c r="J404" s="2">
        <v>323.295687</v>
      </c>
      <c r="K404" s="2">
        <v>265.677428</v>
      </c>
      <c r="L404" s="2">
        <v>283.274235</v>
      </c>
      <c r="M404" s="2">
        <v>270.038353</v>
      </c>
      <c r="N404" s="2">
        <v>235.727624</v>
      </c>
      <c r="O404" s="2">
        <v>3370.581307</v>
      </c>
    </row>
    <row r="405" spans="1:15" ht="15.75">
      <c r="A405" s="1" t="s">
        <v>144</v>
      </c>
      <c r="B405" s="2">
        <v>252</v>
      </c>
      <c r="C405" s="2">
        <v>97.417254</v>
      </c>
      <c r="D405" s="2">
        <v>58.120204</v>
      </c>
      <c r="E405" s="2">
        <v>163.928856</v>
      </c>
      <c r="F405" s="2">
        <v>214.787549</v>
      </c>
      <c r="G405" s="2">
        <v>286.355994</v>
      </c>
      <c r="H405" s="2">
        <v>328.597774</v>
      </c>
      <c r="I405" s="2">
        <v>414.996542</v>
      </c>
      <c r="J405" s="2">
        <v>412.057322</v>
      </c>
      <c r="K405" s="2">
        <v>372.874669</v>
      </c>
      <c r="L405" s="2">
        <v>313.661853</v>
      </c>
      <c r="M405" s="2">
        <v>358.695743</v>
      </c>
      <c r="N405" s="2">
        <v>333.099058</v>
      </c>
      <c r="O405" s="2">
        <v>3354.592818</v>
      </c>
    </row>
    <row r="406" spans="1:15" ht="15.75">
      <c r="A406" s="1" t="s">
        <v>144</v>
      </c>
      <c r="B406" s="2">
        <v>660</v>
      </c>
      <c r="C406" s="2">
        <v>223.092503</v>
      </c>
      <c r="D406" s="2">
        <v>165.635703</v>
      </c>
      <c r="E406" s="2">
        <v>184.740417</v>
      </c>
      <c r="F406" s="2">
        <v>186.083513</v>
      </c>
      <c r="G406" s="2">
        <v>275.188967</v>
      </c>
      <c r="H406" s="2">
        <v>312.682205</v>
      </c>
      <c r="I406" s="2">
        <v>429.232292</v>
      </c>
      <c r="J406" s="2">
        <v>421.755073</v>
      </c>
      <c r="K406" s="2">
        <v>334.854645</v>
      </c>
      <c r="L406" s="2">
        <v>342.960088</v>
      </c>
      <c r="M406" s="2">
        <v>263.874495</v>
      </c>
      <c r="N406" s="2">
        <v>213.818951</v>
      </c>
      <c r="O406" s="2">
        <v>3353.918852</v>
      </c>
    </row>
    <row r="407" spans="1:15" ht="15.75">
      <c r="A407" s="1" t="s">
        <v>144</v>
      </c>
      <c r="B407" s="2">
        <v>1320</v>
      </c>
      <c r="C407" s="2">
        <v>269.353185</v>
      </c>
      <c r="D407" s="2">
        <v>177.639759</v>
      </c>
      <c r="E407" s="2">
        <v>300.085391</v>
      </c>
      <c r="F407" s="2">
        <v>233.923244</v>
      </c>
      <c r="G407" s="2">
        <v>206.498526</v>
      </c>
      <c r="H407" s="2">
        <v>269.198549</v>
      </c>
      <c r="I407" s="2">
        <v>475.062865</v>
      </c>
      <c r="J407" s="2">
        <v>535.853818</v>
      </c>
      <c r="K407" s="2">
        <v>406.042139</v>
      </c>
      <c r="L407" s="2">
        <v>268.06974</v>
      </c>
      <c r="M407" s="2">
        <v>180.470674</v>
      </c>
      <c r="N407" s="2">
        <v>16.510882</v>
      </c>
      <c r="O407" s="2">
        <v>3338.7087720000004</v>
      </c>
    </row>
    <row r="408" spans="1:15" ht="15.75">
      <c r="A408" s="1" t="s">
        <v>144</v>
      </c>
      <c r="B408" s="2">
        <v>660</v>
      </c>
      <c r="C408" s="2">
        <v>240.709175</v>
      </c>
      <c r="D408" s="2">
        <v>227.520123</v>
      </c>
      <c r="E408" s="2">
        <v>282.058466</v>
      </c>
      <c r="F408" s="2">
        <v>224.912544</v>
      </c>
      <c r="G408" s="2">
        <v>278.263462</v>
      </c>
      <c r="H408" s="2">
        <v>334.2811</v>
      </c>
      <c r="I408" s="2">
        <v>427.473286</v>
      </c>
      <c r="J408" s="2">
        <v>289.624738</v>
      </c>
      <c r="K408" s="2">
        <v>267.230452</v>
      </c>
      <c r="L408" s="2">
        <v>216.994096</v>
      </c>
      <c r="M408" s="2">
        <v>268.813142</v>
      </c>
      <c r="N408" s="2">
        <v>277.803478</v>
      </c>
      <c r="O408" s="2">
        <v>3335.684061999999</v>
      </c>
    </row>
    <row r="409" spans="1:15" ht="15.75">
      <c r="A409" s="1" t="s">
        <v>144</v>
      </c>
      <c r="B409" s="2">
        <v>660</v>
      </c>
      <c r="C409" s="2">
        <v>178.334035</v>
      </c>
      <c r="D409" s="2">
        <v>145.73512</v>
      </c>
      <c r="E409" s="2">
        <v>133.711519</v>
      </c>
      <c r="F409" s="2">
        <v>290.244603</v>
      </c>
      <c r="G409" s="2">
        <v>377.371354</v>
      </c>
      <c r="H409" s="2">
        <v>258.106195</v>
      </c>
      <c r="I409" s="2">
        <v>288.471139</v>
      </c>
      <c r="J409" s="2">
        <v>340.621874</v>
      </c>
      <c r="K409" s="2">
        <v>408.380482</v>
      </c>
      <c r="L409" s="2">
        <v>402.005306</v>
      </c>
      <c r="M409" s="2">
        <v>303.582154</v>
      </c>
      <c r="N409" s="2">
        <v>198.231191</v>
      </c>
      <c r="O409" s="2">
        <v>3324.794972</v>
      </c>
    </row>
    <row r="410" spans="1:15" ht="15.75">
      <c r="A410" s="1" t="s">
        <v>144</v>
      </c>
      <c r="B410" s="2">
        <v>660</v>
      </c>
      <c r="C410" s="2">
        <v>201.003994</v>
      </c>
      <c r="D410" s="2">
        <v>204.543317</v>
      </c>
      <c r="E410" s="2">
        <v>226.562737</v>
      </c>
      <c r="F410" s="2">
        <v>216.828679</v>
      </c>
      <c r="G410" s="2">
        <v>265.156034</v>
      </c>
      <c r="H410" s="2">
        <v>295.739069</v>
      </c>
      <c r="I410" s="2">
        <v>438.070933</v>
      </c>
      <c r="J410" s="2">
        <v>429.581567</v>
      </c>
      <c r="K410" s="2">
        <v>290.431325</v>
      </c>
      <c r="L410" s="2">
        <v>293.194343</v>
      </c>
      <c r="M410" s="2">
        <v>249.539377</v>
      </c>
      <c r="N410" s="2">
        <v>204.194477</v>
      </c>
      <c r="O410" s="2">
        <v>3314.845852</v>
      </c>
    </row>
    <row r="411" spans="1:15" ht="15.75">
      <c r="A411" s="1" t="s">
        <v>144</v>
      </c>
      <c r="B411" s="2">
        <v>660</v>
      </c>
      <c r="C411" s="2">
        <v>229.149823</v>
      </c>
      <c r="D411" s="2">
        <v>198.844031</v>
      </c>
      <c r="E411" s="2">
        <v>223.107125</v>
      </c>
      <c r="F411" s="2">
        <v>204.727659</v>
      </c>
      <c r="G411" s="2">
        <v>281.601621</v>
      </c>
      <c r="H411" s="2">
        <v>293.120624</v>
      </c>
      <c r="I411" s="2">
        <v>373.096447</v>
      </c>
      <c r="J411" s="2">
        <v>374.829165</v>
      </c>
      <c r="K411" s="2">
        <v>335.466773</v>
      </c>
      <c r="L411" s="2">
        <v>310.494516</v>
      </c>
      <c r="M411" s="2">
        <v>264.09221</v>
      </c>
      <c r="N411" s="2">
        <v>221.23196</v>
      </c>
      <c r="O411" s="2">
        <v>3309.7619540000005</v>
      </c>
    </row>
    <row r="412" spans="1:15" ht="15.75">
      <c r="A412" s="1" t="s">
        <v>144</v>
      </c>
      <c r="B412" s="2">
        <v>660</v>
      </c>
      <c r="C412" s="2">
        <v>164.426946</v>
      </c>
      <c r="D412" s="2">
        <v>151.888362</v>
      </c>
      <c r="E412" s="2">
        <v>179.162985</v>
      </c>
      <c r="F412" s="2">
        <v>142.601634</v>
      </c>
      <c r="G412" s="2">
        <v>223.992025</v>
      </c>
      <c r="H412" s="2">
        <v>341.660665</v>
      </c>
      <c r="I412" s="2">
        <v>359.624887</v>
      </c>
      <c r="J412" s="2">
        <v>473.758143</v>
      </c>
      <c r="K412" s="2">
        <v>391.442496</v>
      </c>
      <c r="L412" s="2">
        <v>304.412146</v>
      </c>
      <c r="M412" s="2">
        <v>321.582942</v>
      </c>
      <c r="N412" s="2">
        <v>242.847592</v>
      </c>
      <c r="O412" s="2">
        <v>3297.4008230000004</v>
      </c>
    </row>
    <row r="413" spans="1:15" ht="15.75">
      <c r="A413" s="1" t="s">
        <v>144</v>
      </c>
      <c r="B413" s="2">
        <v>252</v>
      </c>
      <c r="C413" s="2">
        <v>202.671093</v>
      </c>
      <c r="D413" s="2">
        <v>174.486401</v>
      </c>
      <c r="E413" s="2">
        <v>291.632868</v>
      </c>
      <c r="F413" s="2">
        <v>195.634845</v>
      </c>
      <c r="G413" s="2">
        <v>353.5869</v>
      </c>
      <c r="H413" s="2">
        <v>338.158446</v>
      </c>
      <c r="I413" s="2">
        <v>390.939222</v>
      </c>
      <c r="J413" s="2">
        <v>400.879031</v>
      </c>
      <c r="K413" s="2">
        <v>272.763307</v>
      </c>
      <c r="L413" s="2">
        <v>224.02726</v>
      </c>
      <c r="M413" s="2">
        <v>225.366792</v>
      </c>
      <c r="N413" s="2">
        <v>220.162259</v>
      </c>
      <c r="O413" s="2">
        <v>3290.308424</v>
      </c>
    </row>
    <row r="414" spans="1:15" ht="15.75">
      <c r="A414" s="1" t="s">
        <v>144</v>
      </c>
      <c r="B414" s="2">
        <v>617.83</v>
      </c>
      <c r="C414" s="2">
        <v>354.703336</v>
      </c>
      <c r="D414" s="2">
        <v>301.106416</v>
      </c>
      <c r="E414" s="2">
        <v>408.009742</v>
      </c>
      <c r="F414" s="2">
        <v>348.180495</v>
      </c>
      <c r="G414" s="2">
        <v>333.368899</v>
      </c>
      <c r="H414" s="2">
        <v>327.791565</v>
      </c>
      <c r="I414" s="2">
        <v>370.24966</v>
      </c>
      <c r="J414" s="2">
        <v>407.364336</v>
      </c>
      <c r="K414" s="2">
        <v>207.009603</v>
      </c>
      <c r="L414" s="2">
        <v>157.70997</v>
      </c>
      <c r="M414" s="2">
        <v>67.421851</v>
      </c>
      <c r="O414" s="2">
        <v>3282.9158730000004</v>
      </c>
    </row>
    <row r="415" spans="1:15" ht="15.75">
      <c r="A415" s="1" t="s">
        <v>144</v>
      </c>
      <c r="B415" s="2">
        <v>252</v>
      </c>
      <c r="C415" s="2">
        <v>224.884854</v>
      </c>
      <c r="D415" s="2">
        <v>184.841196</v>
      </c>
      <c r="E415" s="2">
        <v>188.607416</v>
      </c>
      <c r="F415" s="2">
        <v>242.038327</v>
      </c>
      <c r="G415" s="2">
        <v>284.005302</v>
      </c>
      <c r="H415" s="2">
        <v>327.781164</v>
      </c>
      <c r="I415" s="2">
        <v>449.683481</v>
      </c>
      <c r="J415" s="2">
        <v>338.037302</v>
      </c>
      <c r="K415" s="2">
        <v>280.949456</v>
      </c>
      <c r="L415" s="2">
        <v>296.079151</v>
      </c>
      <c r="M415" s="2">
        <v>255.869674</v>
      </c>
      <c r="N415" s="2">
        <v>205.439634</v>
      </c>
      <c r="O415" s="2">
        <v>3278.2169569999996</v>
      </c>
    </row>
    <row r="416" spans="1:15" ht="15.75">
      <c r="A416" s="1" t="s">
        <v>144</v>
      </c>
      <c r="B416" s="2">
        <v>660</v>
      </c>
      <c r="C416" s="2">
        <v>210.302702</v>
      </c>
      <c r="D416" s="2">
        <v>203.539603</v>
      </c>
      <c r="E416" s="2">
        <v>262.052801</v>
      </c>
      <c r="F416" s="2">
        <v>209.504233</v>
      </c>
      <c r="G416" s="2">
        <v>231.962768</v>
      </c>
      <c r="H416" s="2">
        <v>272.847098</v>
      </c>
      <c r="I416" s="2">
        <v>344.391003</v>
      </c>
      <c r="J416" s="2">
        <v>301.512551</v>
      </c>
      <c r="K416" s="2">
        <v>318.622335</v>
      </c>
      <c r="L416" s="2">
        <v>290.201966</v>
      </c>
      <c r="M416" s="2">
        <v>310.812296</v>
      </c>
      <c r="N416" s="2">
        <v>309.118823</v>
      </c>
      <c r="O416" s="2">
        <v>3264.868179</v>
      </c>
    </row>
    <row r="417" spans="1:15" ht="15.75">
      <c r="A417" s="1" t="s">
        <v>144</v>
      </c>
      <c r="B417" s="2">
        <v>660</v>
      </c>
      <c r="C417" s="2">
        <v>19.767003</v>
      </c>
      <c r="D417" s="2">
        <v>19.373491</v>
      </c>
      <c r="E417" s="2">
        <v>43.559648</v>
      </c>
      <c r="F417" s="2">
        <v>290.854766</v>
      </c>
      <c r="G417" s="2">
        <v>335.723236</v>
      </c>
      <c r="H417" s="2">
        <v>488.558876</v>
      </c>
      <c r="I417" s="2">
        <v>350.810021</v>
      </c>
      <c r="J417" s="2">
        <v>407.48635</v>
      </c>
      <c r="K417" s="2">
        <v>418.07638</v>
      </c>
      <c r="L417" s="2">
        <v>394.27347</v>
      </c>
      <c r="M417" s="2">
        <v>292.572952</v>
      </c>
      <c r="N417" s="2">
        <v>197.560187</v>
      </c>
      <c r="O417" s="2">
        <v>3258.61638</v>
      </c>
    </row>
    <row r="418" spans="1:15" ht="15.75">
      <c r="A418" s="1" t="s">
        <v>144</v>
      </c>
      <c r="B418" s="2">
        <v>660</v>
      </c>
      <c r="C418" s="2">
        <v>222.733059</v>
      </c>
      <c r="D418" s="2">
        <v>287.647453</v>
      </c>
      <c r="E418" s="2">
        <v>252.304521</v>
      </c>
      <c r="F418" s="2">
        <v>218.531554</v>
      </c>
      <c r="G418" s="2">
        <v>293.375826</v>
      </c>
      <c r="H418" s="2">
        <v>364.889959</v>
      </c>
      <c r="I418" s="2">
        <v>346.427689</v>
      </c>
      <c r="J418" s="2">
        <v>368.111697</v>
      </c>
      <c r="K418" s="2">
        <v>255.29388</v>
      </c>
      <c r="L418" s="2">
        <v>229.998072</v>
      </c>
      <c r="M418" s="2">
        <v>242.852659</v>
      </c>
      <c r="N418" s="2">
        <v>172.479678</v>
      </c>
      <c r="O418" s="2">
        <v>3254.646047</v>
      </c>
    </row>
    <row r="419" spans="1:15" ht="15.75">
      <c r="A419" s="1" t="s">
        <v>144</v>
      </c>
      <c r="B419" s="2">
        <v>660</v>
      </c>
      <c r="C419" s="2">
        <v>161.288424</v>
      </c>
      <c r="D419" s="2">
        <v>162.13941</v>
      </c>
      <c r="E419" s="2">
        <v>150.199938</v>
      </c>
      <c r="F419" s="2">
        <v>132.888481</v>
      </c>
      <c r="G419" s="2">
        <v>189.044266</v>
      </c>
      <c r="H419" s="2">
        <v>285.00712</v>
      </c>
      <c r="I419" s="2">
        <v>459.956505</v>
      </c>
      <c r="J419" s="2">
        <v>449.92937</v>
      </c>
      <c r="K419" s="2">
        <v>430.225266</v>
      </c>
      <c r="L419" s="2">
        <v>302.877227</v>
      </c>
      <c r="M419" s="2">
        <v>257.261359</v>
      </c>
      <c r="N419" s="2">
        <v>246.15906</v>
      </c>
      <c r="O419" s="2">
        <v>3226.976426</v>
      </c>
    </row>
    <row r="420" spans="1:15" ht="15.75">
      <c r="A420" s="1" t="s">
        <v>144</v>
      </c>
      <c r="B420" s="2">
        <v>660</v>
      </c>
      <c r="C420" s="2">
        <v>211.163955</v>
      </c>
      <c r="D420" s="2">
        <v>184.209771</v>
      </c>
      <c r="E420" s="2">
        <v>217.616827</v>
      </c>
      <c r="F420" s="2">
        <v>162.708409</v>
      </c>
      <c r="G420" s="2">
        <v>255.344116</v>
      </c>
      <c r="H420" s="2">
        <v>266.786817</v>
      </c>
      <c r="I420" s="2">
        <v>451.303649</v>
      </c>
      <c r="J420" s="2">
        <v>445.59622</v>
      </c>
      <c r="K420" s="2">
        <v>349.671508</v>
      </c>
      <c r="L420" s="2">
        <v>289.982513</v>
      </c>
      <c r="M420" s="2">
        <v>212.392043</v>
      </c>
      <c r="N420" s="2">
        <v>154.448699</v>
      </c>
      <c r="O420" s="2">
        <v>3201.2245269999994</v>
      </c>
    </row>
    <row r="421" spans="1:15" ht="15.75">
      <c r="A421" s="1" t="s">
        <v>144</v>
      </c>
      <c r="B421" s="2">
        <v>1320</v>
      </c>
      <c r="C421" s="2">
        <v>246.760124</v>
      </c>
      <c r="D421" s="2">
        <v>209.361894</v>
      </c>
      <c r="E421" s="2">
        <v>296.547568</v>
      </c>
      <c r="F421" s="2">
        <v>253.449314</v>
      </c>
      <c r="G421" s="2">
        <v>317.210926</v>
      </c>
      <c r="H421" s="2">
        <v>276.342552</v>
      </c>
      <c r="I421" s="2">
        <v>331.67855</v>
      </c>
      <c r="J421" s="2">
        <v>282.413866</v>
      </c>
      <c r="K421" s="2">
        <v>233.25159</v>
      </c>
      <c r="L421" s="2">
        <v>230.918485</v>
      </c>
      <c r="M421" s="2">
        <v>269.92988</v>
      </c>
      <c r="N421" s="2">
        <v>244.568271</v>
      </c>
      <c r="O421" s="2">
        <v>3192.43302</v>
      </c>
    </row>
    <row r="422" spans="1:15" ht="15.75">
      <c r="A422" s="1" t="s">
        <v>144</v>
      </c>
      <c r="B422" s="2">
        <v>252</v>
      </c>
      <c r="C422" s="2">
        <v>281.388055</v>
      </c>
      <c r="D422" s="2">
        <v>262.953609</v>
      </c>
      <c r="E422" s="2">
        <v>287.445582</v>
      </c>
      <c r="F422" s="2">
        <v>224.057826</v>
      </c>
      <c r="G422" s="2">
        <v>265.94149</v>
      </c>
      <c r="H422" s="2">
        <v>284.065025</v>
      </c>
      <c r="I422" s="2">
        <v>142.190594</v>
      </c>
      <c r="J422" s="2">
        <v>283.172144</v>
      </c>
      <c r="K422" s="2">
        <v>304.899529</v>
      </c>
      <c r="L422" s="2">
        <v>313.698827</v>
      </c>
      <c r="M422" s="2">
        <v>242.336689</v>
      </c>
      <c r="N422" s="2">
        <v>295.460292</v>
      </c>
      <c r="O422" s="2">
        <v>3187.609662</v>
      </c>
    </row>
    <row r="423" spans="1:15" ht="15.75">
      <c r="A423" s="1" t="s">
        <v>144</v>
      </c>
      <c r="B423" s="2">
        <v>660</v>
      </c>
      <c r="C423" s="2">
        <v>98.590809</v>
      </c>
      <c r="D423" s="2">
        <v>169.384222</v>
      </c>
      <c r="E423" s="2">
        <v>218.459543</v>
      </c>
      <c r="F423" s="2">
        <v>236.905458</v>
      </c>
      <c r="G423" s="2">
        <v>243.2701</v>
      </c>
      <c r="H423" s="2">
        <v>349.206109</v>
      </c>
      <c r="I423" s="2">
        <v>388.136838</v>
      </c>
      <c r="J423" s="2">
        <v>410.345774</v>
      </c>
      <c r="K423" s="2">
        <v>346.615983</v>
      </c>
      <c r="L423" s="2">
        <v>285.7015</v>
      </c>
      <c r="M423" s="2">
        <v>248.348289</v>
      </c>
      <c r="N423" s="2">
        <v>181.653206</v>
      </c>
      <c r="O423" s="2">
        <v>3176.617831</v>
      </c>
    </row>
    <row r="424" spans="1:15" ht="15.75">
      <c r="A424" s="1" t="s">
        <v>144</v>
      </c>
      <c r="B424" s="2">
        <v>660</v>
      </c>
      <c r="C424" s="2">
        <v>73.440014</v>
      </c>
      <c r="D424" s="2">
        <v>47.344798</v>
      </c>
      <c r="E424" s="2">
        <v>70.85125</v>
      </c>
      <c r="F424" s="2">
        <v>157.062425</v>
      </c>
      <c r="G424" s="2">
        <v>248.6046</v>
      </c>
      <c r="H424" s="2">
        <v>333.602029</v>
      </c>
      <c r="I424" s="2">
        <v>413.62542</v>
      </c>
      <c r="J424" s="2">
        <v>463.297297</v>
      </c>
      <c r="K424" s="2">
        <v>407.870758</v>
      </c>
      <c r="L424" s="2">
        <v>347.816715</v>
      </c>
      <c r="M424" s="2">
        <v>315.892705</v>
      </c>
      <c r="N424" s="2">
        <v>277.626258</v>
      </c>
      <c r="O424" s="2">
        <v>3157.0342690000007</v>
      </c>
    </row>
    <row r="425" spans="1:15" ht="15.75">
      <c r="A425" s="1" t="s">
        <v>144</v>
      </c>
      <c r="B425" s="2">
        <v>252</v>
      </c>
      <c r="C425" s="2">
        <v>133.517111</v>
      </c>
      <c r="D425" s="2">
        <v>134.968659</v>
      </c>
      <c r="E425" s="2">
        <v>245.631326</v>
      </c>
      <c r="F425" s="2">
        <v>235.443486</v>
      </c>
      <c r="G425" s="2">
        <v>369.704974</v>
      </c>
      <c r="H425" s="2">
        <v>231.557513</v>
      </c>
      <c r="I425" s="2">
        <v>292.079483</v>
      </c>
      <c r="J425" s="2">
        <v>351.857887</v>
      </c>
      <c r="K425" s="2">
        <v>289.702401</v>
      </c>
      <c r="L425" s="2">
        <v>259.250933</v>
      </c>
      <c r="M425" s="2">
        <v>284.948552</v>
      </c>
      <c r="N425" s="2">
        <v>325.74458</v>
      </c>
      <c r="O425" s="2">
        <v>3154.4069049999994</v>
      </c>
    </row>
    <row r="426" spans="1:15" ht="15.75">
      <c r="A426" s="1" t="s">
        <v>144</v>
      </c>
      <c r="B426" s="2">
        <v>372</v>
      </c>
      <c r="C426" s="2">
        <v>225.013795</v>
      </c>
      <c r="D426" s="2">
        <v>169.083922</v>
      </c>
      <c r="E426" s="2">
        <v>194.533032</v>
      </c>
      <c r="F426" s="2">
        <v>204.091543</v>
      </c>
      <c r="G426" s="2">
        <v>266.152936</v>
      </c>
      <c r="H426" s="2">
        <v>300.198911</v>
      </c>
      <c r="I426" s="2">
        <v>314.852739</v>
      </c>
      <c r="J426" s="2">
        <v>357.800428</v>
      </c>
      <c r="K426" s="2">
        <v>317.132733</v>
      </c>
      <c r="L426" s="2">
        <v>325.573142</v>
      </c>
      <c r="M426" s="2">
        <v>272.927633</v>
      </c>
      <c r="N426" s="2">
        <v>200.823134</v>
      </c>
      <c r="O426" s="2">
        <v>3148.183948</v>
      </c>
    </row>
    <row r="427" spans="1:15" ht="15.75">
      <c r="A427" s="1" t="s">
        <v>144</v>
      </c>
      <c r="B427" s="2">
        <v>660</v>
      </c>
      <c r="C427" s="2">
        <v>256.43711</v>
      </c>
      <c r="D427" s="2">
        <v>251.039025</v>
      </c>
      <c r="E427" s="2">
        <v>250.039993</v>
      </c>
      <c r="F427" s="2">
        <v>218.058134</v>
      </c>
      <c r="G427" s="2">
        <v>244.278129</v>
      </c>
      <c r="H427" s="2">
        <v>267.666193</v>
      </c>
      <c r="I427" s="2">
        <v>285.095618</v>
      </c>
      <c r="J427" s="2">
        <v>290.105093</v>
      </c>
      <c r="K427" s="2">
        <v>245.588356</v>
      </c>
      <c r="L427" s="2">
        <v>247.096618</v>
      </c>
      <c r="M427" s="2">
        <v>295.112702</v>
      </c>
      <c r="N427" s="2">
        <v>267.540685</v>
      </c>
      <c r="O427" s="2">
        <v>3118.057656</v>
      </c>
    </row>
    <row r="428" spans="1:15" ht="15.75">
      <c r="A428" s="1" t="s">
        <v>144</v>
      </c>
      <c r="B428" s="2">
        <v>660</v>
      </c>
      <c r="C428" s="2">
        <v>165.153397</v>
      </c>
      <c r="D428" s="2">
        <v>143.88031</v>
      </c>
      <c r="E428" s="2">
        <v>149.185552</v>
      </c>
      <c r="F428" s="2">
        <v>240.877874</v>
      </c>
      <c r="G428" s="2">
        <v>283.73382</v>
      </c>
      <c r="H428" s="2">
        <v>308.37108</v>
      </c>
      <c r="I428" s="2">
        <v>375.850364</v>
      </c>
      <c r="J428" s="2">
        <v>356.898676</v>
      </c>
      <c r="K428" s="2">
        <v>326.704385</v>
      </c>
      <c r="L428" s="2">
        <v>322.304321</v>
      </c>
      <c r="M428" s="2">
        <v>274.219216</v>
      </c>
      <c r="N428" s="2">
        <v>169.85241</v>
      </c>
      <c r="O428" s="2">
        <v>3117.031405</v>
      </c>
    </row>
    <row r="429" spans="1:15" ht="15.75">
      <c r="A429" s="1" t="s">
        <v>144</v>
      </c>
      <c r="B429" s="2">
        <v>660</v>
      </c>
      <c r="C429" s="2">
        <v>55.23053</v>
      </c>
      <c r="D429" s="2">
        <v>61.97048</v>
      </c>
      <c r="E429" s="2">
        <v>116.208387</v>
      </c>
      <c r="F429" s="2">
        <v>199.420668</v>
      </c>
      <c r="G429" s="2">
        <v>338.282924</v>
      </c>
      <c r="H429" s="2">
        <v>290.48846</v>
      </c>
      <c r="I429" s="2">
        <v>573.724672</v>
      </c>
      <c r="J429" s="2">
        <v>513.919001</v>
      </c>
      <c r="K429" s="2">
        <v>326.932225</v>
      </c>
      <c r="L429" s="2">
        <v>280.721244</v>
      </c>
      <c r="M429" s="2">
        <v>229.342245</v>
      </c>
      <c r="N429" s="2">
        <v>123.581626</v>
      </c>
      <c r="O429" s="2">
        <v>3109.822462</v>
      </c>
    </row>
    <row r="430" spans="1:15" ht="15.75">
      <c r="A430" s="1" t="s">
        <v>144</v>
      </c>
      <c r="B430" s="2">
        <v>660</v>
      </c>
      <c r="C430" s="2">
        <v>218.526743</v>
      </c>
      <c r="D430" s="2">
        <v>212.53012</v>
      </c>
      <c r="E430" s="2">
        <v>203.810485</v>
      </c>
      <c r="F430" s="2">
        <v>187.051534</v>
      </c>
      <c r="G430" s="2">
        <v>237.185069</v>
      </c>
      <c r="H430" s="2">
        <v>229.633356</v>
      </c>
      <c r="I430" s="2">
        <v>319.972128</v>
      </c>
      <c r="J430" s="2">
        <v>372.301762</v>
      </c>
      <c r="K430" s="2">
        <v>313.198517</v>
      </c>
      <c r="L430" s="2">
        <v>274.146189</v>
      </c>
      <c r="M430" s="2">
        <v>280.523944</v>
      </c>
      <c r="N430" s="2">
        <v>240.73713</v>
      </c>
      <c r="O430" s="2">
        <v>3089.616977</v>
      </c>
    </row>
    <row r="431" spans="1:15" ht="15.75">
      <c r="A431" s="1" t="s">
        <v>144</v>
      </c>
      <c r="B431" s="2">
        <v>660</v>
      </c>
      <c r="C431" s="2">
        <v>221.02811</v>
      </c>
      <c r="D431" s="2">
        <v>192.26802</v>
      </c>
      <c r="E431" s="2">
        <v>199.225691</v>
      </c>
      <c r="F431" s="2">
        <v>223.497278</v>
      </c>
      <c r="G431" s="2">
        <v>255.375365</v>
      </c>
      <c r="H431" s="2">
        <v>288.417994</v>
      </c>
      <c r="I431" s="2">
        <v>390.676907</v>
      </c>
      <c r="J431" s="2">
        <v>308.832214</v>
      </c>
      <c r="K431" s="2">
        <v>265.211817</v>
      </c>
      <c r="L431" s="2">
        <v>278.576028</v>
      </c>
      <c r="M431" s="2">
        <v>242.071418</v>
      </c>
      <c r="N431" s="2">
        <v>211.64543</v>
      </c>
      <c r="O431" s="2">
        <v>3076.826272</v>
      </c>
    </row>
    <row r="432" spans="1:15" ht="15.75">
      <c r="A432" s="1" t="s">
        <v>144</v>
      </c>
      <c r="B432" s="2">
        <v>252</v>
      </c>
      <c r="C432" s="2">
        <v>193.462869</v>
      </c>
      <c r="D432" s="2">
        <v>215.327339</v>
      </c>
      <c r="E432" s="2">
        <v>193.557241</v>
      </c>
      <c r="F432" s="2">
        <v>233.979416</v>
      </c>
      <c r="G432" s="2">
        <v>258.890264</v>
      </c>
      <c r="H432" s="2">
        <v>286.831765</v>
      </c>
      <c r="I432" s="2">
        <v>404.036928</v>
      </c>
      <c r="J432" s="2">
        <v>326.975438</v>
      </c>
      <c r="K432" s="2">
        <v>310.590255</v>
      </c>
      <c r="L432" s="2">
        <v>237.864285</v>
      </c>
      <c r="M432" s="2">
        <v>220.218996</v>
      </c>
      <c r="N432" s="2">
        <v>176.745064</v>
      </c>
      <c r="O432" s="2">
        <v>3058.4798600000004</v>
      </c>
    </row>
    <row r="433" spans="1:15" ht="15.75">
      <c r="A433" s="1" t="s">
        <v>144</v>
      </c>
      <c r="B433" s="2">
        <v>660</v>
      </c>
      <c r="C433" s="2">
        <v>275.102946</v>
      </c>
      <c r="D433" s="2">
        <v>222.994214</v>
      </c>
      <c r="E433" s="2">
        <v>248.774036</v>
      </c>
      <c r="F433" s="2">
        <v>240.30706</v>
      </c>
      <c r="G433" s="2">
        <v>225.931708</v>
      </c>
      <c r="H433" s="2">
        <v>215.969207</v>
      </c>
      <c r="I433" s="2">
        <v>273.066393</v>
      </c>
      <c r="J433" s="2">
        <v>326.371465</v>
      </c>
      <c r="K433" s="2">
        <v>211.406055</v>
      </c>
      <c r="L433" s="2">
        <v>290.644494</v>
      </c>
      <c r="M433" s="2">
        <v>244.175137</v>
      </c>
      <c r="N433" s="2">
        <v>279.783686</v>
      </c>
      <c r="O433" s="2">
        <v>3054.526401</v>
      </c>
    </row>
    <row r="434" spans="1:15" ht="15.75">
      <c r="A434" s="1" t="s">
        <v>144</v>
      </c>
      <c r="B434" s="2">
        <v>660</v>
      </c>
      <c r="C434" s="2">
        <v>173.708618</v>
      </c>
      <c r="D434" s="2">
        <v>159.667309</v>
      </c>
      <c r="E434" s="2">
        <v>155.372605</v>
      </c>
      <c r="F434" s="2">
        <v>206.39034</v>
      </c>
      <c r="G434" s="2">
        <v>208.280893</v>
      </c>
      <c r="H434" s="2">
        <v>308.905593</v>
      </c>
      <c r="I434" s="2">
        <v>387.227315</v>
      </c>
      <c r="J434" s="2">
        <v>373.336306</v>
      </c>
      <c r="K434" s="2">
        <v>325.813041</v>
      </c>
      <c r="L434" s="2">
        <v>289.345973</v>
      </c>
      <c r="M434" s="2">
        <v>234.680541</v>
      </c>
      <c r="N434" s="2">
        <v>221.485409</v>
      </c>
      <c r="O434" s="2">
        <v>3044.213943</v>
      </c>
    </row>
    <row r="435" spans="1:15" ht="15.75">
      <c r="A435" s="1" t="s">
        <v>144</v>
      </c>
      <c r="B435" s="2">
        <v>660</v>
      </c>
      <c r="C435" s="2">
        <v>229.011841</v>
      </c>
      <c r="D435" s="2">
        <v>192.474364</v>
      </c>
      <c r="E435" s="2">
        <v>219.4565</v>
      </c>
      <c r="F435" s="2">
        <v>165.332775</v>
      </c>
      <c r="G435" s="2">
        <v>252.849268</v>
      </c>
      <c r="H435" s="2">
        <v>314.877386</v>
      </c>
      <c r="I435" s="2">
        <v>346.599683</v>
      </c>
      <c r="J435" s="2">
        <v>350.285614</v>
      </c>
      <c r="K435" s="2">
        <v>322.69897</v>
      </c>
      <c r="L435" s="2">
        <v>225.755063</v>
      </c>
      <c r="M435" s="2">
        <v>234.432389</v>
      </c>
      <c r="N435" s="2">
        <v>186.645117</v>
      </c>
      <c r="O435" s="2">
        <v>3040.4189699999997</v>
      </c>
    </row>
    <row r="436" spans="1:15" ht="15.75">
      <c r="A436" s="1" t="s">
        <v>144</v>
      </c>
      <c r="B436" s="2">
        <v>660</v>
      </c>
      <c r="C436" s="2">
        <v>180.394284</v>
      </c>
      <c r="D436" s="2">
        <v>145.130333</v>
      </c>
      <c r="E436" s="2">
        <v>179.487468</v>
      </c>
      <c r="F436" s="2">
        <v>152.932132</v>
      </c>
      <c r="G436" s="2">
        <v>221.880583</v>
      </c>
      <c r="H436" s="2">
        <v>266.186172</v>
      </c>
      <c r="I436" s="2">
        <v>352.558606</v>
      </c>
      <c r="J436" s="2">
        <v>409.82291</v>
      </c>
      <c r="K436" s="2">
        <v>350.689033</v>
      </c>
      <c r="L436" s="2">
        <v>271.667316</v>
      </c>
      <c r="M436" s="2">
        <v>283.580593</v>
      </c>
      <c r="N436" s="2">
        <v>224.699304</v>
      </c>
      <c r="O436" s="2">
        <v>3039.0287340000004</v>
      </c>
    </row>
    <row r="437" spans="1:15" ht="15.75">
      <c r="A437" s="1" t="s">
        <v>144</v>
      </c>
      <c r="B437" s="2">
        <v>252</v>
      </c>
      <c r="C437" s="2">
        <v>193.036826</v>
      </c>
      <c r="D437" s="2">
        <v>182.045977</v>
      </c>
      <c r="E437" s="2">
        <v>226.024065</v>
      </c>
      <c r="F437" s="2">
        <v>255.132522</v>
      </c>
      <c r="G437" s="2">
        <v>190.871803</v>
      </c>
      <c r="H437" s="2">
        <v>282.659681</v>
      </c>
      <c r="I437" s="2">
        <v>366.857137</v>
      </c>
      <c r="J437" s="2">
        <v>275.082391</v>
      </c>
      <c r="K437" s="2">
        <v>286.236311</v>
      </c>
      <c r="L437" s="2">
        <v>264.91717</v>
      </c>
      <c r="M437" s="2">
        <v>257.293051</v>
      </c>
      <c r="N437" s="2">
        <v>245.296581</v>
      </c>
      <c r="O437" s="2">
        <v>3025.4535150000006</v>
      </c>
    </row>
    <row r="438" spans="1:15" ht="15.75">
      <c r="A438" s="1" t="s">
        <v>144</v>
      </c>
      <c r="B438" s="2">
        <v>252</v>
      </c>
      <c r="C438" s="2">
        <v>185.387803</v>
      </c>
      <c r="D438" s="2">
        <v>184.428294</v>
      </c>
      <c r="E438" s="2">
        <v>172.094029</v>
      </c>
      <c r="F438" s="2">
        <v>166.493898</v>
      </c>
      <c r="G438" s="2">
        <v>209.14928</v>
      </c>
      <c r="H438" s="2">
        <v>267.513573</v>
      </c>
      <c r="I438" s="2">
        <v>405.442429</v>
      </c>
      <c r="J438" s="2">
        <v>384.377496</v>
      </c>
      <c r="K438" s="2">
        <v>356.490048</v>
      </c>
      <c r="L438" s="2">
        <v>264.158656</v>
      </c>
      <c r="M438" s="2">
        <v>239.837807</v>
      </c>
      <c r="N438" s="2">
        <v>167.234302</v>
      </c>
      <c r="O438" s="2">
        <v>3002.607615</v>
      </c>
    </row>
    <row r="439" spans="1:15" ht="15.75">
      <c r="A439" s="1" t="s">
        <v>144</v>
      </c>
      <c r="B439" s="2">
        <v>660</v>
      </c>
      <c r="C439" s="2">
        <v>168.553839</v>
      </c>
      <c r="D439" s="2">
        <v>158.92042</v>
      </c>
      <c r="E439" s="2">
        <v>165.856608</v>
      </c>
      <c r="F439" s="2">
        <v>213.93594</v>
      </c>
      <c r="G439" s="2">
        <v>196.071226</v>
      </c>
      <c r="H439" s="2">
        <v>304.287383</v>
      </c>
      <c r="I439" s="2">
        <v>362.10125</v>
      </c>
      <c r="J439" s="2">
        <v>402.660926</v>
      </c>
      <c r="K439" s="2">
        <v>321.046735</v>
      </c>
      <c r="L439" s="2">
        <v>279.225846</v>
      </c>
      <c r="M439" s="2">
        <v>226.326989</v>
      </c>
      <c r="N439" s="2">
        <v>200.803946</v>
      </c>
      <c r="O439" s="2">
        <v>2999.791108</v>
      </c>
    </row>
    <row r="440" spans="1:15" ht="15.75">
      <c r="A440" s="1" t="s">
        <v>144</v>
      </c>
      <c r="B440" s="2">
        <v>660</v>
      </c>
      <c r="C440" s="2">
        <v>183.796315</v>
      </c>
      <c r="D440" s="2">
        <v>202.745959</v>
      </c>
      <c r="E440" s="2">
        <v>185.157708</v>
      </c>
      <c r="F440" s="2">
        <v>153.730982</v>
      </c>
      <c r="G440" s="2">
        <v>220.326452</v>
      </c>
      <c r="H440" s="2">
        <v>205.993018</v>
      </c>
      <c r="I440" s="2">
        <v>326.96117</v>
      </c>
      <c r="J440" s="2">
        <v>425.377575</v>
      </c>
      <c r="K440" s="2">
        <v>319.146399</v>
      </c>
      <c r="L440" s="2">
        <v>319.752578</v>
      </c>
      <c r="M440" s="2">
        <v>242.701497</v>
      </c>
      <c r="N440" s="2">
        <v>202.912369</v>
      </c>
      <c r="O440" s="2">
        <v>2988.602022</v>
      </c>
    </row>
    <row r="441" spans="1:15" ht="15.75">
      <c r="A441" s="1" t="s">
        <v>144</v>
      </c>
      <c r="B441" s="2">
        <v>660</v>
      </c>
      <c r="C441" s="2">
        <v>200.67779</v>
      </c>
      <c r="D441" s="2">
        <v>243.847091</v>
      </c>
      <c r="E441" s="2">
        <v>221.049086</v>
      </c>
      <c r="F441" s="2">
        <v>216.697038</v>
      </c>
      <c r="G441" s="2">
        <v>242.853021</v>
      </c>
      <c r="H441" s="2">
        <v>290.106039</v>
      </c>
      <c r="I441" s="2">
        <v>265.92019</v>
      </c>
      <c r="J441" s="2">
        <v>320.168706</v>
      </c>
      <c r="K441" s="2">
        <v>277.543536</v>
      </c>
      <c r="L441" s="2">
        <v>267.158962</v>
      </c>
      <c r="M441" s="2">
        <v>239.536154</v>
      </c>
      <c r="N441" s="2">
        <v>198.656977</v>
      </c>
      <c r="O441" s="2">
        <v>2984.21459</v>
      </c>
    </row>
    <row r="442" spans="1:15" ht="15.75">
      <c r="A442" s="1" t="s">
        <v>144</v>
      </c>
      <c r="B442" s="2">
        <v>660</v>
      </c>
      <c r="C442" s="2">
        <v>178.529833</v>
      </c>
      <c r="D442" s="2">
        <v>198.388596</v>
      </c>
      <c r="E442" s="2">
        <v>191.115755</v>
      </c>
      <c r="F442" s="2">
        <v>193.254042</v>
      </c>
      <c r="G442" s="2">
        <v>242.749695</v>
      </c>
      <c r="H442" s="2">
        <v>248.851653</v>
      </c>
      <c r="I442" s="2">
        <v>344.036429</v>
      </c>
      <c r="J442" s="2">
        <v>323.552933</v>
      </c>
      <c r="K442" s="2">
        <v>340.142783</v>
      </c>
      <c r="L442" s="2">
        <v>219.556686</v>
      </c>
      <c r="M442" s="2">
        <v>267.765828</v>
      </c>
      <c r="N442" s="2">
        <v>227.447796</v>
      </c>
      <c r="O442" s="2">
        <v>2975.3920289999996</v>
      </c>
    </row>
    <row r="443" spans="1:15" ht="15.75">
      <c r="A443" s="1" t="s">
        <v>144</v>
      </c>
      <c r="B443" s="2">
        <v>660</v>
      </c>
      <c r="C443" s="2">
        <v>110.060962</v>
      </c>
      <c r="D443" s="2">
        <v>108.497548</v>
      </c>
      <c r="E443" s="2">
        <v>110.740402</v>
      </c>
      <c r="F443" s="2">
        <v>142.124918</v>
      </c>
      <c r="G443" s="2">
        <v>214.783916</v>
      </c>
      <c r="H443" s="2">
        <v>342.926219</v>
      </c>
      <c r="I443" s="2">
        <v>512.686346</v>
      </c>
      <c r="J443" s="2">
        <v>502.858857</v>
      </c>
      <c r="K443" s="2">
        <v>266.252555</v>
      </c>
      <c r="L443" s="2">
        <v>277.636664</v>
      </c>
      <c r="M443" s="2">
        <v>210.996034</v>
      </c>
      <c r="N443" s="2">
        <v>170.762155</v>
      </c>
      <c r="O443" s="2">
        <v>2970.326576</v>
      </c>
    </row>
    <row r="444" spans="1:15" ht="15.75">
      <c r="A444" s="1" t="s">
        <v>144</v>
      </c>
      <c r="B444" s="2">
        <v>660</v>
      </c>
      <c r="C444" s="2">
        <v>243.594162</v>
      </c>
      <c r="D444" s="2">
        <v>239.125646</v>
      </c>
      <c r="E444" s="2">
        <v>277.486778</v>
      </c>
      <c r="F444" s="2">
        <v>206.458438</v>
      </c>
      <c r="G444" s="2">
        <v>243.50796</v>
      </c>
      <c r="H444" s="2">
        <v>264.183097</v>
      </c>
      <c r="I444" s="2">
        <v>260.743291</v>
      </c>
      <c r="J444" s="2">
        <v>303.36078</v>
      </c>
      <c r="K444" s="2">
        <v>228.475946</v>
      </c>
      <c r="L444" s="2">
        <v>261.082085</v>
      </c>
      <c r="M444" s="2">
        <v>231.206849</v>
      </c>
      <c r="N444" s="2">
        <v>209.90814</v>
      </c>
      <c r="O444" s="2">
        <v>2969.133172</v>
      </c>
    </row>
    <row r="445" spans="1:15" ht="15.75">
      <c r="A445" s="1" t="s">
        <v>144</v>
      </c>
      <c r="B445" s="2">
        <v>660</v>
      </c>
      <c r="C445" s="2">
        <v>220.531679</v>
      </c>
      <c r="D445" s="2">
        <v>249.749958</v>
      </c>
      <c r="E445" s="2">
        <v>266.7912</v>
      </c>
      <c r="F445" s="2">
        <v>152.486961</v>
      </c>
      <c r="G445" s="2">
        <v>197.625401</v>
      </c>
      <c r="H445" s="2">
        <v>240.741972</v>
      </c>
      <c r="I445" s="2">
        <v>414.246684</v>
      </c>
      <c r="J445" s="2">
        <v>313.267543</v>
      </c>
      <c r="K445" s="2">
        <v>227.364971</v>
      </c>
      <c r="L445" s="2">
        <v>222.428032</v>
      </c>
      <c r="M445" s="2">
        <v>203.285643</v>
      </c>
      <c r="N445" s="2">
        <v>258.817366</v>
      </c>
      <c r="O445" s="2">
        <v>2967.33741</v>
      </c>
    </row>
    <row r="446" spans="1:15" ht="15.75">
      <c r="A446" s="1" t="s">
        <v>144</v>
      </c>
      <c r="B446" s="2">
        <v>660</v>
      </c>
      <c r="C446" s="2">
        <v>214.536807</v>
      </c>
      <c r="D446" s="2">
        <v>190.165174</v>
      </c>
      <c r="E446" s="2">
        <v>192.065753</v>
      </c>
      <c r="F446" s="2">
        <v>182.292577</v>
      </c>
      <c r="G446" s="2">
        <v>279.464186</v>
      </c>
      <c r="H446" s="2">
        <v>271.469587</v>
      </c>
      <c r="I446" s="2">
        <v>251.399318</v>
      </c>
      <c r="J446" s="2">
        <v>365.311408</v>
      </c>
      <c r="K446" s="2">
        <v>281.529446</v>
      </c>
      <c r="L446" s="2">
        <v>284.919311</v>
      </c>
      <c r="M446" s="2">
        <v>284.59188</v>
      </c>
      <c r="N446" s="2">
        <v>165.795629</v>
      </c>
      <c r="O446" s="2">
        <v>2963.541076</v>
      </c>
    </row>
    <row r="447" spans="1:15" ht="15.75">
      <c r="A447" s="1" t="s">
        <v>144</v>
      </c>
      <c r="B447" s="2">
        <v>660</v>
      </c>
      <c r="C447" s="2">
        <v>147.382683</v>
      </c>
      <c r="D447" s="2">
        <v>129.950707</v>
      </c>
      <c r="E447" s="2">
        <v>151.500425</v>
      </c>
      <c r="F447" s="2">
        <v>205.68691</v>
      </c>
      <c r="G447" s="2">
        <v>264.184576</v>
      </c>
      <c r="H447" s="2">
        <v>328.332984</v>
      </c>
      <c r="I447" s="2">
        <v>406.241799</v>
      </c>
      <c r="J447" s="2">
        <v>352.703303</v>
      </c>
      <c r="K447" s="2">
        <v>278.248915</v>
      </c>
      <c r="L447" s="2">
        <v>275.636181</v>
      </c>
      <c r="M447" s="2">
        <v>262.638861</v>
      </c>
      <c r="N447" s="2">
        <v>157.339073</v>
      </c>
      <c r="O447" s="2">
        <v>2959.8464169999997</v>
      </c>
    </row>
    <row r="448" spans="1:15" ht="15.75">
      <c r="A448" s="1" t="s">
        <v>144</v>
      </c>
      <c r="B448" s="2">
        <v>660</v>
      </c>
      <c r="C448" s="2">
        <v>166.763937</v>
      </c>
      <c r="D448" s="2">
        <v>169.40258</v>
      </c>
      <c r="E448" s="2">
        <v>199.562428</v>
      </c>
      <c r="F448" s="2">
        <v>184.73884</v>
      </c>
      <c r="G448" s="2">
        <v>227.967281</v>
      </c>
      <c r="H448" s="2">
        <v>243.917724</v>
      </c>
      <c r="I448" s="2">
        <v>356.352661</v>
      </c>
      <c r="J448" s="2">
        <v>406.640095</v>
      </c>
      <c r="K448" s="2">
        <v>291.333751</v>
      </c>
      <c r="L448" s="2">
        <v>289.478164</v>
      </c>
      <c r="M448" s="2">
        <v>232.569547</v>
      </c>
      <c r="N448" s="2">
        <v>189.397235</v>
      </c>
      <c r="O448" s="2">
        <v>2958.1242429999998</v>
      </c>
    </row>
    <row r="449" spans="1:15" ht="15.75">
      <c r="A449" s="1" t="s">
        <v>144</v>
      </c>
      <c r="B449" s="2">
        <v>252</v>
      </c>
      <c r="C449" s="2">
        <v>245.565413</v>
      </c>
      <c r="D449" s="2">
        <v>271.067912</v>
      </c>
      <c r="E449" s="2">
        <v>164.075894</v>
      </c>
      <c r="F449" s="2">
        <v>196.826436</v>
      </c>
      <c r="G449" s="2">
        <v>248.506146</v>
      </c>
      <c r="H449" s="2">
        <v>254.658496</v>
      </c>
      <c r="I449" s="2">
        <v>323.093665</v>
      </c>
      <c r="J449" s="2">
        <v>325.228192</v>
      </c>
      <c r="K449" s="2">
        <v>228.911289</v>
      </c>
      <c r="L449" s="2">
        <v>247.415165</v>
      </c>
      <c r="M449" s="2">
        <v>232.352545</v>
      </c>
      <c r="N449" s="2">
        <v>211.608776</v>
      </c>
      <c r="O449" s="2">
        <v>2949.3099290000005</v>
      </c>
    </row>
    <row r="450" spans="1:15" ht="15.75">
      <c r="A450" s="1" t="s">
        <v>144</v>
      </c>
      <c r="B450" s="2">
        <v>252</v>
      </c>
      <c r="C450" s="2">
        <v>197.303836</v>
      </c>
      <c r="D450" s="2">
        <v>186.775492</v>
      </c>
      <c r="E450" s="2">
        <v>179.752858</v>
      </c>
      <c r="F450" s="2">
        <v>183.89266</v>
      </c>
      <c r="G450" s="2">
        <v>199.871952</v>
      </c>
      <c r="H450" s="2">
        <v>299.245301</v>
      </c>
      <c r="I450" s="2">
        <v>372.986418</v>
      </c>
      <c r="J450" s="2">
        <v>338.920817</v>
      </c>
      <c r="K450" s="2">
        <v>351.829238</v>
      </c>
      <c r="L450" s="2">
        <v>210.451598</v>
      </c>
      <c r="M450" s="2">
        <v>251.023465</v>
      </c>
      <c r="N450" s="2">
        <v>156.212816</v>
      </c>
      <c r="O450" s="2">
        <v>2928.2664510000004</v>
      </c>
    </row>
    <row r="451" spans="1:15" ht="15.75">
      <c r="A451" s="1" t="s">
        <v>144</v>
      </c>
      <c r="B451" s="2">
        <v>252</v>
      </c>
      <c r="C451" s="2">
        <v>185.707885</v>
      </c>
      <c r="D451" s="2">
        <v>189.899259</v>
      </c>
      <c r="E451" s="2">
        <v>212.069005</v>
      </c>
      <c r="F451" s="2">
        <v>202.337301</v>
      </c>
      <c r="G451" s="2">
        <v>214.608852</v>
      </c>
      <c r="H451" s="2">
        <v>289.846719</v>
      </c>
      <c r="I451" s="2">
        <v>364.154463</v>
      </c>
      <c r="J451" s="2">
        <v>347.009309</v>
      </c>
      <c r="K451" s="2">
        <v>283.205063</v>
      </c>
      <c r="L451" s="2">
        <v>216.534761</v>
      </c>
      <c r="M451" s="2">
        <v>189.851744</v>
      </c>
      <c r="N451" s="2">
        <v>223.97169</v>
      </c>
      <c r="O451" s="2">
        <v>2919.196051</v>
      </c>
    </row>
    <row r="452" spans="1:15" ht="15.75">
      <c r="A452" s="1" t="s">
        <v>144</v>
      </c>
      <c r="B452" s="2">
        <v>660</v>
      </c>
      <c r="C452" s="2">
        <v>236.872667</v>
      </c>
      <c r="D452" s="2">
        <v>204.752143</v>
      </c>
      <c r="E452" s="2">
        <v>211.785748</v>
      </c>
      <c r="F452" s="2">
        <v>231.236131</v>
      </c>
      <c r="G452" s="2">
        <v>216.677327</v>
      </c>
      <c r="H452" s="2">
        <v>228.70713</v>
      </c>
      <c r="I452" s="2">
        <v>331.097883</v>
      </c>
      <c r="J452" s="2">
        <v>306.789514</v>
      </c>
      <c r="K452" s="2">
        <v>254.703837</v>
      </c>
      <c r="L452" s="2">
        <v>254.270909</v>
      </c>
      <c r="M452" s="2">
        <v>230.701702</v>
      </c>
      <c r="N452" s="2">
        <v>208.763875</v>
      </c>
      <c r="O452" s="2">
        <v>2916.358866</v>
      </c>
    </row>
    <row r="453" spans="1:15" ht="15.75">
      <c r="A453" s="1" t="s">
        <v>144</v>
      </c>
      <c r="B453" s="2">
        <v>372</v>
      </c>
      <c r="C453" s="2">
        <v>167.803039</v>
      </c>
      <c r="D453" s="2">
        <v>149.665199</v>
      </c>
      <c r="E453" s="2">
        <v>166.106296</v>
      </c>
      <c r="F453" s="2">
        <v>173.239712</v>
      </c>
      <c r="G453" s="2">
        <v>214.303006</v>
      </c>
      <c r="H453" s="2">
        <v>253.704818</v>
      </c>
      <c r="I453" s="2">
        <v>385.722718</v>
      </c>
      <c r="J453" s="2">
        <v>378.161903</v>
      </c>
      <c r="K453" s="2">
        <v>313.204592</v>
      </c>
      <c r="L453" s="2">
        <v>266.316349</v>
      </c>
      <c r="M453" s="2">
        <v>240.862845</v>
      </c>
      <c r="N453" s="2">
        <v>207.228804</v>
      </c>
      <c r="O453" s="2">
        <v>2916.319281</v>
      </c>
    </row>
    <row r="454" spans="1:15" ht="15.75">
      <c r="A454" s="1" t="s">
        <v>144</v>
      </c>
      <c r="B454" s="2">
        <v>660</v>
      </c>
      <c r="C454" s="2">
        <v>657.103962</v>
      </c>
      <c r="D454" s="2">
        <v>685.936155</v>
      </c>
      <c r="E454" s="2">
        <v>416.832934</v>
      </c>
      <c r="F454" s="2">
        <v>0.208754</v>
      </c>
      <c r="G454" s="2">
        <v>0.741159</v>
      </c>
      <c r="H454" s="2">
        <v>12.163779</v>
      </c>
      <c r="I454" s="2">
        <v>15.301627</v>
      </c>
      <c r="J454" s="2">
        <v>16.972728</v>
      </c>
      <c r="K454" s="2">
        <v>13.131672</v>
      </c>
      <c r="L454" s="2">
        <v>10.691399</v>
      </c>
      <c r="M454" s="2">
        <v>281.884146</v>
      </c>
      <c r="N454" s="2">
        <v>800.598485</v>
      </c>
      <c r="O454" s="2">
        <v>2911.5668</v>
      </c>
    </row>
    <row r="455" spans="1:15" ht="15.75">
      <c r="A455" s="1" t="s">
        <v>144</v>
      </c>
      <c r="B455" s="2">
        <v>660</v>
      </c>
      <c r="C455" s="2">
        <v>549.597651</v>
      </c>
      <c r="D455" s="2">
        <v>400.090772</v>
      </c>
      <c r="E455" s="2">
        <v>358.449873</v>
      </c>
      <c r="F455" s="2">
        <v>170.268155</v>
      </c>
      <c r="G455" s="2">
        <v>166.557559</v>
      </c>
      <c r="H455" s="2">
        <v>181.544627</v>
      </c>
      <c r="I455" s="2">
        <v>217.738177</v>
      </c>
      <c r="J455" s="2">
        <v>278.459986</v>
      </c>
      <c r="K455" s="2">
        <v>160.738819</v>
      </c>
      <c r="L455" s="2">
        <v>103.489681</v>
      </c>
      <c r="M455" s="2">
        <v>118.052957</v>
      </c>
      <c r="N455" s="2">
        <v>199.244952</v>
      </c>
      <c r="O455" s="2">
        <v>2904.233209</v>
      </c>
    </row>
    <row r="456" spans="1:15" ht="15.75">
      <c r="A456" s="1" t="s">
        <v>144</v>
      </c>
      <c r="B456" s="2">
        <v>660</v>
      </c>
      <c r="C456" s="2">
        <v>178.730478</v>
      </c>
      <c r="D456" s="2">
        <v>158.250418</v>
      </c>
      <c r="E456" s="2">
        <v>169.282481</v>
      </c>
      <c r="F456" s="2">
        <v>149.836818</v>
      </c>
      <c r="G456" s="2">
        <v>228.733406</v>
      </c>
      <c r="H456" s="2">
        <v>281.02578</v>
      </c>
      <c r="I456" s="2">
        <v>442.30299</v>
      </c>
      <c r="J456" s="2">
        <v>406.450779</v>
      </c>
      <c r="K456" s="2">
        <v>378.142715</v>
      </c>
      <c r="L456" s="2">
        <v>143.473386</v>
      </c>
      <c r="M456" s="2">
        <v>197.239627</v>
      </c>
      <c r="N456" s="2">
        <v>166.175489</v>
      </c>
      <c r="O456" s="2">
        <v>2899.6443670000003</v>
      </c>
    </row>
    <row r="457" spans="1:15" ht="15.75">
      <c r="A457" s="1" t="s">
        <v>144</v>
      </c>
      <c r="B457" s="2">
        <v>660</v>
      </c>
      <c r="C457" s="2">
        <v>261.460709</v>
      </c>
      <c r="D457" s="2">
        <v>190.417311</v>
      </c>
      <c r="E457" s="2">
        <v>189.428485</v>
      </c>
      <c r="F457" s="2">
        <v>174.667533</v>
      </c>
      <c r="G457" s="2">
        <v>213.716003</v>
      </c>
      <c r="H457" s="2">
        <v>271.989695</v>
      </c>
      <c r="I457" s="2">
        <v>299.326565</v>
      </c>
      <c r="J457" s="2">
        <v>290.786899</v>
      </c>
      <c r="K457" s="2">
        <v>276.026015</v>
      </c>
      <c r="L457" s="2">
        <v>230.85936</v>
      </c>
      <c r="M457" s="2">
        <v>227.273757</v>
      </c>
      <c r="N457" s="2">
        <v>260.596097</v>
      </c>
      <c r="O457" s="2">
        <v>2886.548429</v>
      </c>
    </row>
    <row r="458" spans="1:15" ht="15.75">
      <c r="A458" s="1" t="s">
        <v>144</v>
      </c>
      <c r="B458" s="2">
        <v>605</v>
      </c>
      <c r="C458" s="2">
        <v>94.578246</v>
      </c>
      <c r="D458" s="2">
        <v>85.907671</v>
      </c>
      <c r="E458" s="2">
        <v>103.118179</v>
      </c>
      <c r="F458" s="2">
        <v>285.042731</v>
      </c>
      <c r="G458" s="2">
        <v>329.375223</v>
      </c>
      <c r="H458" s="2">
        <v>305.872496</v>
      </c>
      <c r="I458" s="2">
        <v>437.091188</v>
      </c>
      <c r="J458" s="2">
        <v>381.771546</v>
      </c>
      <c r="K458" s="2">
        <v>329.083576</v>
      </c>
      <c r="L458" s="2">
        <v>301.668516</v>
      </c>
      <c r="M458" s="2">
        <v>228.629116</v>
      </c>
      <c r="O458" s="2">
        <v>2882.138488</v>
      </c>
    </row>
    <row r="459" spans="1:15" ht="15.75">
      <c r="A459" s="1" t="s">
        <v>144</v>
      </c>
      <c r="B459" s="2">
        <v>660</v>
      </c>
      <c r="C459" s="2">
        <v>183.098333</v>
      </c>
      <c r="D459" s="2">
        <v>162.731156</v>
      </c>
      <c r="E459" s="2">
        <v>190.87717</v>
      </c>
      <c r="F459" s="2">
        <v>205.95734</v>
      </c>
      <c r="G459" s="2">
        <v>247.443579</v>
      </c>
      <c r="H459" s="2">
        <v>257.473397</v>
      </c>
      <c r="I459" s="2">
        <v>388.300997</v>
      </c>
      <c r="J459" s="2">
        <v>356.081559</v>
      </c>
      <c r="K459" s="2">
        <v>261.525959</v>
      </c>
      <c r="L459" s="2">
        <v>234.781379</v>
      </c>
      <c r="M459" s="2">
        <v>224.816569</v>
      </c>
      <c r="N459" s="2">
        <v>166.385699</v>
      </c>
      <c r="O459" s="2">
        <v>2879.473137</v>
      </c>
    </row>
    <row r="460" spans="1:15" ht="15.75">
      <c r="A460" s="1" t="s">
        <v>144</v>
      </c>
      <c r="B460" s="2">
        <v>660</v>
      </c>
      <c r="C460" s="2">
        <v>229.961607</v>
      </c>
      <c r="D460" s="2">
        <v>148.032898</v>
      </c>
      <c r="E460" s="2">
        <v>159.542669</v>
      </c>
      <c r="F460" s="2">
        <v>65.377615</v>
      </c>
      <c r="G460" s="2">
        <v>127.101495</v>
      </c>
      <c r="H460" s="2">
        <v>157.806998</v>
      </c>
      <c r="I460" s="2">
        <v>231.423851</v>
      </c>
      <c r="J460" s="2">
        <v>219.502867</v>
      </c>
      <c r="K460" s="2">
        <v>172.404824</v>
      </c>
      <c r="L460" s="2">
        <v>124.074915</v>
      </c>
      <c r="M460" s="2">
        <v>713.769042</v>
      </c>
      <c r="N460" s="2">
        <v>529.80704</v>
      </c>
      <c r="O460" s="2">
        <v>2878.805821</v>
      </c>
    </row>
    <row r="461" spans="1:15" ht="15.75">
      <c r="A461" s="1" t="s">
        <v>144</v>
      </c>
      <c r="B461" s="2">
        <v>660</v>
      </c>
      <c r="C461" s="2">
        <v>211.387846</v>
      </c>
      <c r="D461" s="2">
        <v>195.475366</v>
      </c>
      <c r="E461" s="2">
        <v>227.327266</v>
      </c>
      <c r="F461" s="2">
        <v>209.003684</v>
      </c>
      <c r="G461" s="2">
        <v>252.84757</v>
      </c>
      <c r="H461" s="2">
        <v>242.550708</v>
      </c>
      <c r="I461" s="2">
        <v>360.948526</v>
      </c>
      <c r="J461" s="2">
        <v>319.253247</v>
      </c>
      <c r="K461" s="2">
        <v>227.064878</v>
      </c>
      <c r="L461" s="2">
        <v>212.830269</v>
      </c>
      <c r="M461" s="2">
        <v>237.520818</v>
      </c>
      <c r="N461" s="2">
        <v>179.181564</v>
      </c>
      <c r="O461" s="2">
        <v>2875.3917420000002</v>
      </c>
    </row>
    <row r="462" spans="1:15" ht="15.75">
      <c r="A462" s="1" t="s">
        <v>144</v>
      </c>
      <c r="B462" s="2">
        <v>660</v>
      </c>
      <c r="C462" s="2">
        <v>87.237462</v>
      </c>
      <c r="D462" s="2">
        <v>90.645376</v>
      </c>
      <c r="E462" s="2">
        <v>115.865431</v>
      </c>
      <c r="F462" s="2">
        <v>110.960226</v>
      </c>
      <c r="G462" s="2">
        <v>144.822567</v>
      </c>
      <c r="H462" s="2">
        <v>255.860628</v>
      </c>
      <c r="I462" s="2">
        <v>444.447266</v>
      </c>
      <c r="J462" s="2">
        <v>524.232638</v>
      </c>
      <c r="K462" s="2">
        <v>390.999361</v>
      </c>
      <c r="L462" s="2">
        <v>344.334701</v>
      </c>
      <c r="M462" s="2">
        <v>224.778705</v>
      </c>
      <c r="N462" s="2">
        <v>138.613182</v>
      </c>
      <c r="O462" s="2">
        <v>2872.797543</v>
      </c>
    </row>
    <row r="463" spans="1:15" ht="15.75">
      <c r="A463" s="1" t="s">
        <v>144</v>
      </c>
      <c r="B463" s="2">
        <v>252</v>
      </c>
      <c r="C463" s="2">
        <v>159.806227</v>
      </c>
      <c r="D463" s="2">
        <v>143.525769</v>
      </c>
      <c r="E463" s="2">
        <v>153.639645</v>
      </c>
      <c r="F463" s="2">
        <v>175.935857</v>
      </c>
      <c r="G463" s="2">
        <v>222.683228</v>
      </c>
      <c r="H463" s="2">
        <v>307.885199</v>
      </c>
      <c r="I463" s="2">
        <v>375.154986</v>
      </c>
      <c r="J463" s="2">
        <v>390.92957</v>
      </c>
      <c r="K463" s="2">
        <v>284.86022</v>
      </c>
      <c r="L463" s="2">
        <v>230.634573</v>
      </c>
      <c r="M463" s="2">
        <v>227.750058</v>
      </c>
      <c r="N463" s="2">
        <v>199.419496</v>
      </c>
      <c r="O463" s="2">
        <v>2872.224828</v>
      </c>
    </row>
    <row r="464" spans="1:15" ht="15.75">
      <c r="A464" s="1" t="s">
        <v>144</v>
      </c>
      <c r="B464" s="2">
        <v>252</v>
      </c>
      <c r="C464" s="2">
        <v>279.986989</v>
      </c>
      <c r="D464" s="2">
        <v>226.791117</v>
      </c>
      <c r="E464" s="2">
        <v>216.947803</v>
      </c>
      <c r="F464" s="2">
        <v>219.468486</v>
      </c>
      <c r="G464" s="2">
        <v>214.0887</v>
      </c>
      <c r="H464" s="2">
        <v>208.751533</v>
      </c>
      <c r="I464" s="2">
        <v>303.213196</v>
      </c>
      <c r="J464" s="2">
        <v>297.211835</v>
      </c>
      <c r="K464" s="2">
        <v>218.947266</v>
      </c>
      <c r="L464" s="2">
        <v>228.103984</v>
      </c>
      <c r="M464" s="2">
        <v>225.393723</v>
      </c>
      <c r="N464" s="2">
        <v>214.568623</v>
      </c>
      <c r="O464" s="2">
        <v>2853.473255</v>
      </c>
    </row>
    <row r="465" spans="1:15" ht="15.75">
      <c r="A465" s="1" t="s">
        <v>144</v>
      </c>
      <c r="B465" s="2">
        <v>660</v>
      </c>
      <c r="C465" s="2">
        <v>193.269071</v>
      </c>
      <c r="D465" s="2">
        <v>164.72376</v>
      </c>
      <c r="E465" s="2">
        <v>164.295437</v>
      </c>
      <c r="F465" s="2">
        <v>215.38265</v>
      </c>
      <c r="G465" s="2">
        <v>260.403962</v>
      </c>
      <c r="H465" s="2">
        <v>262.375322</v>
      </c>
      <c r="I465" s="2">
        <v>372.864162</v>
      </c>
      <c r="J465" s="2">
        <v>302.490128</v>
      </c>
      <c r="K465" s="2">
        <v>261.842879</v>
      </c>
      <c r="L465" s="2">
        <v>258.519758</v>
      </c>
      <c r="M465" s="2">
        <v>218.509456</v>
      </c>
      <c r="N465" s="2">
        <v>174.134665</v>
      </c>
      <c r="O465" s="2">
        <v>2848.81125</v>
      </c>
    </row>
    <row r="466" spans="1:15" ht="15.75">
      <c r="A466" s="1" t="s">
        <v>144</v>
      </c>
      <c r="B466" s="2">
        <v>252</v>
      </c>
      <c r="C466" s="2">
        <v>161.800656</v>
      </c>
      <c r="D466" s="2">
        <v>161.955632</v>
      </c>
      <c r="E466" s="2">
        <v>154.420177</v>
      </c>
      <c r="F466" s="2">
        <v>208.220655</v>
      </c>
      <c r="G466" s="2">
        <v>262.521892</v>
      </c>
      <c r="H466" s="2">
        <v>326.625767</v>
      </c>
      <c r="I466" s="2">
        <v>364.208223</v>
      </c>
      <c r="J466" s="2">
        <v>318.208683</v>
      </c>
      <c r="K466" s="2">
        <v>283.987312</v>
      </c>
      <c r="L466" s="2">
        <v>220.191989</v>
      </c>
      <c r="M466" s="2">
        <v>186.334676</v>
      </c>
      <c r="N466" s="2">
        <v>193.694157</v>
      </c>
      <c r="O466" s="2">
        <v>2842.1698189999997</v>
      </c>
    </row>
    <row r="467" spans="1:15" ht="15.75">
      <c r="A467" s="1" t="s">
        <v>144</v>
      </c>
      <c r="B467" s="2">
        <v>252</v>
      </c>
      <c r="C467" s="2">
        <v>242.334269</v>
      </c>
      <c r="D467" s="2">
        <v>207.339896</v>
      </c>
      <c r="E467" s="2">
        <v>210.922754</v>
      </c>
      <c r="F467" s="2">
        <v>249.151266</v>
      </c>
      <c r="G467" s="2">
        <v>240.614315</v>
      </c>
      <c r="H467" s="2">
        <v>230.668512</v>
      </c>
      <c r="I467" s="2">
        <v>277.147053</v>
      </c>
      <c r="J467" s="2">
        <v>272.782796</v>
      </c>
      <c r="K467" s="2">
        <v>234.067945</v>
      </c>
      <c r="L467" s="2">
        <v>225.509465</v>
      </c>
      <c r="M467" s="2">
        <v>233.700168</v>
      </c>
      <c r="N467" s="2">
        <v>212.952256</v>
      </c>
      <c r="O467" s="2">
        <v>2837.1906950000002</v>
      </c>
    </row>
    <row r="468" spans="1:15" ht="15.75">
      <c r="A468" s="1" t="s">
        <v>144</v>
      </c>
      <c r="B468" s="2">
        <v>660</v>
      </c>
      <c r="C468" s="2">
        <v>185.137932</v>
      </c>
      <c r="D468" s="2">
        <v>191.713213</v>
      </c>
      <c r="E468" s="2">
        <v>153.29258</v>
      </c>
      <c r="F468" s="2">
        <v>152.624262</v>
      </c>
      <c r="G468" s="2">
        <v>239.044412</v>
      </c>
      <c r="H468" s="2">
        <v>289.612406</v>
      </c>
      <c r="I468" s="2">
        <v>375.704143</v>
      </c>
      <c r="J468" s="2">
        <v>286.8845</v>
      </c>
      <c r="K468" s="2">
        <v>282.253683</v>
      </c>
      <c r="L468" s="2">
        <v>253.302162</v>
      </c>
      <c r="M468" s="2">
        <v>237.610863</v>
      </c>
      <c r="N468" s="2">
        <v>181.130461</v>
      </c>
      <c r="O468" s="2">
        <v>2828.3106169999996</v>
      </c>
    </row>
    <row r="469" spans="1:15" ht="15.75">
      <c r="A469" s="1" t="s">
        <v>144</v>
      </c>
      <c r="B469" s="2">
        <v>252</v>
      </c>
      <c r="C469" s="2">
        <v>139.179735</v>
      </c>
      <c r="D469" s="2">
        <v>164.245333</v>
      </c>
      <c r="E469" s="2">
        <v>206.623199</v>
      </c>
      <c r="F469" s="2">
        <v>178.605993</v>
      </c>
      <c r="G469" s="2">
        <v>186.051016</v>
      </c>
      <c r="H469" s="2">
        <v>309.313343</v>
      </c>
      <c r="I469" s="2">
        <v>375.974179</v>
      </c>
      <c r="J469" s="2">
        <v>369.026109</v>
      </c>
      <c r="K469" s="2">
        <v>287.427648</v>
      </c>
      <c r="L469" s="2">
        <v>210.018399</v>
      </c>
      <c r="M469" s="2">
        <v>212.411538</v>
      </c>
      <c r="N469" s="2">
        <v>178.23548</v>
      </c>
      <c r="O469" s="2">
        <v>2817.1119719999997</v>
      </c>
    </row>
    <row r="470" spans="1:15" ht="15.75">
      <c r="A470" s="1" t="s">
        <v>144</v>
      </c>
      <c r="B470" s="2">
        <v>252</v>
      </c>
      <c r="C470" s="2">
        <v>200.471626</v>
      </c>
      <c r="D470" s="2">
        <v>163.597737</v>
      </c>
      <c r="E470" s="2">
        <v>179.895569</v>
      </c>
      <c r="F470" s="2">
        <v>161.373567</v>
      </c>
      <c r="G470" s="2">
        <v>232.267916</v>
      </c>
      <c r="H470" s="2">
        <v>262.707726</v>
      </c>
      <c r="I470" s="2">
        <v>341.733638</v>
      </c>
      <c r="J470" s="2">
        <v>360.206728</v>
      </c>
      <c r="K470" s="2">
        <v>269.224856</v>
      </c>
      <c r="L470" s="2">
        <v>236.315583</v>
      </c>
      <c r="M470" s="2">
        <v>216.411527</v>
      </c>
      <c r="N470" s="2">
        <v>192.075159</v>
      </c>
      <c r="O470" s="2">
        <v>2816.2816319999997</v>
      </c>
    </row>
    <row r="471" spans="1:15" ht="15.75">
      <c r="A471" s="1" t="s">
        <v>144</v>
      </c>
      <c r="B471" s="2">
        <v>660</v>
      </c>
      <c r="C471" s="2">
        <v>161.681847</v>
      </c>
      <c r="D471" s="2">
        <v>177.710093</v>
      </c>
      <c r="E471" s="2">
        <v>153.425096</v>
      </c>
      <c r="F471" s="2">
        <v>220.375157</v>
      </c>
      <c r="G471" s="2">
        <v>257.26754</v>
      </c>
      <c r="H471" s="2">
        <v>245.718052</v>
      </c>
      <c r="I471" s="2">
        <v>217.316978</v>
      </c>
      <c r="J471" s="2">
        <v>268.350386</v>
      </c>
      <c r="K471" s="2">
        <v>372.988006</v>
      </c>
      <c r="L471" s="2">
        <v>306.202539</v>
      </c>
      <c r="M471" s="2">
        <v>243.571039</v>
      </c>
      <c r="N471" s="2">
        <v>181.095757</v>
      </c>
      <c r="O471" s="2">
        <v>2805.7024899999997</v>
      </c>
    </row>
    <row r="472" spans="1:15" ht="15.75">
      <c r="A472" s="1" t="s">
        <v>144</v>
      </c>
      <c r="B472" s="2">
        <v>660</v>
      </c>
      <c r="C472" s="2">
        <v>222.46076</v>
      </c>
      <c r="D472" s="2">
        <v>185.433118</v>
      </c>
      <c r="E472" s="2">
        <v>226.755504</v>
      </c>
      <c r="F472" s="2">
        <v>176.028207</v>
      </c>
      <c r="G472" s="2">
        <v>265.170256</v>
      </c>
      <c r="H472" s="2">
        <v>242.3423</v>
      </c>
      <c r="I472" s="2">
        <v>264.445147</v>
      </c>
      <c r="J472" s="2">
        <v>303.613508</v>
      </c>
      <c r="K472" s="2">
        <v>267.791807</v>
      </c>
      <c r="L472" s="2">
        <v>229.719874</v>
      </c>
      <c r="M472" s="2">
        <v>215.838481</v>
      </c>
      <c r="N472" s="2">
        <v>201.113759</v>
      </c>
      <c r="O472" s="2">
        <v>2800.712721</v>
      </c>
    </row>
    <row r="473" spans="1:15" ht="15.75">
      <c r="A473" s="1" t="s">
        <v>144</v>
      </c>
      <c r="B473" s="2">
        <v>252</v>
      </c>
      <c r="C473" s="2">
        <v>199.578245</v>
      </c>
      <c r="D473" s="2">
        <v>174.01446</v>
      </c>
      <c r="E473" s="2">
        <v>173.289658</v>
      </c>
      <c r="F473" s="2">
        <v>203.3136</v>
      </c>
      <c r="G473" s="2">
        <v>165.158906</v>
      </c>
      <c r="H473" s="2">
        <v>281.600733</v>
      </c>
      <c r="I473" s="2">
        <v>384.739989</v>
      </c>
      <c r="J473" s="2">
        <v>329.624324</v>
      </c>
      <c r="K473" s="2">
        <v>256.799855</v>
      </c>
      <c r="L473" s="2">
        <v>217.421156</v>
      </c>
      <c r="M473" s="2">
        <v>193.374001</v>
      </c>
      <c r="N473" s="2">
        <v>209.149987</v>
      </c>
      <c r="O473" s="2">
        <v>2788.0649140000005</v>
      </c>
    </row>
    <row r="474" spans="1:15" ht="15.75">
      <c r="A474" s="1" t="s">
        <v>144</v>
      </c>
      <c r="B474" s="2">
        <v>252</v>
      </c>
      <c r="C474" s="2">
        <v>193.502191</v>
      </c>
      <c r="D474" s="2">
        <v>180.858563</v>
      </c>
      <c r="E474" s="2">
        <v>221.629606</v>
      </c>
      <c r="F474" s="2">
        <v>235.030828</v>
      </c>
      <c r="G474" s="2">
        <v>184.48045</v>
      </c>
      <c r="H474" s="2">
        <v>219.101329</v>
      </c>
      <c r="I474" s="2">
        <v>313.188566</v>
      </c>
      <c r="J474" s="2">
        <v>351.96284</v>
      </c>
      <c r="K474" s="2">
        <v>249.537137</v>
      </c>
      <c r="L474" s="2">
        <v>212.249849</v>
      </c>
      <c r="M474" s="2">
        <v>239.576861</v>
      </c>
      <c r="N474" s="2">
        <v>186.579636</v>
      </c>
      <c r="O474" s="2">
        <v>2787.697856</v>
      </c>
    </row>
    <row r="475" spans="1:15" ht="15.75">
      <c r="A475" s="1" t="s">
        <v>144</v>
      </c>
      <c r="B475" s="2">
        <v>660</v>
      </c>
      <c r="C475" s="2">
        <v>258.196973</v>
      </c>
      <c r="D475" s="2">
        <v>241.956206</v>
      </c>
      <c r="E475" s="2">
        <v>236.071981</v>
      </c>
      <c r="F475" s="2">
        <v>201.544265</v>
      </c>
      <c r="G475" s="2">
        <v>206.184319</v>
      </c>
      <c r="H475" s="2">
        <v>220.246008</v>
      </c>
      <c r="I475" s="2">
        <v>231.608652</v>
      </c>
      <c r="J475" s="2">
        <v>235.955516</v>
      </c>
      <c r="K475" s="2">
        <v>221.335868</v>
      </c>
      <c r="L475" s="2">
        <v>218.458754</v>
      </c>
      <c r="M475" s="2">
        <v>265.867299</v>
      </c>
      <c r="N475" s="2">
        <v>237.305793</v>
      </c>
      <c r="O475" s="2">
        <v>2774.7316339999998</v>
      </c>
    </row>
    <row r="476" spans="1:15" ht="15.75">
      <c r="A476" s="1" t="s">
        <v>144</v>
      </c>
      <c r="B476" s="2">
        <v>252</v>
      </c>
      <c r="C476" s="2">
        <v>202.088492</v>
      </c>
      <c r="D476" s="2">
        <v>181.447157</v>
      </c>
      <c r="E476" s="2">
        <v>186.248395</v>
      </c>
      <c r="F476" s="2">
        <v>185.592241</v>
      </c>
      <c r="G476" s="2">
        <v>230.464633</v>
      </c>
      <c r="H476" s="2">
        <v>268.088593</v>
      </c>
      <c r="I476" s="2">
        <v>310.7662</v>
      </c>
      <c r="J476" s="2">
        <v>274.94784</v>
      </c>
      <c r="K476" s="2">
        <v>230.614992</v>
      </c>
      <c r="L476" s="2">
        <v>235.160173</v>
      </c>
      <c r="M476" s="2">
        <v>253.527507</v>
      </c>
      <c r="N476" s="2">
        <v>214.196167</v>
      </c>
      <c r="O476" s="2">
        <v>2773.14239</v>
      </c>
    </row>
    <row r="477" spans="1:15" ht="15.75">
      <c r="A477" s="1" t="s">
        <v>144</v>
      </c>
      <c r="B477" s="2">
        <v>252</v>
      </c>
      <c r="C477" s="2">
        <v>150.072498</v>
      </c>
      <c r="D477" s="2">
        <v>136.288078</v>
      </c>
      <c r="E477" s="2">
        <v>175.097149</v>
      </c>
      <c r="F477" s="2">
        <v>150.744954</v>
      </c>
      <c r="G477" s="2">
        <v>252.383255</v>
      </c>
      <c r="H477" s="2">
        <v>266.688148</v>
      </c>
      <c r="I477" s="2">
        <v>275.662952</v>
      </c>
      <c r="J477" s="2">
        <v>477.507799</v>
      </c>
      <c r="K477" s="2">
        <v>264.892756</v>
      </c>
      <c r="L477" s="2">
        <v>265.83978</v>
      </c>
      <c r="M477" s="2">
        <v>178.214568</v>
      </c>
      <c r="N477" s="2">
        <v>176.925178</v>
      </c>
      <c r="O477" s="2">
        <v>2770.317115</v>
      </c>
    </row>
    <row r="478" spans="1:15" ht="15.75">
      <c r="A478" s="1" t="s">
        <v>144</v>
      </c>
      <c r="B478" s="2">
        <v>660</v>
      </c>
      <c r="C478" s="2">
        <v>198.490356</v>
      </c>
      <c r="D478" s="2">
        <v>171.892371</v>
      </c>
      <c r="E478" s="2">
        <v>195.753589</v>
      </c>
      <c r="F478" s="2">
        <v>217.964756</v>
      </c>
      <c r="G478" s="2">
        <v>196.641608</v>
      </c>
      <c r="H478" s="2">
        <v>224.525469</v>
      </c>
      <c r="I478" s="2">
        <v>331.457102</v>
      </c>
      <c r="J478" s="2">
        <v>262.855812</v>
      </c>
      <c r="K478" s="2">
        <v>263.773984</v>
      </c>
      <c r="L478" s="2">
        <v>251.30302</v>
      </c>
      <c r="M478" s="2">
        <v>217.824201</v>
      </c>
      <c r="N478" s="2">
        <v>225.399959</v>
      </c>
      <c r="O478" s="2">
        <v>2757.8822269999996</v>
      </c>
    </row>
    <row r="479" spans="1:15" ht="15.75">
      <c r="A479" s="1" t="s">
        <v>144</v>
      </c>
      <c r="B479" s="2">
        <v>660</v>
      </c>
      <c r="C479" s="2">
        <v>218.292687</v>
      </c>
      <c r="D479" s="2">
        <v>196.093485</v>
      </c>
      <c r="E479" s="2">
        <v>214.054933</v>
      </c>
      <c r="F479" s="2">
        <v>219.912291</v>
      </c>
      <c r="G479" s="2">
        <v>247.542594</v>
      </c>
      <c r="H479" s="2">
        <v>241.728011</v>
      </c>
      <c r="I479" s="2">
        <v>309.908929</v>
      </c>
      <c r="J479" s="2">
        <v>248.90636</v>
      </c>
      <c r="K479" s="2">
        <v>245.241413</v>
      </c>
      <c r="L479" s="2">
        <v>194.107347</v>
      </c>
      <c r="M479" s="2">
        <v>207.610831</v>
      </c>
      <c r="N479" s="2">
        <v>207.409113</v>
      </c>
      <c r="O479" s="2">
        <v>2750.8079940000002</v>
      </c>
    </row>
    <row r="480" spans="1:15" ht="15.75">
      <c r="A480" s="1" t="s">
        <v>144</v>
      </c>
      <c r="B480" s="2">
        <v>660</v>
      </c>
      <c r="C480" s="2">
        <v>186.884101</v>
      </c>
      <c r="D480" s="2">
        <v>192.626248</v>
      </c>
      <c r="E480" s="2">
        <v>172.935436</v>
      </c>
      <c r="F480" s="2">
        <v>159.098554</v>
      </c>
      <c r="G480" s="2">
        <v>192.821891</v>
      </c>
      <c r="H480" s="2">
        <v>243.90536</v>
      </c>
      <c r="I480" s="2">
        <v>308.718585</v>
      </c>
      <c r="J480" s="2">
        <v>362.278263</v>
      </c>
      <c r="K480" s="2">
        <v>278.050586</v>
      </c>
      <c r="L480" s="2">
        <v>237.657419</v>
      </c>
      <c r="M480" s="2">
        <v>214.115094</v>
      </c>
      <c r="N480" s="2">
        <v>195.897837</v>
      </c>
      <c r="O480" s="2">
        <v>2744.989374</v>
      </c>
    </row>
    <row r="481" spans="1:15" ht="15.75">
      <c r="A481" s="1" t="s">
        <v>144</v>
      </c>
      <c r="B481" s="2">
        <v>252</v>
      </c>
      <c r="C481" s="2">
        <v>185.419787</v>
      </c>
      <c r="D481" s="2">
        <v>170.090627</v>
      </c>
      <c r="E481" s="2">
        <v>187.318619</v>
      </c>
      <c r="F481" s="2">
        <v>165.065724</v>
      </c>
      <c r="G481" s="2">
        <v>245.012979</v>
      </c>
      <c r="H481" s="2">
        <v>247.817117</v>
      </c>
      <c r="I481" s="2">
        <v>300.250611</v>
      </c>
      <c r="J481" s="2">
        <v>325.86396</v>
      </c>
      <c r="K481" s="2">
        <v>248.328073</v>
      </c>
      <c r="L481" s="2">
        <v>221.656509</v>
      </c>
      <c r="M481" s="2">
        <v>219.555216</v>
      </c>
      <c r="N481" s="2">
        <v>217.779508</v>
      </c>
      <c r="O481" s="2">
        <v>2734.15873</v>
      </c>
    </row>
    <row r="482" spans="1:15" ht="15.75">
      <c r="A482" s="1" t="s">
        <v>144</v>
      </c>
      <c r="B482" s="2">
        <v>660</v>
      </c>
      <c r="C482" s="2">
        <v>186.604355</v>
      </c>
      <c r="D482" s="2">
        <v>185.645237</v>
      </c>
      <c r="E482" s="2">
        <v>194.256024</v>
      </c>
      <c r="F482" s="2">
        <v>169.335264</v>
      </c>
      <c r="G482" s="2">
        <v>221.561936</v>
      </c>
      <c r="H482" s="2">
        <v>239.26563</v>
      </c>
      <c r="I482" s="2">
        <v>327.345994</v>
      </c>
      <c r="J482" s="2">
        <v>349.148152</v>
      </c>
      <c r="K482" s="2">
        <v>190.727767</v>
      </c>
      <c r="L482" s="2">
        <v>242.555798</v>
      </c>
      <c r="M482" s="2">
        <v>227.560029</v>
      </c>
      <c r="N482" s="2">
        <v>190.980874</v>
      </c>
      <c r="O482" s="2">
        <v>2724.9870599999995</v>
      </c>
    </row>
    <row r="483" spans="1:15" ht="15.75">
      <c r="A483" s="1" t="s">
        <v>144</v>
      </c>
      <c r="B483" s="2">
        <v>660</v>
      </c>
      <c r="C483" s="2">
        <v>157.578363</v>
      </c>
      <c r="D483" s="2">
        <v>130.986876</v>
      </c>
      <c r="E483" s="2">
        <v>139.3693</v>
      </c>
      <c r="F483" s="2">
        <v>192.746542</v>
      </c>
      <c r="G483" s="2">
        <v>246.290177</v>
      </c>
      <c r="H483" s="2">
        <v>261.988928</v>
      </c>
      <c r="I483" s="2">
        <v>461.236289</v>
      </c>
      <c r="J483" s="2">
        <v>393.035506</v>
      </c>
      <c r="K483" s="2">
        <v>224.240354</v>
      </c>
      <c r="L483" s="2">
        <v>220.67646</v>
      </c>
      <c r="M483" s="2">
        <v>131.999999</v>
      </c>
      <c r="N483" s="2">
        <v>153.528041</v>
      </c>
      <c r="O483" s="2">
        <v>2713.676835</v>
      </c>
    </row>
    <row r="484" spans="1:15" ht="15.75">
      <c r="A484" s="1" t="s">
        <v>144</v>
      </c>
      <c r="B484" s="2">
        <v>252</v>
      </c>
      <c r="C484" s="2">
        <v>203.988185</v>
      </c>
      <c r="D484" s="2">
        <v>173.438892</v>
      </c>
      <c r="E484" s="2">
        <v>188.381135</v>
      </c>
      <c r="F484" s="2">
        <v>174.295418</v>
      </c>
      <c r="G484" s="2">
        <v>225.365725</v>
      </c>
      <c r="H484" s="2">
        <v>237.638476</v>
      </c>
      <c r="I484" s="2">
        <v>296.0952</v>
      </c>
      <c r="J484" s="2">
        <v>287.038195</v>
      </c>
      <c r="K484" s="2">
        <v>277.527529</v>
      </c>
      <c r="L484" s="2">
        <v>248.05087</v>
      </c>
      <c r="M484" s="2">
        <v>212.284339</v>
      </c>
      <c r="N484" s="2">
        <v>177.895647</v>
      </c>
      <c r="O484" s="2">
        <v>2701.9996109999997</v>
      </c>
    </row>
    <row r="485" spans="1:15" ht="15.75">
      <c r="A485" s="1" t="s">
        <v>144</v>
      </c>
      <c r="B485" s="2">
        <v>252</v>
      </c>
      <c r="C485" s="2">
        <v>212.728506</v>
      </c>
      <c r="D485" s="2">
        <v>179.74682</v>
      </c>
      <c r="E485" s="2">
        <v>203.192553</v>
      </c>
      <c r="F485" s="2">
        <v>201.994329</v>
      </c>
      <c r="G485" s="2">
        <v>220.737175</v>
      </c>
      <c r="H485" s="2">
        <v>190.199059</v>
      </c>
      <c r="I485" s="2">
        <v>188.484598</v>
      </c>
      <c r="J485" s="2">
        <v>226.645685</v>
      </c>
      <c r="K485" s="2">
        <v>250.680455</v>
      </c>
      <c r="L485" s="2">
        <v>260.828494</v>
      </c>
      <c r="M485" s="2">
        <v>315.630292</v>
      </c>
      <c r="N485" s="2">
        <v>239.431904</v>
      </c>
      <c r="O485" s="2">
        <v>2690.29987</v>
      </c>
    </row>
    <row r="486" spans="1:15" ht="15.75">
      <c r="A486" s="1" t="s">
        <v>144</v>
      </c>
      <c r="B486" s="2">
        <v>660</v>
      </c>
      <c r="C486" s="2">
        <v>116.253396</v>
      </c>
      <c r="D486" s="2">
        <v>68.258969</v>
      </c>
      <c r="E486" s="2">
        <v>116.127595</v>
      </c>
      <c r="F486" s="2">
        <v>121.664398</v>
      </c>
      <c r="G486" s="2">
        <v>256.277069</v>
      </c>
      <c r="H486" s="2">
        <v>282.395795</v>
      </c>
      <c r="I486" s="2">
        <v>353.54221</v>
      </c>
      <c r="J486" s="2">
        <v>422.05677</v>
      </c>
      <c r="K486" s="2">
        <v>295.523916</v>
      </c>
      <c r="L486" s="2">
        <v>238.328027</v>
      </c>
      <c r="M486" s="2">
        <v>256.385584</v>
      </c>
      <c r="N486" s="2">
        <v>158.466043</v>
      </c>
      <c r="O486" s="2">
        <v>2685.279772</v>
      </c>
    </row>
    <row r="487" spans="1:15" ht="15.75">
      <c r="A487" s="1" t="s">
        <v>144</v>
      </c>
      <c r="B487" s="2">
        <v>660</v>
      </c>
      <c r="C487" s="2">
        <v>158.51254</v>
      </c>
      <c r="D487" s="2">
        <v>158.676101</v>
      </c>
      <c r="E487" s="2">
        <v>201.263577</v>
      </c>
      <c r="F487" s="2">
        <v>170.343108</v>
      </c>
      <c r="G487" s="2">
        <v>220.306499</v>
      </c>
      <c r="H487" s="2">
        <v>248.216511</v>
      </c>
      <c r="I487" s="2">
        <v>334.822673</v>
      </c>
      <c r="J487" s="2">
        <v>323.189738</v>
      </c>
      <c r="K487" s="2">
        <v>261.327707</v>
      </c>
      <c r="L487" s="2">
        <v>232.03129</v>
      </c>
      <c r="M487" s="2">
        <v>170.048834</v>
      </c>
      <c r="N487" s="2">
        <v>204.259928</v>
      </c>
      <c r="O487" s="2">
        <v>2682.998506</v>
      </c>
    </row>
    <row r="488" spans="1:15" ht="15.75">
      <c r="A488" s="1" t="s">
        <v>144</v>
      </c>
      <c r="B488" s="2">
        <v>252</v>
      </c>
      <c r="C488" s="2">
        <v>219.86816</v>
      </c>
      <c r="D488" s="2">
        <v>160.534059</v>
      </c>
      <c r="E488" s="2">
        <v>210.022433</v>
      </c>
      <c r="F488" s="2">
        <v>148.291547</v>
      </c>
      <c r="G488" s="2">
        <v>186.954429</v>
      </c>
      <c r="H488" s="2">
        <v>219.673782</v>
      </c>
      <c r="I488" s="2">
        <v>338.699136</v>
      </c>
      <c r="J488" s="2">
        <v>284.66594</v>
      </c>
      <c r="K488" s="2">
        <v>256.712831</v>
      </c>
      <c r="L488" s="2">
        <v>219.835916</v>
      </c>
      <c r="M488" s="2">
        <v>214.128168</v>
      </c>
      <c r="N488" s="2">
        <v>205.318165</v>
      </c>
      <c r="O488" s="2">
        <v>2664.704566000001</v>
      </c>
    </row>
    <row r="489" spans="1:15" ht="15.75">
      <c r="A489" s="1" t="s">
        <v>144</v>
      </c>
      <c r="B489" s="2">
        <v>660</v>
      </c>
      <c r="C489" s="2">
        <v>101.102536</v>
      </c>
      <c r="D489" s="2">
        <v>20.729388</v>
      </c>
      <c r="E489" s="2">
        <v>881.683827</v>
      </c>
      <c r="F489" s="2">
        <v>148.095394</v>
      </c>
      <c r="G489" s="2">
        <v>187.738646</v>
      </c>
      <c r="H489" s="2">
        <v>169.955324</v>
      </c>
      <c r="I489" s="2">
        <v>271.228945</v>
      </c>
      <c r="J489" s="2">
        <v>236.639979</v>
      </c>
      <c r="K489" s="2">
        <v>176.93738</v>
      </c>
      <c r="L489" s="2">
        <v>158.163638</v>
      </c>
      <c r="M489" s="2">
        <v>173.30452</v>
      </c>
      <c r="N489" s="2">
        <v>135.148621</v>
      </c>
      <c r="O489" s="2">
        <v>2660.728198</v>
      </c>
    </row>
    <row r="490" spans="1:15" ht="15.75">
      <c r="A490" s="1" t="s">
        <v>144</v>
      </c>
      <c r="B490" s="2">
        <v>660</v>
      </c>
      <c r="C490" s="2">
        <v>406.986674</v>
      </c>
      <c r="D490" s="2">
        <v>313.760613</v>
      </c>
      <c r="E490" s="2">
        <v>281.269891</v>
      </c>
      <c r="F490" s="2">
        <v>7.293577</v>
      </c>
      <c r="G490" s="2">
        <v>15.260461</v>
      </c>
      <c r="H490" s="2">
        <v>77.40244</v>
      </c>
      <c r="I490" s="2">
        <v>111.523061</v>
      </c>
      <c r="J490" s="2">
        <v>111.513524</v>
      </c>
      <c r="K490" s="2">
        <v>69.498661</v>
      </c>
      <c r="L490" s="2">
        <v>39.380122</v>
      </c>
      <c r="M490" s="2">
        <v>319.777877</v>
      </c>
      <c r="N490" s="2">
        <v>902.559557</v>
      </c>
      <c r="O490" s="2">
        <v>2656.226458</v>
      </c>
    </row>
    <row r="491" spans="1:15" ht="15.75">
      <c r="A491" s="1" t="s">
        <v>144</v>
      </c>
      <c r="B491" s="2">
        <v>660</v>
      </c>
      <c r="C491" s="2">
        <v>201.250328</v>
      </c>
      <c r="D491" s="2">
        <v>162.193442</v>
      </c>
      <c r="E491" s="2">
        <v>201.808942</v>
      </c>
      <c r="F491" s="2">
        <v>153.251237</v>
      </c>
      <c r="G491" s="2">
        <v>250.388833</v>
      </c>
      <c r="H491" s="2">
        <v>241.924576</v>
      </c>
      <c r="I491" s="2">
        <v>274.153214</v>
      </c>
      <c r="J491" s="2">
        <v>269.526449</v>
      </c>
      <c r="K491" s="2">
        <v>237.042494</v>
      </c>
      <c r="L491" s="2">
        <v>238.586076</v>
      </c>
      <c r="M491" s="2">
        <v>235.241592</v>
      </c>
      <c r="N491" s="2">
        <v>177.418891</v>
      </c>
      <c r="O491" s="2">
        <v>2642.786073999999</v>
      </c>
    </row>
    <row r="492" spans="1:15" ht="15.75">
      <c r="A492" s="1" t="s">
        <v>144</v>
      </c>
      <c r="B492" s="2">
        <v>660</v>
      </c>
      <c r="C492" s="2">
        <v>189.925514</v>
      </c>
      <c r="D492" s="2">
        <v>201.882763</v>
      </c>
      <c r="E492" s="2">
        <v>175.056452</v>
      </c>
      <c r="F492" s="2">
        <v>189.497546</v>
      </c>
      <c r="G492" s="2">
        <v>225.354791</v>
      </c>
      <c r="H492" s="2">
        <v>251.227748</v>
      </c>
      <c r="I492" s="2">
        <v>318.348494</v>
      </c>
      <c r="J492" s="2">
        <v>250.262423</v>
      </c>
      <c r="K492" s="2">
        <v>234.044448</v>
      </c>
      <c r="L492" s="2">
        <v>216.018263</v>
      </c>
      <c r="M492" s="2">
        <v>217.36845</v>
      </c>
      <c r="N492" s="2">
        <v>171.146369</v>
      </c>
      <c r="O492" s="2">
        <v>2640.133261</v>
      </c>
    </row>
    <row r="493" spans="1:15" ht="15.75">
      <c r="A493" s="1" t="s">
        <v>144</v>
      </c>
      <c r="B493" s="2">
        <v>252</v>
      </c>
      <c r="C493" s="2">
        <v>132.708695</v>
      </c>
      <c r="D493" s="2">
        <v>119.014273</v>
      </c>
      <c r="E493" s="2">
        <v>124.298512</v>
      </c>
      <c r="F493" s="2">
        <v>181.209072</v>
      </c>
      <c r="G493" s="2">
        <v>174.440736</v>
      </c>
      <c r="H493" s="2">
        <v>200.402681</v>
      </c>
      <c r="I493" s="2">
        <v>377.144979</v>
      </c>
      <c r="J493" s="2">
        <v>323.295687</v>
      </c>
      <c r="K493" s="2">
        <v>264.653084</v>
      </c>
      <c r="L493" s="2">
        <v>290.367606</v>
      </c>
      <c r="M493" s="2">
        <v>270.408776</v>
      </c>
      <c r="N493" s="2">
        <v>180.338579</v>
      </c>
      <c r="O493" s="2">
        <v>2638.2826800000003</v>
      </c>
    </row>
    <row r="494" spans="1:15" ht="15.75">
      <c r="A494" s="1" t="s">
        <v>144</v>
      </c>
      <c r="B494" s="2">
        <v>660</v>
      </c>
      <c r="C494" s="2">
        <v>232.363897</v>
      </c>
      <c r="D494" s="2">
        <v>182.337509</v>
      </c>
      <c r="E494" s="2">
        <v>214.91222</v>
      </c>
      <c r="F494" s="2">
        <v>161.549217</v>
      </c>
      <c r="G494" s="2">
        <v>231.488072</v>
      </c>
      <c r="H494" s="2">
        <v>237.896872</v>
      </c>
      <c r="I494" s="2">
        <v>281.703769</v>
      </c>
      <c r="J494" s="2">
        <v>255.58587</v>
      </c>
      <c r="K494" s="2">
        <v>219.957467</v>
      </c>
      <c r="L494" s="2">
        <v>223.994383</v>
      </c>
      <c r="M494" s="2">
        <v>209.260861</v>
      </c>
      <c r="N494" s="2">
        <v>181.229846</v>
      </c>
      <c r="O494" s="2">
        <v>2632.2799830000004</v>
      </c>
    </row>
    <row r="495" spans="1:15" ht="15.75">
      <c r="A495" s="1" t="s">
        <v>144</v>
      </c>
      <c r="B495" s="2">
        <v>252</v>
      </c>
      <c r="C495" s="2">
        <v>178.73847</v>
      </c>
      <c r="D495" s="2">
        <v>166.298945</v>
      </c>
      <c r="E495" s="2">
        <v>141.797266</v>
      </c>
      <c r="F495" s="2">
        <v>174.203446</v>
      </c>
      <c r="G495" s="2">
        <v>186.305917</v>
      </c>
      <c r="H495" s="2">
        <v>276.224778</v>
      </c>
      <c r="I495" s="2">
        <v>341.595612</v>
      </c>
      <c r="J495" s="2">
        <v>336.03955</v>
      </c>
      <c r="K495" s="2">
        <v>239.620358</v>
      </c>
      <c r="L495" s="2">
        <v>211.824196</v>
      </c>
      <c r="M495" s="2">
        <v>182.041802</v>
      </c>
      <c r="N495" s="2">
        <v>196.117335</v>
      </c>
      <c r="O495" s="2">
        <v>2630.8076750000005</v>
      </c>
    </row>
    <row r="496" spans="1:15" ht="15.75">
      <c r="A496" s="1" t="s">
        <v>144</v>
      </c>
      <c r="B496" s="2">
        <v>252</v>
      </c>
      <c r="C496" s="2">
        <v>145.329509</v>
      </c>
      <c r="D496" s="2">
        <v>117.684246</v>
      </c>
      <c r="E496" s="2">
        <v>121.69721</v>
      </c>
      <c r="F496" s="2">
        <v>186.250083</v>
      </c>
      <c r="G496" s="2">
        <v>187.757326</v>
      </c>
      <c r="H496" s="2">
        <v>291.637029</v>
      </c>
      <c r="I496" s="2">
        <v>441.065048</v>
      </c>
      <c r="J496" s="2">
        <v>345.923896</v>
      </c>
      <c r="K496" s="2">
        <v>271.472333</v>
      </c>
      <c r="L496" s="2">
        <v>242.569295</v>
      </c>
      <c r="M496" s="2">
        <v>143.049873</v>
      </c>
      <c r="N496" s="2">
        <v>135.107751</v>
      </c>
      <c r="O496" s="2">
        <v>2629.543599</v>
      </c>
    </row>
    <row r="497" spans="1:15" ht="15.75">
      <c r="A497" s="1" t="s">
        <v>144</v>
      </c>
      <c r="B497" s="2">
        <v>660</v>
      </c>
      <c r="C497" s="2">
        <v>126.592433</v>
      </c>
      <c r="D497" s="2">
        <v>134.070913</v>
      </c>
      <c r="E497" s="2">
        <v>137.762491</v>
      </c>
      <c r="F497" s="2">
        <v>156.725119</v>
      </c>
      <c r="G497" s="2">
        <v>221.024272</v>
      </c>
      <c r="H497" s="2">
        <v>227.54983</v>
      </c>
      <c r="I497" s="2">
        <v>390.492985</v>
      </c>
      <c r="J497" s="2">
        <v>320.241685</v>
      </c>
      <c r="K497" s="2">
        <v>279.798514</v>
      </c>
      <c r="L497" s="2">
        <v>237.378135</v>
      </c>
      <c r="M497" s="2">
        <v>207.08063</v>
      </c>
      <c r="N497" s="2">
        <v>190.046669</v>
      </c>
      <c r="O497" s="2">
        <v>2628.7636759999996</v>
      </c>
    </row>
    <row r="498" spans="1:15" ht="15.75">
      <c r="A498" s="1" t="s">
        <v>144</v>
      </c>
      <c r="B498" s="2">
        <v>252</v>
      </c>
      <c r="C498" s="2">
        <v>188.53379</v>
      </c>
      <c r="D498" s="2">
        <v>166.034886</v>
      </c>
      <c r="E498" s="2">
        <v>167.924952</v>
      </c>
      <c r="F498" s="2">
        <v>154.632332</v>
      </c>
      <c r="G498" s="2">
        <v>224.477266</v>
      </c>
      <c r="H498" s="2">
        <v>231.035455</v>
      </c>
      <c r="I498" s="2">
        <v>296.24923</v>
      </c>
      <c r="J498" s="2">
        <v>354.481442</v>
      </c>
      <c r="K498" s="2">
        <v>248.166234</v>
      </c>
      <c r="L498" s="2">
        <v>207.677775</v>
      </c>
      <c r="M498" s="2">
        <v>201.313028</v>
      </c>
      <c r="N498" s="2">
        <v>185.393238</v>
      </c>
      <c r="O498" s="2">
        <v>2625.919628</v>
      </c>
    </row>
    <row r="499" spans="1:15" ht="15.75">
      <c r="A499" s="1" t="s">
        <v>144</v>
      </c>
      <c r="B499" s="2">
        <v>252</v>
      </c>
      <c r="C499" s="2">
        <v>160.291925</v>
      </c>
      <c r="D499" s="2">
        <v>136.315129</v>
      </c>
      <c r="E499" s="2">
        <v>118.660356</v>
      </c>
      <c r="F499" s="2">
        <v>152.645165</v>
      </c>
      <c r="G499" s="2">
        <v>227.129052</v>
      </c>
      <c r="H499" s="2">
        <v>320.253674</v>
      </c>
      <c r="I499" s="2">
        <v>355.037949</v>
      </c>
      <c r="J499" s="2">
        <v>319.392463</v>
      </c>
      <c r="K499" s="2">
        <v>231.774631</v>
      </c>
      <c r="L499" s="2">
        <v>244.629853</v>
      </c>
      <c r="M499" s="2">
        <v>200.813947</v>
      </c>
      <c r="N499" s="2">
        <v>158.31032</v>
      </c>
      <c r="O499" s="2">
        <v>2625.254464</v>
      </c>
    </row>
    <row r="500" spans="1:15" ht="15.75">
      <c r="A500" s="1" t="s">
        <v>144</v>
      </c>
      <c r="B500" s="2">
        <v>252</v>
      </c>
      <c r="C500" s="2">
        <v>174.263568</v>
      </c>
      <c r="D500" s="2">
        <v>172.369684</v>
      </c>
      <c r="E500" s="2">
        <v>202.913862</v>
      </c>
      <c r="F500" s="2">
        <v>150.42442</v>
      </c>
      <c r="G500" s="2">
        <v>223.591016</v>
      </c>
      <c r="H500" s="2">
        <v>224.57728</v>
      </c>
      <c r="I500" s="2">
        <v>285.589216</v>
      </c>
      <c r="J500" s="2">
        <v>336.091868</v>
      </c>
      <c r="K500" s="2">
        <v>226.278355</v>
      </c>
      <c r="L500" s="2">
        <v>222.813963</v>
      </c>
      <c r="M500" s="2">
        <v>206.868124</v>
      </c>
      <c r="N500" s="2">
        <v>194.088412</v>
      </c>
      <c r="O500" s="2">
        <v>2619.869768</v>
      </c>
    </row>
    <row r="501" spans="1:15" ht="15.75">
      <c r="A501" s="1" t="s">
        <v>144</v>
      </c>
      <c r="B501" s="2">
        <v>660</v>
      </c>
      <c r="C501" s="2">
        <v>236.581572</v>
      </c>
      <c r="D501" s="2">
        <v>167.800194</v>
      </c>
      <c r="E501" s="2">
        <v>214.548746</v>
      </c>
      <c r="F501" s="2">
        <v>213.506341</v>
      </c>
      <c r="G501" s="2">
        <v>240.278684</v>
      </c>
      <c r="H501" s="2">
        <v>230.872423</v>
      </c>
      <c r="I501" s="2">
        <v>271.914542</v>
      </c>
      <c r="J501" s="2">
        <v>308.968</v>
      </c>
      <c r="K501" s="2">
        <v>235.123038</v>
      </c>
      <c r="L501" s="2">
        <v>195.646992</v>
      </c>
      <c r="M501" s="2">
        <v>182.214132</v>
      </c>
      <c r="N501" s="2">
        <v>122.396673</v>
      </c>
      <c r="O501" s="2">
        <v>2619.8513370000005</v>
      </c>
    </row>
    <row r="502" spans="1:15" ht="15.75">
      <c r="A502" s="1" t="s">
        <v>144</v>
      </c>
      <c r="B502" s="2">
        <v>660</v>
      </c>
      <c r="C502" s="2">
        <v>151.604648</v>
      </c>
      <c r="D502" s="2">
        <v>144.768264</v>
      </c>
      <c r="E502" s="2">
        <v>138.624552</v>
      </c>
      <c r="F502" s="2">
        <v>200.108311</v>
      </c>
      <c r="G502" s="2">
        <v>250.684342</v>
      </c>
      <c r="H502" s="2">
        <v>208.52885</v>
      </c>
      <c r="I502" s="2">
        <v>338.8355</v>
      </c>
      <c r="J502" s="2">
        <v>320.102555</v>
      </c>
      <c r="K502" s="2">
        <v>281.887467</v>
      </c>
      <c r="L502" s="2">
        <v>245.800355</v>
      </c>
      <c r="M502" s="2">
        <v>218.102028</v>
      </c>
      <c r="N502" s="2">
        <v>119.555826</v>
      </c>
      <c r="O502" s="2">
        <v>2618.6026979999992</v>
      </c>
    </row>
    <row r="503" spans="1:15" ht="15.75">
      <c r="A503" s="1" t="s">
        <v>144</v>
      </c>
      <c r="B503" s="2">
        <v>252</v>
      </c>
      <c r="C503" s="2">
        <v>151.310763</v>
      </c>
      <c r="D503" s="2">
        <v>157.546773</v>
      </c>
      <c r="E503" s="2">
        <v>159.102925</v>
      </c>
      <c r="F503" s="2">
        <v>192.260633</v>
      </c>
      <c r="G503" s="2">
        <v>226.011327</v>
      </c>
      <c r="H503" s="2">
        <v>257.791976</v>
      </c>
      <c r="I503" s="2">
        <v>335.358911</v>
      </c>
      <c r="J503" s="2">
        <v>280.030664</v>
      </c>
      <c r="K503" s="2">
        <v>228.370243</v>
      </c>
      <c r="L503" s="2">
        <v>249.004961</v>
      </c>
      <c r="M503" s="2">
        <v>202.57516</v>
      </c>
      <c r="N503" s="2">
        <v>176.355024</v>
      </c>
      <c r="O503" s="2">
        <v>2615.7193599999996</v>
      </c>
    </row>
    <row r="504" spans="1:15" ht="15.75">
      <c r="A504" s="1" t="s">
        <v>144</v>
      </c>
      <c r="B504" s="2">
        <v>660</v>
      </c>
      <c r="C504" s="2">
        <v>120.997715</v>
      </c>
      <c r="D504" s="2">
        <v>95.507525</v>
      </c>
      <c r="E504" s="2">
        <v>109.076393</v>
      </c>
      <c r="F504" s="2">
        <v>157.957473</v>
      </c>
      <c r="G504" s="2">
        <v>231.584142</v>
      </c>
      <c r="H504" s="2">
        <v>287.093829</v>
      </c>
      <c r="I504" s="2">
        <v>343.025148</v>
      </c>
      <c r="J504" s="2">
        <v>316.900181</v>
      </c>
      <c r="K504" s="2">
        <v>289.356727</v>
      </c>
      <c r="L504" s="2">
        <v>230.542097</v>
      </c>
      <c r="M504" s="2">
        <v>230.176438</v>
      </c>
      <c r="N504" s="2">
        <v>202.232256</v>
      </c>
      <c r="O504" s="2">
        <v>2614.4499239999996</v>
      </c>
    </row>
    <row r="505" spans="1:15" ht="15.75">
      <c r="A505" s="1" t="s">
        <v>144</v>
      </c>
      <c r="B505" s="2">
        <v>252</v>
      </c>
      <c r="C505" s="2">
        <v>185.473108</v>
      </c>
      <c r="D505" s="2">
        <v>168.726805</v>
      </c>
      <c r="E505" s="2">
        <v>217.907288</v>
      </c>
      <c r="F505" s="2">
        <v>174.391466</v>
      </c>
      <c r="G505" s="2">
        <v>194.954512</v>
      </c>
      <c r="H505" s="2">
        <v>228.952748</v>
      </c>
      <c r="I505" s="2">
        <v>244.392008</v>
      </c>
      <c r="J505" s="2">
        <v>324.276323</v>
      </c>
      <c r="K505" s="2">
        <v>233.22096</v>
      </c>
      <c r="L505" s="2">
        <v>208.420994</v>
      </c>
      <c r="M505" s="2">
        <v>223.201755</v>
      </c>
      <c r="N505" s="2">
        <v>207.8801</v>
      </c>
      <c r="O505" s="2">
        <v>2611.798067</v>
      </c>
    </row>
    <row r="506" spans="1:15" ht="15.75">
      <c r="A506" s="1" t="s">
        <v>144</v>
      </c>
      <c r="B506" s="2">
        <v>252</v>
      </c>
      <c r="C506" s="2">
        <v>163.428955</v>
      </c>
      <c r="D506" s="2">
        <v>147.668242</v>
      </c>
      <c r="E506" s="2">
        <v>173.682769</v>
      </c>
      <c r="F506" s="2">
        <v>134.026032</v>
      </c>
      <c r="G506" s="2">
        <v>215.265904</v>
      </c>
      <c r="H506" s="2">
        <v>251.885959</v>
      </c>
      <c r="I506" s="2">
        <v>323.213759</v>
      </c>
      <c r="J506" s="2">
        <v>319.298918</v>
      </c>
      <c r="K506" s="2">
        <v>265.581791</v>
      </c>
      <c r="L506" s="2">
        <v>237.636837</v>
      </c>
      <c r="M506" s="2">
        <v>207.501022</v>
      </c>
      <c r="N506" s="2">
        <v>171.911528</v>
      </c>
      <c r="O506" s="2">
        <v>2611.101716</v>
      </c>
    </row>
    <row r="507" spans="1:15" ht="15.75">
      <c r="A507" s="1" t="s">
        <v>144</v>
      </c>
      <c r="B507" s="2">
        <v>660</v>
      </c>
      <c r="C507" s="2">
        <v>180.355988</v>
      </c>
      <c r="D507" s="2">
        <v>218.208185</v>
      </c>
      <c r="E507" s="2">
        <v>198.98852</v>
      </c>
      <c r="F507" s="2">
        <v>196.926627</v>
      </c>
      <c r="G507" s="2">
        <v>207.308067</v>
      </c>
      <c r="H507" s="2">
        <v>239.987681</v>
      </c>
      <c r="I507" s="2">
        <v>240.965803</v>
      </c>
      <c r="J507" s="2">
        <v>265.105017</v>
      </c>
      <c r="K507" s="2">
        <v>219.409417</v>
      </c>
      <c r="L507" s="2">
        <v>218.682156</v>
      </c>
      <c r="M507" s="2">
        <v>230.38883</v>
      </c>
      <c r="N507" s="2">
        <v>184.984229</v>
      </c>
      <c r="O507" s="2">
        <v>2601.31052</v>
      </c>
    </row>
    <row r="508" spans="1:15" ht="15.75">
      <c r="A508" s="1" t="s">
        <v>144</v>
      </c>
      <c r="B508" s="2">
        <v>660</v>
      </c>
      <c r="C508" s="2">
        <v>199.686208</v>
      </c>
      <c r="D508" s="2">
        <v>173.825918</v>
      </c>
      <c r="E508" s="2">
        <v>176.721143</v>
      </c>
      <c r="F508" s="2">
        <v>180.090432</v>
      </c>
      <c r="G508" s="2">
        <v>215.641137</v>
      </c>
      <c r="H508" s="2">
        <v>235.784932</v>
      </c>
      <c r="I508" s="2">
        <v>321.021412</v>
      </c>
      <c r="J508" s="2">
        <v>264.885308</v>
      </c>
      <c r="K508" s="2">
        <v>219.988852</v>
      </c>
      <c r="L508" s="2">
        <v>228.981856</v>
      </c>
      <c r="M508" s="2">
        <v>204.678138</v>
      </c>
      <c r="N508" s="2">
        <v>173.373144</v>
      </c>
      <c r="O508" s="2">
        <v>2594.6784799999996</v>
      </c>
    </row>
    <row r="509" spans="1:15" ht="15.75">
      <c r="A509" s="1" t="s">
        <v>144</v>
      </c>
      <c r="B509" s="2">
        <v>660</v>
      </c>
      <c r="C509" s="2">
        <v>168.440328</v>
      </c>
      <c r="D509" s="2">
        <v>153.794316</v>
      </c>
      <c r="E509" s="2">
        <v>166.526402</v>
      </c>
      <c r="F509" s="2">
        <v>174.337763</v>
      </c>
      <c r="G509" s="2">
        <v>237.048357</v>
      </c>
      <c r="H509" s="2">
        <v>225.503897</v>
      </c>
      <c r="I509" s="2">
        <v>243.535672</v>
      </c>
      <c r="J509" s="2">
        <v>306.941107</v>
      </c>
      <c r="K509" s="2">
        <v>262.59705</v>
      </c>
      <c r="L509" s="2">
        <v>241.318054</v>
      </c>
      <c r="M509" s="2">
        <v>224.529057</v>
      </c>
      <c r="N509" s="2">
        <v>185.625882</v>
      </c>
      <c r="O509" s="2">
        <v>2590.197885</v>
      </c>
    </row>
    <row r="510" spans="1:15" ht="15.75">
      <c r="A510" s="1" t="s">
        <v>144</v>
      </c>
      <c r="B510" s="2">
        <v>660</v>
      </c>
      <c r="C510" s="2">
        <v>127.455371</v>
      </c>
      <c r="D510" s="2">
        <v>144.869196</v>
      </c>
      <c r="E510" s="2">
        <v>134.11995</v>
      </c>
      <c r="F510" s="2">
        <v>146.860204</v>
      </c>
      <c r="G510" s="2">
        <v>178.229032</v>
      </c>
      <c r="H510" s="2">
        <v>291.552514</v>
      </c>
      <c r="I510" s="2">
        <v>342.89469</v>
      </c>
      <c r="J510" s="2">
        <v>422.727385</v>
      </c>
      <c r="K510" s="2">
        <v>240.853171</v>
      </c>
      <c r="L510" s="2">
        <v>218.288607</v>
      </c>
      <c r="M510" s="2">
        <v>187.14422</v>
      </c>
      <c r="N510" s="2">
        <v>151.48485</v>
      </c>
      <c r="O510" s="2">
        <v>2586.47919</v>
      </c>
    </row>
    <row r="511" spans="1:15" ht="15.75">
      <c r="A511" s="1" t="s">
        <v>144</v>
      </c>
      <c r="B511" s="2">
        <v>252</v>
      </c>
      <c r="C511" s="2">
        <v>180.763676</v>
      </c>
      <c r="D511" s="2">
        <v>202.837617</v>
      </c>
      <c r="E511" s="2">
        <v>191.473023</v>
      </c>
      <c r="F511" s="2">
        <v>145.297321</v>
      </c>
      <c r="G511" s="2">
        <v>214.134392</v>
      </c>
      <c r="H511" s="2">
        <v>205.900019</v>
      </c>
      <c r="I511" s="2">
        <v>268.887999</v>
      </c>
      <c r="J511" s="2">
        <v>332.33778</v>
      </c>
      <c r="K511" s="2">
        <v>247.955786</v>
      </c>
      <c r="L511" s="2">
        <v>245.467569</v>
      </c>
      <c r="M511" s="2">
        <v>188.100696</v>
      </c>
      <c r="N511" s="2">
        <v>163.0091</v>
      </c>
      <c r="O511" s="2">
        <v>2586.164978</v>
      </c>
    </row>
    <row r="512" spans="1:15" ht="15.75">
      <c r="A512" s="1" t="s">
        <v>144</v>
      </c>
      <c r="B512" s="2">
        <v>660</v>
      </c>
      <c r="C512" s="2">
        <v>167.530482</v>
      </c>
      <c r="D512" s="2">
        <v>152.014657</v>
      </c>
      <c r="E512" s="2">
        <v>183.94197</v>
      </c>
      <c r="F512" s="2">
        <v>158.845977</v>
      </c>
      <c r="G512" s="2">
        <v>217.664391</v>
      </c>
      <c r="H512" s="2">
        <v>214.841122</v>
      </c>
      <c r="I512" s="2">
        <v>276.888422</v>
      </c>
      <c r="J512" s="2">
        <v>308.404376</v>
      </c>
      <c r="K512" s="2">
        <v>280.116838</v>
      </c>
      <c r="L512" s="2">
        <v>221.856673</v>
      </c>
      <c r="M512" s="2">
        <v>220.753764</v>
      </c>
      <c r="N512" s="2">
        <v>174.793748</v>
      </c>
      <c r="O512" s="2">
        <v>2577.6524200000003</v>
      </c>
    </row>
    <row r="513" spans="1:15" ht="15.75">
      <c r="A513" s="1" t="s">
        <v>144</v>
      </c>
      <c r="B513" s="2">
        <v>252</v>
      </c>
      <c r="C513" s="2">
        <v>147.408369</v>
      </c>
      <c r="D513" s="2">
        <v>141.344854</v>
      </c>
      <c r="E513" s="2">
        <v>159.702977</v>
      </c>
      <c r="F513" s="2">
        <v>132.420705</v>
      </c>
      <c r="G513" s="2">
        <v>192.221454</v>
      </c>
      <c r="H513" s="2">
        <v>248.294153</v>
      </c>
      <c r="I513" s="2">
        <v>329.096843</v>
      </c>
      <c r="J513" s="2">
        <v>355.94374</v>
      </c>
      <c r="K513" s="2">
        <v>269.319431</v>
      </c>
      <c r="L513" s="2">
        <v>226.089791</v>
      </c>
      <c r="M513" s="2">
        <v>219.439322</v>
      </c>
      <c r="N513" s="2">
        <v>153.126182</v>
      </c>
      <c r="O513" s="2">
        <v>2574.407821</v>
      </c>
    </row>
    <row r="514" spans="1:15" ht="15.75">
      <c r="A514" s="1" t="s">
        <v>144</v>
      </c>
      <c r="B514" s="2">
        <v>660</v>
      </c>
      <c r="C514" s="2">
        <v>132.930211</v>
      </c>
      <c r="D514" s="2">
        <v>118.703096</v>
      </c>
      <c r="E514" s="2">
        <v>160.300717</v>
      </c>
      <c r="F514" s="2">
        <v>174.343622</v>
      </c>
      <c r="G514" s="2">
        <v>211.816136</v>
      </c>
      <c r="H514" s="2">
        <v>263.176344</v>
      </c>
      <c r="I514" s="2">
        <v>383.829378</v>
      </c>
      <c r="J514" s="2">
        <v>306.286051</v>
      </c>
      <c r="K514" s="2">
        <v>259.935902</v>
      </c>
      <c r="L514" s="2">
        <v>263.761371</v>
      </c>
      <c r="M514" s="2">
        <v>159.520982</v>
      </c>
      <c r="N514" s="2">
        <v>137.215323</v>
      </c>
      <c r="O514" s="2">
        <v>2571.8191329999995</v>
      </c>
    </row>
    <row r="515" spans="1:15" ht="15.75">
      <c r="A515" s="1" t="s">
        <v>144</v>
      </c>
      <c r="B515" s="2">
        <v>252</v>
      </c>
      <c r="C515" s="2">
        <v>181.656612</v>
      </c>
      <c r="D515" s="2">
        <v>161.226746</v>
      </c>
      <c r="E515" s="2">
        <v>196.403339</v>
      </c>
      <c r="F515" s="2">
        <v>175.520832</v>
      </c>
      <c r="G515" s="2">
        <v>214.870499</v>
      </c>
      <c r="H515" s="2">
        <v>213.421069</v>
      </c>
      <c r="I515" s="2">
        <v>280.562867</v>
      </c>
      <c r="J515" s="2">
        <v>311.278332</v>
      </c>
      <c r="K515" s="2">
        <v>270.820074</v>
      </c>
      <c r="L515" s="2">
        <v>234.414911</v>
      </c>
      <c r="M515" s="2">
        <v>152.011328</v>
      </c>
      <c r="N515" s="2">
        <v>177.763858</v>
      </c>
      <c r="O515" s="2">
        <v>2569.9504669999997</v>
      </c>
    </row>
    <row r="516" spans="1:15" ht="15.75">
      <c r="A516" s="1" t="s">
        <v>144</v>
      </c>
      <c r="B516" s="2">
        <v>252</v>
      </c>
      <c r="C516" s="2">
        <v>184.113569</v>
      </c>
      <c r="D516" s="2">
        <v>158.132143</v>
      </c>
      <c r="E516" s="2">
        <v>158.830965</v>
      </c>
      <c r="F516" s="2">
        <v>164.129386</v>
      </c>
      <c r="G516" s="2">
        <v>200.776607</v>
      </c>
      <c r="H516" s="2">
        <v>259.723346</v>
      </c>
      <c r="I516" s="2">
        <v>370.977365</v>
      </c>
      <c r="J516" s="2">
        <v>287.044292</v>
      </c>
      <c r="K516" s="2">
        <v>212.132205</v>
      </c>
      <c r="L516" s="2">
        <v>217.038731</v>
      </c>
      <c r="M516" s="2">
        <v>176.929219</v>
      </c>
      <c r="N516" s="2">
        <v>179.465653</v>
      </c>
      <c r="O516" s="2">
        <v>2569.2934810000006</v>
      </c>
    </row>
    <row r="517" spans="1:15" ht="15.75">
      <c r="A517" s="1" t="s">
        <v>144</v>
      </c>
      <c r="B517" s="2">
        <v>252</v>
      </c>
      <c r="C517" s="2">
        <v>108.603794</v>
      </c>
      <c r="D517" s="2">
        <v>87.001171</v>
      </c>
      <c r="E517" s="2">
        <v>146.127547</v>
      </c>
      <c r="F517" s="2">
        <v>173.236065</v>
      </c>
      <c r="G517" s="2">
        <v>267.281863</v>
      </c>
      <c r="H517" s="2">
        <v>280.162355</v>
      </c>
      <c r="I517" s="2">
        <v>451.451475</v>
      </c>
      <c r="J517" s="2">
        <v>315.083055</v>
      </c>
      <c r="K517" s="2">
        <v>223.963858</v>
      </c>
      <c r="L517" s="2">
        <v>197.970888</v>
      </c>
      <c r="M517" s="2">
        <v>218.0835</v>
      </c>
      <c r="N517" s="2">
        <v>96.293205</v>
      </c>
      <c r="O517" s="2">
        <v>2565.258776</v>
      </c>
    </row>
    <row r="518" spans="1:15" ht="15.75">
      <c r="A518" s="1" t="s">
        <v>144</v>
      </c>
      <c r="B518" s="2">
        <v>660</v>
      </c>
      <c r="C518" s="2">
        <v>236.54691</v>
      </c>
      <c r="D518" s="2">
        <v>190.747255</v>
      </c>
      <c r="E518" s="2">
        <v>190.989054</v>
      </c>
      <c r="F518" s="2">
        <v>194.087338</v>
      </c>
      <c r="G518" s="2">
        <v>222.616111</v>
      </c>
      <c r="H518" s="2">
        <v>214.014245</v>
      </c>
      <c r="I518" s="2">
        <v>282.881747</v>
      </c>
      <c r="J518" s="2">
        <v>223.720244</v>
      </c>
      <c r="K518" s="2">
        <v>207.755465</v>
      </c>
      <c r="L518" s="2">
        <v>216.393879</v>
      </c>
      <c r="M518" s="2">
        <v>204.566091</v>
      </c>
      <c r="N518" s="2">
        <v>179.319717</v>
      </c>
      <c r="O518" s="2">
        <v>2563.6380560000002</v>
      </c>
    </row>
    <row r="519" spans="1:15" ht="15.75">
      <c r="A519" s="1" t="s">
        <v>144</v>
      </c>
      <c r="B519" s="2">
        <v>60</v>
      </c>
      <c r="C519" s="2">
        <v>169.193459</v>
      </c>
      <c r="D519" s="2">
        <v>137.29117</v>
      </c>
      <c r="E519" s="2">
        <v>170.959759</v>
      </c>
      <c r="F519" s="2">
        <v>160.385253</v>
      </c>
      <c r="G519" s="2">
        <v>234.020648</v>
      </c>
      <c r="H519" s="2">
        <v>230.699012</v>
      </c>
      <c r="I519" s="2">
        <v>273.011931</v>
      </c>
      <c r="J519" s="2">
        <v>287.62936</v>
      </c>
      <c r="K519" s="2">
        <v>252.639664</v>
      </c>
      <c r="L519" s="2">
        <v>229.63513</v>
      </c>
      <c r="M519" s="2">
        <v>226.007598</v>
      </c>
      <c r="N519" s="2">
        <v>187.786492</v>
      </c>
      <c r="O519" s="2">
        <v>2559.259476</v>
      </c>
    </row>
    <row r="520" spans="1:15" ht="15.75">
      <c r="A520" s="1" t="s">
        <v>144</v>
      </c>
      <c r="B520" s="2">
        <v>660</v>
      </c>
      <c r="C520" s="2">
        <v>116.641936</v>
      </c>
      <c r="D520" s="2">
        <v>128.141146</v>
      </c>
      <c r="E520" s="2">
        <v>156.207009</v>
      </c>
      <c r="F520" s="2">
        <v>205.053378</v>
      </c>
      <c r="G520" s="2">
        <v>227.177046</v>
      </c>
      <c r="H520" s="2">
        <v>227.481622</v>
      </c>
      <c r="I520" s="2">
        <v>319.210036</v>
      </c>
      <c r="J520" s="2">
        <v>284.143782</v>
      </c>
      <c r="K520" s="2">
        <v>261.859991</v>
      </c>
      <c r="L520" s="2">
        <v>280.104</v>
      </c>
      <c r="M520" s="2">
        <v>204.485209</v>
      </c>
      <c r="N520" s="2">
        <v>148.516955</v>
      </c>
      <c r="O520" s="2">
        <v>2559.02211</v>
      </c>
    </row>
    <row r="521" spans="1:15" ht="15.75">
      <c r="A521" s="1" t="s">
        <v>144</v>
      </c>
      <c r="B521" s="2">
        <v>660</v>
      </c>
      <c r="C521" s="2">
        <v>155.971225</v>
      </c>
      <c r="D521" s="2">
        <v>168.974416</v>
      </c>
      <c r="E521" s="2">
        <v>164.175148</v>
      </c>
      <c r="F521" s="2">
        <v>183.124606</v>
      </c>
      <c r="G521" s="2">
        <v>189.342997</v>
      </c>
      <c r="H521" s="2">
        <v>300.459578</v>
      </c>
      <c r="I521" s="2">
        <v>300.365639</v>
      </c>
      <c r="J521" s="2">
        <v>330.496575</v>
      </c>
      <c r="K521" s="2">
        <v>217.534123</v>
      </c>
      <c r="L521" s="2">
        <v>191.529967</v>
      </c>
      <c r="M521" s="2">
        <v>200.556985</v>
      </c>
      <c r="N521" s="2">
        <v>152.708906</v>
      </c>
      <c r="O521" s="2">
        <v>2555.240165</v>
      </c>
    </row>
    <row r="522" spans="1:15" ht="15.75">
      <c r="A522" s="1" t="s">
        <v>144</v>
      </c>
      <c r="B522" s="2">
        <v>660</v>
      </c>
      <c r="C522" s="2">
        <v>151.895418</v>
      </c>
      <c r="D522" s="2">
        <v>128.968268</v>
      </c>
      <c r="E522" s="2">
        <v>134.047003</v>
      </c>
      <c r="F522" s="2">
        <v>190.728157</v>
      </c>
      <c r="G522" s="2">
        <v>231.358421</v>
      </c>
      <c r="H522" s="2">
        <v>241.455868</v>
      </c>
      <c r="I522" s="2">
        <v>337.923914</v>
      </c>
      <c r="J522" s="2">
        <v>258.914272</v>
      </c>
      <c r="K522" s="2">
        <v>248.57209</v>
      </c>
      <c r="L522" s="2">
        <v>266.977191</v>
      </c>
      <c r="M522" s="2">
        <v>211.657243</v>
      </c>
      <c r="N522" s="2">
        <v>149.131364</v>
      </c>
      <c r="O522" s="2">
        <v>2551.629209</v>
      </c>
    </row>
    <row r="523" spans="1:15" ht="15.75">
      <c r="A523" s="1" t="s">
        <v>144</v>
      </c>
      <c r="B523" s="2">
        <v>660</v>
      </c>
      <c r="C523" s="2">
        <v>95.900445</v>
      </c>
      <c r="D523" s="2">
        <v>135.956161</v>
      </c>
      <c r="E523" s="2">
        <v>195.204453</v>
      </c>
      <c r="F523" s="2">
        <v>215.782538</v>
      </c>
      <c r="G523" s="2">
        <v>291.358918</v>
      </c>
      <c r="H523" s="2">
        <v>294.842995</v>
      </c>
      <c r="I523" s="2">
        <v>357.611389</v>
      </c>
      <c r="J523" s="2">
        <v>407.245997</v>
      </c>
      <c r="K523" s="2">
        <v>330.671281</v>
      </c>
      <c r="L523" s="2">
        <v>206.151024</v>
      </c>
      <c r="M523" s="2">
        <v>11.958032</v>
      </c>
      <c r="N523" s="2">
        <v>8.450898</v>
      </c>
      <c r="O523" s="2">
        <v>2551.1341310000003</v>
      </c>
    </row>
    <row r="524" spans="1:15" ht="15.75">
      <c r="A524" s="1" t="s">
        <v>144</v>
      </c>
      <c r="B524" s="2">
        <v>660</v>
      </c>
      <c r="C524" s="2">
        <v>179.60061</v>
      </c>
      <c r="D524" s="2">
        <v>130.926859</v>
      </c>
      <c r="E524" s="2">
        <v>147.572039</v>
      </c>
      <c r="F524" s="2">
        <v>192.658149</v>
      </c>
      <c r="G524" s="2">
        <v>192.900741</v>
      </c>
      <c r="H524" s="2">
        <v>236.826036</v>
      </c>
      <c r="I524" s="2">
        <v>291.715937</v>
      </c>
      <c r="J524" s="2">
        <v>296.990187</v>
      </c>
      <c r="K524" s="2">
        <v>288.833101</v>
      </c>
      <c r="L524" s="2">
        <v>182.372851</v>
      </c>
      <c r="M524" s="2">
        <v>220.509779</v>
      </c>
      <c r="N524" s="2">
        <v>187.381169</v>
      </c>
      <c r="O524" s="2">
        <v>2548.287458</v>
      </c>
    </row>
    <row r="525" spans="1:15" ht="15.75">
      <c r="A525" s="1" t="s">
        <v>144</v>
      </c>
      <c r="B525" s="2">
        <v>660</v>
      </c>
      <c r="C525" s="2">
        <v>160.954354</v>
      </c>
      <c r="D525" s="2">
        <v>132.66748</v>
      </c>
      <c r="E525" s="2">
        <v>165.521479</v>
      </c>
      <c r="F525" s="2">
        <v>152.824547</v>
      </c>
      <c r="G525" s="2">
        <v>185.846909</v>
      </c>
      <c r="H525" s="2">
        <v>209.047945</v>
      </c>
      <c r="I525" s="2">
        <v>428.949243</v>
      </c>
      <c r="J525" s="2">
        <v>284.700608</v>
      </c>
      <c r="K525" s="2">
        <v>230.316058</v>
      </c>
      <c r="L525" s="2">
        <v>195.218402</v>
      </c>
      <c r="M525" s="2">
        <v>206.095172</v>
      </c>
      <c r="N525" s="2">
        <v>187.94006</v>
      </c>
      <c r="O525" s="2">
        <v>2540.0822569999996</v>
      </c>
    </row>
    <row r="526" spans="1:15" ht="15.75">
      <c r="A526" s="1" t="s">
        <v>144</v>
      </c>
      <c r="B526" s="2">
        <v>660</v>
      </c>
      <c r="C526" s="2">
        <v>443.948295</v>
      </c>
      <c r="D526" s="2">
        <v>502.695948</v>
      </c>
      <c r="E526" s="2">
        <v>561.863943</v>
      </c>
      <c r="F526" s="2">
        <v>16.739943</v>
      </c>
      <c r="G526" s="2">
        <v>31.170134</v>
      </c>
      <c r="H526" s="2">
        <v>88.774547</v>
      </c>
      <c r="I526" s="2">
        <v>97.166447</v>
      </c>
      <c r="J526" s="2">
        <v>68.255848</v>
      </c>
      <c r="K526" s="2">
        <v>0.996328</v>
      </c>
      <c r="L526" s="2">
        <v>0.400877</v>
      </c>
      <c r="M526" s="2">
        <v>32.892522</v>
      </c>
      <c r="N526" s="2">
        <v>693.61905</v>
      </c>
      <c r="O526" s="2">
        <v>2538.5238820000004</v>
      </c>
    </row>
    <row r="527" spans="1:15" ht="15.75">
      <c r="A527" s="1" t="s">
        <v>144</v>
      </c>
      <c r="B527" s="2">
        <v>252</v>
      </c>
      <c r="C527" s="2">
        <v>175.87788</v>
      </c>
      <c r="D527" s="2">
        <v>162.284077</v>
      </c>
      <c r="E527" s="2">
        <v>183.727865</v>
      </c>
      <c r="F527" s="2">
        <v>194.696817</v>
      </c>
      <c r="G527" s="2">
        <v>207.380985</v>
      </c>
      <c r="H527" s="2">
        <v>207.441347</v>
      </c>
      <c r="I527" s="2">
        <v>298.622317</v>
      </c>
      <c r="J527" s="2">
        <v>292.682343</v>
      </c>
      <c r="K527" s="2">
        <v>231.115654</v>
      </c>
      <c r="L527" s="2">
        <v>203.386536</v>
      </c>
      <c r="M527" s="2">
        <v>221.487355</v>
      </c>
      <c r="N527" s="2">
        <v>155.00162</v>
      </c>
      <c r="O527" s="2">
        <v>2533.7047960000004</v>
      </c>
    </row>
    <row r="528" spans="1:15" ht="15.75">
      <c r="A528" s="1" t="s">
        <v>144</v>
      </c>
      <c r="B528" s="2">
        <v>252</v>
      </c>
      <c r="C528" s="2">
        <v>199.145944</v>
      </c>
      <c r="D528" s="2">
        <v>188.600107</v>
      </c>
      <c r="E528" s="2">
        <v>86.078539</v>
      </c>
      <c r="F528" s="2">
        <v>57.484533</v>
      </c>
      <c r="G528" s="2">
        <v>47.396099</v>
      </c>
      <c r="H528" s="2">
        <v>588.563076</v>
      </c>
      <c r="I528" s="2">
        <v>298.714201</v>
      </c>
      <c r="J528" s="2">
        <v>270.111855</v>
      </c>
      <c r="K528" s="2">
        <v>217.450006</v>
      </c>
      <c r="L528" s="2">
        <v>195.088808</v>
      </c>
      <c r="M528" s="2">
        <v>218.241099</v>
      </c>
      <c r="N528" s="2">
        <v>166.544294</v>
      </c>
      <c r="O528" s="2">
        <v>2533.4185609999995</v>
      </c>
    </row>
    <row r="529" spans="1:15" ht="15.75">
      <c r="A529" s="1" t="s">
        <v>144</v>
      </c>
      <c r="B529" s="2">
        <v>660</v>
      </c>
      <c r="C529" s="2">
        <v>196.369967</v>
      </c>
      <c r="D529" s="2">
        <v>173.949227</v>
      </c>
      <c r="E529" s="2">
        <v>202.968193</v>
      </c>
      <c r="F529" s="2">
        <v>191.887288</v>
      </c>
      <c r="G529" s="2">
        <v>236.955799</v>
      </c>
      <c r="H529" s="2">
        <v>221.693706</v>
      </c>
      <c r="I529" s="2">
        <v>281.895765</v>
      </c>
      <c r="J529" s="2">
        <v>281.020325</v>
      </c>
      <c r="K529" s="2">
        <v>191.708131</v>
      </c>
      <c r="L529" s="2">
        <v>181.067935</v>
      </c>
      <c r="M529" s="2">
        <v>200.543082</v>
      </c>
      <c r="N529" s="2">
        <v>172.236192</v>
      </c>
      <c r="O529" s="2">
        <v>2532.29561</v>
      </c>
    </row>
    <row r="530" spans="1:15" ht="15.75">
      <c r="A530" s="1" t="s">
        <v>144</v>
      </c>
      <c r="B530" s="2">
        <v>660</v>
      </c>
      <c r="C530" s="2">
        <v>177.950143</v>
      </c>
      <c r="D530" s="2">
        <v>185.842297</v>
      </c>
      <c r="E530" s="2">
        <v>182.383704</v>
      </c>
      <c r="F530" s="2">
        <v>175.71102</v>
      </c>
      <c r="G530" s="2">
        <v>181.574962</v>
      </c>
      <c r="H530" s="2">
        <v>240.705732</v>
      </c>
      <c r="I530" s="2">
        <v>302.836953</v>
      </c>
      <c r="J530" s="2">
        <v>251.20436</v>
      </c>
      <c r="K530" s="2">
        <v>205.016959</v>
      </c>
      <c r="L530" s="2">
        <v>205.602191</v>
      </c>
      <c r="M530" s="2">
        <v>207.372575</v>
      </c>
      <c r="N530" s="2">
        <v>214.355549</v>
      </c>
      <c r="O530" s="2">
        <v>2530.5564449999997</v>
      </c>
    </row>
    <row r="531" spans="1:15" ht="15.75">
      <c r="A531" s="1" t="s">
        <v>144</v>
      </c>
      <c r="B531" s="2">
        <v>231</v>
      </c>
      <c r="C531" s="2">
        <v>125.382193</v>
      </c>
      <c r="D531" s="2">
        <v>110.21901</v>
      </c>
      <c r="E531" s="2">
        <v>119.684686</v>
      </c>
      <c r="F531" s="2">
        <v>110.91406</v>
      </c>
      <c r="G531" s="2">
        <v>183.431509</v>
      </c>
      <c r="H531" s="2">
        <v>271.506205</v>
      </c>
      <c r="I531" s="2">
        <v>387.109217</v>
      </c>
      <c r="J531" s="2">
        <v>380.608901</v>
      </c>
      <c r="K531" s="2">
        <v>340.083249</v>
      </c>
      <c r="L531" s="2">
        <v>260.377465</v>
      </c>
      <c r="M531" s="2">
        <v>232.207312</v>
      </c>
      <c r="O531" s="2">
        <v>2521.523807</v>
      </c>
    </row>
    <row r="532" spans="1:15" ht="15.75">
      <c r="A532" s="1" t="s">
        <v>144</v>
      </c>
      <c r="B532" s="2">
        <v>660</v>
      </c>
      <c r="C532" s="2">
        <v>186.026812</v>
      </c>
      <c r="D532" s="2">
        <v>156.938422</v>
      </c>
      <c r="E532" s="2">
        <v>196.089806</v>
      </c>
      <c r="F532" s="2">
        <v>180.899985</v>
      </c>
      <c r="G532" s="2">
        <v>202.861864</v>
      </c>
      <c r="H532" s="2">
        <v>229.946257</v>
      </c>
      <c r="I532" s="2">
        <v>291.120619</v>
      </c>
      <c r="J532" s="2">
        <v>239.981078</v>
      </c>
      <c r="K532" s="2">
        <v>225.55219</v>
      </c>
      <c r="L532" s="2">
        <v>216.870259</v>
      </c>
      <c r="M532" s="2">
        <v>208.747896</v>
      </c>
      <c r="N532" s="2">
        <v>181.02273</v>
      </c>
      <c r="O532" s="2">
        <v>2516.057918</v>
      </c>
    </row>
    <row r="533" spans="1:15" ht="15.75">
      <c r="A533" s="1" t="s">
        <v>144</v>
      </c>
      <c r="B533" s="2">
        <v>720</v>
      </c>
      <c r="C533" s="2">
        <v>193.255883</v>
      </c>
      <c r="D533" s="2">
        <v>199.235747</v>
      </c>
      <c r="E533" s="2">
        <v>193.180875</v>
      </c>
      <c r="F533" s="2">
        <v>177.03068</v>
      </c>
      <c r="G533" s="2">
        <v>231.210135</v>
      </c>
      <c r="H533" s="2">
        <v>195.929173</v>
      </c>
      <c r="I533" s="2">
        <v>218.700394</v>
      </c>
      <c r="J533" s="2">
        <v>253.592501</v>
      </c>
      <c r="K533" s="2">
        <v>189.157552</v>
      </c>
      <c r="L533" s="2">
        <v>225.744801</v>
      </c>
      <c r="M533" s="2">
        <v>201.306254</v>
      </c>
      <c r="N533" s="2">
        <v>231.043595</v>
      </c>
      <c r="O533" s="2">
        <v>2509.3875900000003</v>
      </c>
    </row>
    <row r="534" spans="1:15" ht="15.75">
      <c r="A534" s="1" t="s">
        <v>144</v>
      </c>
      <c r="B534" s="2">
        <v>660</v>
      </c>
      <c r="C534" s="2">
        <v>160.054839</v>
      </c>
      <c r="D534" s="2">
        <v>129.993109</v>
      </c>
      <c r="E534" s="2">
        <v>141.793733</v>
      </c>
      <c r="F534" s="2">
        <v>181.391743</v>
      </c>
      <c r="G534" s="2">
        <v>231.058271</v>
      </c>
      <c r="H534" s="2">
        <v>241.145402</v>
      </c>
      <c r="I534" s="2">
        <v>305.434962</v>
      </c>
      <c r="J534" s="2">
        <v>262.196788</v>
      </c>
      <c r="K534" s="2">
        <v>238.485767</v>
      </c>
      <c r="L534" s="2">
        <v>236.47641</v>
      </c>
      <c r="M534" s="2">
        <v>199.380169</v>
      </c>
      <c r="N534" s="2">
        <v>171.446692</v>
      </c>
      <c r="O534" s="2">
        <v>2498.857885</v>
      </c>
    </row>
    <row r="535" spans="1:15" ht="15.75">
      <c r="A535" s="1" t="s">
        <v>144</v>
      </c>
      <c r="B535" s="2">
        <v>252</v>
      </c>
      <c r="C535" s="2">
        <v>150.270475</v>
      </c>
      <c r="D535" s="2">
        <v>136.637135</v>
      </c>
      <c r="E535" s="2">
        <v>157.604879</v>
      </c>
      <c r="F535" s="2">
        <v>139.697396</v>
      </c>
      <c r="G535" s="2">
        <v>186.228445</v>
      </c>
      <c r="H535" s="2">
        <v>241.206944</v>
      </c>
      <c r="I535" s="2">
        <v>342.954333</v>
      </c>
      <c r="J535" s="2">
        <v>356.059187</v>
      </c>
      <c r="K535" s="2">
        <v>233.961218</v>
      </c>
      <c r="L535" s="2">
        <v>229.231826</v>
      </c>
      <c r="M535" s="2">
        <v>177.889756</v>
      </c>
      <c r="N535" s="2">
        <v>142.966614</v>
      </c>
      <c r="O535" s="2">
        <v>2494.708208</v>
      </c>
    </row>
    <row r="536" spans="1:15" ht="15.75">
      <c r="A536" s="1" t="s">
        <v>144</v>
      </c>
      <c r="B536" s="2">
        <v>252</v>
      </c>
      <c r="C536" s="2">
        <v>206.214161</v>
      </c>
      <c r="D536" s="2">
        <v>170.034868</v>
      </c>
      <c r="E536" s="2">
        <v>194.70126</v>
      </c>
      <c r="F536" s="2">
        <v>163.125631</v>
      </c>
      <c r="G536" s="2">
        <v>218.251872</v>
      </c>
      <c r="H536" s="2">
        <v>202.620832</v>
      </c>
      <c r="I536" s="2">
        <v>230.723334</v>
      </c>
      <c r="J536" s="2">
        <v>284.734499</v>
      </c>
      <c r="K536" s="2">
        <v>211.220839</v>
      </c>
      <c r="L536" s="2">
        <v>205.697432</v>
      </c>
      <c r="M536" s="2">
        <v>195.586572</v>
      </c>
      <c r="N536" s="2">
        <v>195.259419</v>
      </c>
      <c r="O536" s="2">
        <v>2478.170719</v>
      </c>
    </row>
    <row r="537" spans="1:15" ht="15.75">
      <c r="A537" s="1" t="s">
        <v>144</v>
      </c>
      <c r="B537" s="2">
        <v>660</v>
      </c>
      <c r="C537" s="2">
        <v>156.777541</v>
      </c>
      <c r="D537" s="2">
        <v>187.513232</v>
      </c>
      <c r="E537" s="2">
        <v>163.355299</v>
      </c>
      <c r="F537" s="2">
        <v>156.417996</v>
      </c>
      <c r="G537" s="2">
        <v>192.679983</v>
      </c>
      <c r="H537" s="2">
        <v>220.194396</v>
      </c>
      <c r="I537" s="2">
        <v>336.164938</v>
      </c>
      <c r="J537" s="2">
        <v>284.645068</v>
      </c>
      <c r="K537" s="2">
        <v>244.210775</v>
      </c>
      <c r="L537" s="2">
        <v>196.956059</v>
      </c>
      <c r="M537" s="2">
        <v>184.584083</v>
      </c>
      <c r="N537" s="2">
        <v>149.852531</v>
      </c>
      <c r="O537" s="2">
        <v>2473.351901</v>
      </c>
    </row>
    <row r="538" spans="1:15" ht="15.75">
      <c r="A538" s="1" t="s">
        <v>144</v>
      </c>
      <c r="B538" s="2">
        <v>660</v>
      </c>
      <c r="C538" s="2">
        <v>138.337295</v>
      </c>
      <c r="D538" s="2">
        <v>86.757853</v>
      </c>
      <c r="E538" s="2">
        <v>103.411493</v>
      </c>
      <c r="F538" s="2">
        <v>168.40318</v>
      </c>
      <c r="G538" s="2">
        <v>153.051621</v>
      </c>
      <c r="H538" s="2">
        <v>236.438011</v>
      </c>
      <c r="I538" s="2">
        <v>305.236916</v>
      </c>
      <c r="J538" s="2">
        <v>336.614044</v>
      </c>
      <c r="K538" s="2">
        <v>287.902923</v>
      </c>
      <c r="L538" s="2">
        <v>236.702464</v>
      </c>
      <c r="M538" s="2">
        <v>191.840361</v>
      </c>
      <c r="N538" s="2">
        <v>224.878045</v>
      </c>
      <c r="O538" s="2">
        <v>2469.574206</v>
      </c>
    </row>
    <row r="539" spans="1:15" ht="15.75">
      <c r="A539" s="1" t="s">
        <v>144</v>
      </c>
      <c r="B539" s="2">
        <v>252</v>
      </c>
      <c r="C539" s="2">
        <v>152.705874</v>
      </c>
      <c r="D539" s="2">
        <v>146.003082</v>
      </c>
      <c r="E539" s="2">
        <v>172.539782</v>
      </c>
      <c r="F539" s="2">
        <v>149.831018</v>
      </c>
      <c r="G539" s="2">
        <v>216.027211</v>
      </c>
      <c r="H539" s="2">
        <v>213.137558</v>
      </c>
      <c r="I539" s="2">
        <v>273.407947</v>
      </c>
      <c r="J539" s="2">
        <v>325.433239</v>
      </c>
      <c r="K539" s="2">
        <v>201.521564</v>
      </c>
      <c r="L539" s="2">
        <v>243.17968</v>
      </c>
      <c r="M539" s="2">
        <v>211.114889</v>
      </c>
      <c r="N539" s="2">
        <v>152.872715</v>
      </c>
      <c r="O539" s="2">
        <v>2457.774559</v>
      </c>
    </row>
    <row r="540" spans="1:15" ht="15.75">
      <c r="A540" s="1" t="s">
        <v>144</v>
      </c>
      <c r="B540" s="2">
        <v>252</v>
      </c>
      <c r="C540" s="2">
        <v>159.676727</v>
      </c>
      <c r="D540" s="2">
        <v>161.450692</v>
      </c>
      <c r="E540" s="2">
        <v>193.941839</v>
      </c>
      <c r="F540" s="2">
        <v>149.095466</v>
      </c>
      <c r="G540" s="2">
        <v>187.471216</v>
      </c>
      <c r="H540" s="2">
        <v>206.727541</v>
      </c>
      <c r="I540" s="2">
        <v>294.458065</v>
      </c>
      <c r="J540" s="2">
        <v>293.637468</v>
      </c>
      <c r="K540" s="2">
        <v>229.419469</v>
      </c>
      <c r="L540" s="2">
        <v>188.761145</v>
      </c>
      <c r="M540" s="2">
        <v>169.383059</v>
      </c>
      <c r="N540" s="2">
        <v>220.296933</v>
      </c>
      <c r="O540" s="2">
        <v>2454.3196199999998</v>
      </c>
    </row>
    <row r="541" spans="1:15" ht="15.75">
      <c r="A541" s="1" t="s">
        <v>144</v>
      </c>
      <c r="B541" s="2">
        <v>252</v>
      </c>
      <c r="C541" s="2">
        <v>134.829839</v>
      </c>
      <c r="D541" s="2">
        <v>119.120066</v>
      </c>
      <c r="E541" s="2">
        <v>131.488267</v>
      </c>
      <c r="F541" s="2">
        <v>141.931843</v>
      </c>
      <c r="G541" s="2">
        <v>186.640472</v>
      </c>
      <c r="H541" s="2">
        <v>257.068923</v>
      </c>
      <c r="I541" s="2">
        <v>295.988812</v>
      </c>
      <c r="J541" s="2">
        <v>313.714775</v>
      </c>
      <c r="K541" s="2">
        <v>302.157041</v>
      </c>
      <c r="L541" s="2">
        <v>228.240292</v>
      </c>
      <c r="M541" s="2">
        <v>208.69308</v>
      </c>
      <c r="N541" s="2">
        <v>121.853191</v>
      </c>
      <c r="O541" s="2">
        <v>2441.7266010000003</v>
      </c>
    </row>
    <row r="542" spans="1:15" ht="15.75">
      <c r="A542" s="1" t="s">
        <v>144</v>
      </c>
      <c r="B542" s="2">
        <v>252</v>
      </c>
      <c r="C542" s="2">
        <v>34.075914</v>
      </c>
      <c r="D542" s="2">
        <v>40.398123</v>
      </c>
      <c r="E542" s="2">
        <v>86.197171</v>
      </c>
      <c r="F542" s="2">
        <v>229.585659</v>
      </c>
      <c r="G542" s="2">
        <v>272.188569</v>
      </c>
      <c r="H542" s="2">
        <v>220.145166</v>
      </c>
      <c r="I542" s="2">
        <v>377.419756</v>
      </c>
      <c r="J542" s="2">
        <v>275.794344</v>
      </c>
      <c r="K542" s="2">
        <v>295.840737</v>
      </c>
      <c r="L542" s="2">
        <v>255.868648</v>
      </c>
      <c r="M542" s="2">
        <v>218.310155</v>
      </c>
      <c r="N542" s="2">
        <v>128.246342</v>
      </c>
      <c r="O542" s="2">
        <v>2434.070584</v>
      </c>
    </row>
    <row r="543" spans="1:15" ht="15.75">
      <c r="A543" s="1" t="s">
        <v>144</v>
      </c>
      <c r="B543" s="2">
        <v>660</v>
      </c>
      <c r="C543" s="2">
        <v>140.358237</v>
      </c>
      <c r="D543" s="2">
        <v>117.640458</v>
      </c>
      <c r="E543" s="2">
        <v>157.90743</v>
      </c>
      <c r="F543" s="2">
        <v>131.937129</v>
      </c>
      <c r="G543" s="2">
        <v>203.198604</v>
      </c>
      <c r="H543" s="2">
        <v>223.223296</v>
      </c>
      <c r="I543" s="2">
        <v>352.564785</v>
      </c>
      <c r="J543" s="2">
        <v>319.884877</v>
      </c>
      <c r="K543" s="2">
        <v>252.742165</v>
      </c>
      <c r="L543" s="2">
        <v>214.022398</v>
      </c>
      <c r="M543" s="2">
        <v>175.2277</v>
      </c>
      <c r="N543" s="2">
        <v>144.876322</v>
      </c>
      <c r="O543" s="2">
        <v>2433.583401</v>
      </c>
    </row>
    <row r="544" spans="1:15" ht="15.75">
      <c r="A544" s="1" t="s">
        <v>144</v>
      </c>
      <c r="B544" s="2">
        <v>660</v>
      </c>
      <c r="C544" s="2">
        <v>156.254368</v>
      </c>
      <c r="D544" s="2">
        <v>191.309394</v>
      </c>
      <c r="E544" s="2">
        <v>180.156783</v>
      </c>
      <c r="F544" s="2">
        <v>171.630012</v>
      </c>
      <c r="G544" s="2">
        <v>199.473829</v>
      </c>
      <c r="H544" s="2">
        <v>217.757178</v>
      </c>
      <c r="I544" s="2">
        <v>231.768586</v>
      </c>
      <c r="J544" s="2">
        <v>253.623565</v>
      </c>
      <c r="K544" s="2">
        <v>208.838298</v>
      </c>
      <c r="L544" s="2">
        <v>209.507264</v>
      </c>
      <c r="M544" s="2">
        <v>223.484218</v>
      </c>
      <c r="N544" s="2">
        <v>187.127403</v>
      </c>
      <c r="O544" s="2">
        <v>2430.930898</v>
      </c>
    </row>
    <row r="545" spans="1:15" ht="15.75">
      <c r="A545" s="1" t="s">
        <v>144</v>
      </c>
      <c r="B545" s="2">
        <v>660</v>
      </c>
      <c r="C545" s="2">
        <v>180.317953</v>
      </c>
      <c r="D545" s="2">
        <v>152.79869</v>
      </c>
      <c r="E545" s="2">
        <v>174.797944</v>
      </c>
      <c r="F545" s="2">
        <v>188.648185</v>
      </c>
      <c r="G545" s="2">
        <v>230.940631</v>
      </c>
      <c r="H545" s="2">
        <v>218.93401</v>
      </c>
      <c r="I545" s="2">
        <v>260.083773</v>
      </c>
      <c r="J545" s="2">
        <v>222.227302</v>
      </c>
      <c r="K545" s="2">
        <v>210.210533</v>
      </c>
      <c r="L545" s="2">
        <v>204.880626</v>
      </c>
      <c r="M545" s="2">
        <v>218.557673</v>
      </c>
      <c r="N545" s="2">
        <v>167.70036</v>
      </c>
      <c r="O545" s="2">
        <v>2430.0976799999994</v>
      </c>
    </row>
    <row r="546" spans="1:15" ht="15.75">
      <c r="A546" s="1" t="s">
        <v>144</v>
      </c>
      <c r="B546" s="2">
        <v>550</v>
      </c>
      <c r="C546" s="2">
        <v>133.48724</v>
      </c>
      <c r="D546" s="2">
        <v>135.845253</v>
      </c>
      <c r="E546" s="2">
        <v>159.061973</v>
      </c>
      <c r="F546" s="2">
        <v>133.202997</v>
      </c>
      <c r="G546" s="2">
        <v>178.823027</v>
      </c>
      <c r="H546" s="2">
        <v>261.243729</v>
      </c>
      <c r="I546" s="2">
        <v>399.365016</v>
      </c>
      <c r="J546" s="2">
        <v>426.70368</v>
      </c>
      <c r="K546" s="2">
        <v>343.135198</v>
      </c>
      <c r="L546" s="2">
        <v>247.00086</v>
      </c>
      <c r="O546" s="2">
        <v>2417.868973</v>
      </c>
    </row>
    <row r="547" spans="1:15" ht="15.75">
      <c r="A547" s="1" t="s">
        <v>144</v>
      </c>
      <c r="B547" s="2">
        <v>660</v>
      </c>
      <c r="C547" s="2">
        <v>180.719042</v>
      </c>
      <c r="D547" s="2">
        <v>196.378113</v>
      </c>
      <c r="E547" s="2">
        <v>159.935525</v>
      </c>
      <c r="F547" s="2">
        <v>132.643794</v>
      </c>
      <c r="G547" s="2">
        <v>203.463351</v>
      </c>
      <c r="H547" s="2">
        <v>182.618802</v>
      </c>
      <c r="I547" s="2">
        <v>206.463107</v>
      </c>
      <c r="J547" s="2">
        <v>267.40143</v>
      </c>
      <c r="K547" s="2">
        <v>239.812531</v>
      </c>
      <c r="L547" s="2">
        <v>240.868102</v>
      </c>
      <c r="M547" s="2">
        <v>218.00394</v>
      </c>
      <c r="N547" s="2">
        <v>188.583817</v>
      </c>
      <c r="O547" s="2">
        <v>2416.8915540000003</v>
      </c>
    </row>
    <row r="548" spans="1:15" ht="15.75">
      <c r="A548" s="1" t="s">
        <v>144</v>
      </c>
      <c r="B548" s="2">
        <v>252</v>
      </c>
      <c r="C548" s="2">
        <v>109.006029</v>
      </c>
      <c r="D548" s="2">
        <v>80.143362</v>
      </c>
      <c r="E548" s="2">
        <v>81.883725</v>
      </c>
      <c r="F548" s="2">
        <v>109.257848</v>
      </c>
      <c r="G548" s="2">
        <v>209.042682</v>
      </c>
      <c r="H548" s="2">
        <v>243.86743</v>
      </c>
      <c r="I548" s="2">
        <v>276.909899</v>
      </c>
      <c r="J548" s="2">
        <v>311.793139</v>
      </c>
      <c r="K548" s="2">
        <v>301.218678</v>
      </c>
      <c r="L548" s="2">
        <v>252.136308</v>
      </c>
      <c r="M548" s="2">
        <v>269.548498</v>
      </c>
      <c r="N548" s="2">
        <v>171.231785</v>
      </c>
      <c r="O548" s="2">
        <v>2416.039383</v>
      </c>
    </row>
    <row r="549" spans="1:15" ht="15.75">
      <c r="A549" s="1" t="s">
        <v>144</v>
      </c>
      <c r="B549" s="2">
        <v>605</v>
      </c>
      <c r="C549" s="2">
        <v>179.868554</v>
      </c>
      <c r="D549" s="2">
        <v>208.090281</v>
      </c>
      <c r="E549" s="2">
        <v>206.432309</v>
      </c>
      <c r="F549" s="2">
        <v>154.00105</v>
      </c>
      <c r="G549" s="2">
        <v>210.435994</v>
      </c>
      <c r="H549" s="2">
        <v>184.850036</v>
      </c>
      <c r="I549" s="2">
        <v>287.206842</v>
      </c>
      <c r="J549" s="2">
        <v>303.04266</v>
      </c>
      <c r="K549" s="2">
        <v>255.140849</v>
      </c>
      <c r="L549" s="2">
        <v>180.036564</v>
      </c>
      <c r="M549" s="2">
        <v>246.462481</v>
      </c>
      <c r="O549" s="2">
        <v>2415.5676200000003</v>
      </c>
    </row>
    <row r="550" spans="1:15" ht="15.75">
      <c r="A550" s="1" t="s">
        <v>144</v>
      </c>
      <c r="B550" s="2">
        <v>660</v>
      </c>
      <c r="C550" s="2">
        <v>166.628899</v>
      </c>
      <c r="D550" s="2">
        <v>170.921088</v>
      </c>
      <c r="E550" s="2">
        <v>188.955252</v>
      </c>
      <c r="F550" s="2">
        <v>161.957928</v>
      </c>
      <c r="G550" s="2">
        <v>215.608899</v>
      </c>
      <c r="H550" s="2">
        <v>202.420382</v>
      </c>
      <c r="I550" s="2">
        <v>264.855327</v>
      </c>
      <c r="J550" s="2">
        <v>266.701327</v>
      </c>
      <c r="K550" s="2">
        <v>205.564865</v>
      </c>
      <c r="L550" s="2">
        <v>195.503978</v>
      </c>
      <c r="M550" s="2">
        <v>184.98123</v>
      </c>
      <c r="N550" s="2">
        <v>190.976207</v>
      </c>
      <c r="O550" s="2">
        <v>2415.075382</v>
      </c>
    </row>
    <row r="551" spans="1:15" ht="15.75">
      <c r="A551" s="1" t="s">
        <v>144</v>
      </c>
      <c r="B551" s="2">
        <v>210</v>
      </c>
      <c r="C551" s="2">
        <v>140.225145</v>
      </c>
      <c r="D551" s="2">
        <v>117.773627</v>
      </c>
      <c r="E551" s="2">
        <v>141.012718</v>
      </c>
      <c r="F551" s="2">
        <v>140.514956</v>
      </c>
      <c r="G551" s="2">
        <v>238.482644</v>
      </c>
      <c r="H551" s="2">
        <v>280.780517</v>
      </c>
      <c r="I551" s="2">
        <v>371.588497</v>
      </c>
      <c r="J551" s="2">
        <v>404.007855</v>
      </c>
      <c r="K551" s="2">
        <v>303.167926</v>
      </c>
      <c r="L551" s="2">
        <v>256.478469</v>
      </c>
      <c r="O551" s="2">
        <v>2394.032354</v>
      </c>
    </row>
    <row r="552" spans="1:15" ht="15.75">
      <c r="A552" s="1" t="s">
        <v>144</v>
      </c>
      <c r="B552" s="2">
        <v>252</v>
      </c>
      <c r="C552" s="2">
        <v>115.019757</v>
      </c>
      <c r="D552" s="2">
        <v>135.433182</v>
      </c>
      <c r="E552" s="2">
        <v>133.752606</v>
      </c>
      <c r="F552" s="2">
        <v>145.408678</v>
      </c>
      <c r="G552" s="2">
        <v>182.466676</v>
      </c>
      <c r="H552" s="2">
        <v>235.610031</v>
      </c>
      <c r="I552" s="2">
        <v>297.005685</v>
      </c>
      <c r="J552" s="2">
        <v>329.660094</v>
      </c>
      <c r="K552" s="2">
        <v>246.130832</v>
      </c>
      <c r="L552" s="2">
        <v>234.449987</v>
      </c>
      <c r="M552" s="2">
        <v>199.047076</v>
      </c>
      <c r="N552" s="2">
        <v>138.117939</v>
      </c>
      <c r="O552" s="2">
        <v>2392.1025430000004</v>
      </c>
    </row>
    <row r="553" spans="1:15" ht="15.75">
      <c r="A553" s="1" t="s">
        <v>144</v>
      </c>
      <c r="B553" s="2">
        <v>660</v>
      </c>
      <c r="C553" s="2">
        <v>187.658844</v>
      </c>
      <c r="D553" s="2">
        <v>150.243762</v>
      </c>
      <c r="E553" s="2">
        <v>173.083264</v>
      </c>
      <c r="F553" s="2">
        <v>134.474153</v>
      </c>
      <c r="G553" s="2">
        <v>243.901799</v>
      </c>
      <c r="H553" s="2">
        <v>191.221675</v>
      </c>
      <c r="I553" s="2">
        <v>235.577904</v>
      </c>
      <c r="J553" s="2">
        <v>287.35252</v>
      </c>
      <c r="K553" s="2">
        <v>191.444611</v>
      </c>
      <c r="L553" s="2">
        <v>207.529771</v>
      </c>
      <c r="M553" s="2">
        <v>185.544136</v>
      </c>
      <c r="N553" s="2">
        <v>189.094389</v>
      </c>
      <c r="O553" s="2">
        <v>2377.126828</v>
      </c>
    </row>
    <row r="554" spans="1:15" ht="15.75">
      <c r="A554" s="1" t="s">
        <v>144</v>
      </c>
      <c r="B554" s="2">
        <v>660</v>
      </c>
      <c r="C554" s="2">
        <v>143.803899</v>
      </c>
      <c r="D554" s="2">
        <v>130.994289</v>
      </c>
      <c r="E554" s="2">
        <v>173.065652</v>
      </c>
      <c r="F554" s="2">
        <v>150.892532</v>
      </c>
      <c r="G554" s="2">
        <v>182.578413</v>
      </c>
      <c r="H554" s="2">
        <v>227.426604</v>
      </c>
      <c r="I554" s="2">
        <v>262.173764</v>
      </c>
      <c r="J554" s="2">
        <v>332.779691</v>
      </c>
      <c r="K554" s="2">
        <v>248.292131</v>
      </c>
      <c r="L554" s="2">
        <v>176.965025</v>
      </c>
      <c r="M554" s="2">
        <v>179.50907</v>
      </c>
      <c r="N554" s="2">
        <v>163.060354</v>
      </c>
      <c r="O554" s="2">
        <v>2371.541424</v>
      </c>
    </row>
    <row r="555" spans="1:15" ht="15.75">
      <c r="A555" s="1" t="s">
        <v>144</v>
      </c>
      <c r="B555" s="2">
        <v>252</v>
      </c>
      <c r="C555" s="2">
        <v>151.07668</v>
      </c>
      <c r="D555" s="2">
        <v>133.406697</v>
      </c>
      <c r="E555" s="2">
        <v>136.481048</v>
      </c>
      <c r="F555" s="2">
        <v>171.527539</v>
      </c>
      <c r="G555" s="2">
        <v>219.587944</v>
      </c>
      <c r="H555" s="2">
        <v>262.482447</v>
      </c>
      <c r="I555" s="2">
        <v>355.696411</v>
      </c>
      <c r="J555" s="2">
        <v>239.574435</v>
      </c>
      <c r="K555" s="2">
        <v>197.791397</v>
      </c>
      <c r="L555" s="2">
        <v>199.811972</v>
      </c>
      <c r="M555" s="2">
        <v>173.265349</v>
      </c>
      <c r="N555" s="2">
        <v>129.395477</v>
      </c>
      <c r="O555" s="2">
        <v>2370.0973959999997</v>
      </c>
    </row>
    <row r="556" spans="1:15" ht="15.75">
      <c r="A556" s="1" t="s">
        <v>144</v>
      </c>
      <c r="B556" s="2">
        <v>660</v>
      </c>
      <c r="C556" s="2">
        <v>191.238522</v>
      </c>
      <c r="D556" s="2">
        <v>173.060446</v>
      </c>
      <c r="E556" s="2">
        <v>182.685528</v>
      </c>
      <c r="F556" s="2">
        <v>149.955808</v>
      </c>
      <c r="G556" s="2">
        <v>187.663462</v>
      </c>
      <c r="H556" s="2">
        <v>188.81915</v>
      </c>
      <c r="I556" s="2">
        <v>222.982559</v>
      </c>
      <c r="J556" s="2">
        <v>203.620338</v>
      </c>
      <c r="K556" s="2">
        <v>215.730312</v>
      </c>
      <c r="L556" s="2">
        <v>209.330921</v>
      </c>
      <c r="M556" s="2">
        <v>250.833579</v>
      </c>
      <c r="N556" s="2">
        <v>189.635056</v>
      </c>
      <c r="O556" s="2">
        <v>2365.555681</v>
      </c>
    </row>
    <row r="557" spans="1:15" ht="15.75">
      <c r="A557" s="1" t="s">
        <v>144</v>
      </c>
      <c r="B557" s="2">
        <v>231</v>
      </c>
      <c r="C557" s="2">
        <v>158.67743</v>
      </c>
      <c r="D557" s="2">
        <v>133.550194</v>
      </c>
      <c r="E557" s="2">
        <v>141.882805</v>
      </c>
      <c r="F557" s="2">
        <v>172.349556</v>
      </c>
      <c r="G557" s="2">
        <v>204.905925</v>
      </c>
      <c r="H557" s="2">
        <v>298.074846</v>
      </c>
      <c r="I557" s="2">
        <v>357.544334</v>
      </c>
      <c r="J557" s="2">
        <v>290.134386</v>
      </c>
      <c r="K557" s="2">
        <v>219.768219</v>
      </c>
      <c r="L557" s="2">
        <v>219.570774</v>
      </c>
      <c r="M557" s="2">
        <v>164.676016</v>
      </c>
      <c r="O557" s="2">
        <v>2361.1344849999996</v>
      </c>
    </row>
    <row r="558" spans="1:15" ht="15.75">
      <c r="A558" s="1" t="s">
        <v>144</v>
      </c>
      <c r="B558" s="2">
        <v>252</v>
      </c>
      <c r="C558" s="2">
        <v>122.77242</v>
      </c>
      <c r="D558" s="2">
        <v>110.374108</v>
      </c>
      <c r="E558" s="2">
        <v>153.152849</v>
      </c>
      <c r="F558" s="2">
        <v>184.145686</v>
      </c>
      <c r="G558" s="2">
        <v>170.144622</v>
      </c>
      <c r="H558" s="2">
        <v>213.690378</v>
      </c>
      <c r="I558" s="2">
        <v>318.851858</v>
      </c>
      <c r="J558" s="2">
        <v>276.767198</v>
      </c>
      <c r="K558" s="2">
        <v>234.450649</v>
      </c>
      <c r="L558" s="2">
        <v>196.381369</v>
      </c>
      <c r="M558" s="2">
        <v>183.432669</v>
      </c>
      <c r="N558" s="2">
        <v>194.529656</v>
      </c>
      <c r="O558" s="2">
        <v>2358.693462</v>
      </c>
    </row>
    <row r="559" spans="1:15" ht="15.75">
      <c r="A559" s="1" t="s">
        <v>144</v>
      </c>
      <c r="B559" s="2">
        <v>660</v>
      </c>
      <c r="C559" s="2">
        <v>194.363924</v>
      </c>
      <c r="D559" s="2">
        <v>150.750083</v>
      </c>
      <c r="E559" s="2">
        <v>144.732629</v>
      </c>
      <c r="F559" s="2">
        <v>140.323318</v>
      </c>
      <c r="G559" s="2">
        <v>182.23405</v>
      </c>
      <c r="H559" s="2">
        <v>211.31547</v>
      </c>
      <c r="I559" s="2">
        <v>247.465472</v>
      </c>
      <c r="J559" s="2">
        <v>289.752284</v>
      </c>
      <c r="K559" s="2">
        <v>238.953223</v>
      </c>
      <c r="L559" s="2">
        <v>213.14805</v>
      </c>
      <c r="M559" s="2">
        <v>190.389796</v>
      </c>
      <c r="N559" s="2">
        <v>154.55751</v>
      </c>
      <c r="O559" s="2">
        <v>2357.9858090000002</v>
      </c>
    </row>
    <row r="560" spans="1:15" ht="15.75">
      <c r="A560" s="1" t="s">
        <v>144</v>
      </c>
      <c r="B560" s="2">
        <v>660</v>
      </c>
      <c r="C560" s="2">
        <v>184.698504</v>
      </c>
      <c r="D560" s="2">
        <v>147.363407</v>
      </c>
      <c r="E560" s="2">
        <v>163.816329</v>
      </c>
      <c r="F560" s="2">
        <v>158.528897</v>
      </c>
      <c r="G560" s="2">
        <v>204.517591</v>
      </c>
      <c r="H560" s="2">
        <v>188.888997</v>
      </c>
      <c r="I560" s="2">
        <v>191.34386</v>
      </c>
      <c r="J560" s="2">
        <v>276.006332</v>
      </c>
      <c r="K560" s="2">
        <v>216.769122</v>
      </c>
      <c r="L560" s="2">
        <v>215.001001</v>
      </c>
      <c r="M560" s="2">
        <v>217.936893</v>
      </c>
      <c r="N560" s="2">
        <v>187.459889</v>
      </c>
      <c r="O560" s="2">
        <v>2352.330822</v>
      </c>
    </row>
    <row r="561" spans="1:15" ht="15.75">
      <c r="A561" s="1" t="s">
        <v>144</v>
      </c>
      <c r="B561" s="2">
        <v>660</v>
      </c>
      <c r="C561" s="2">
        <v>189.188655</v>
      </c>
      <c r="D561" s="2">
        <v>152.474131</v>
      </c>
      <c r="E561" s="2">
        <v>194.0792</v>
      </c>
      <c r="F561" s="2">
        <v>167.362387</v>
      </c>
      <c r="G561" s="2">
        <v>220.171288</v>
      </c>
      <c r="H561" s="2">
        <v>211.253672</v>
      </c>
      <c r="I561" s="2">
        <v>221.704695</v>
      </c>
      <c r="J561" s="2">
        <v>211.177209</v>
      </c>
      <c r="K561" s="2">
        <v>198.977565</v>
      </c>
      <c r="L561" s="2">
        <v>204.066344</v>
      </c>
      <c r="M561" s="2">
        <v>197.991628</v>
      </c>
      <c r="N561" s="2">
        <v>182.19749</v>
      </c>
      <c r="O561" s="2">
        <v>2350.644264</v>
      </c>
    </row>
    <row r="562" spans="1:15" ht="15.75">
      <c r="A562" s="1" t="s">
        <v>144</v>
      </c>
      <c r="B562" s="2">
        <v>660</v>
      </c>
      <c r="C562" s="2">
        <v>169.696696</v>
      </c>
      <c r="D562" s="2">
        <v>151.858523</v>
      </c>
      <c r="E562" s="2">
        <v>143.80889</v>
      </c>
      <c r="F562" s="2">
        <v>160.932654</v>
      </c>
      <c r="G562" s="2">
        <v>211.696359</v>
      </c>
      <c r="H562" s="2">
        <v>259.263496</v>
      </c>
      <c r="I562" s="2">
        <v>337.837948</v>
      </c>
      <c r="J562" s="2">
        <v>244.210163</v>
      </c>
      <c r="K562" s="2">
        <v>201.888771</v>
      </c>
      <c r="L562" s="2">
        <v>188.204638</v>
      </c>
      <c r="M562" s="2">
        <v>150.484336</v>
      </c>
      <c r="N562" s="2">
        <v>128.00612</v>
      </c>
      <c r="O562" s="2">
        <v>2347.888594</v>
      </c>
    </row>
    <row r="563" spans="1:15" ht="15.75">
      <c r="A563" s="1" t="s">
        <v>144</v>
      </c>
      <c r="B563" s="2">
        <v>660</v>
      </c>
      <c r="C563" s="2">
        <v>164.103019</v>
      </c>
      <c r="D563" s="2">
        <v>157.685427</v>
      </c>
      <c r="E563" s="2">
        <v>177.188261</v>
      </c>
      <c r="F563" s="2">
        <v>127.05657</v>
      </c>
      <c r="G563" s="2">
        <v>174.017043</v>
      </c>
      <c r="H563" s="2">
        <v>207.799923</v>
      </c>
      <c r="I563" s="2">
        <v>253.350865</v>
      </c>
      <c r="J563" s="2">
        <v>257.484259</v>
      </c>
      <c r="K563" s="2">
        <v>245.07271</v>
      </c>
      <c r="L563" s="2">
        <v>191.674915</v>
      </c>
      <c r="M563" s="2">
        <v>253.856792</v>
      </c>
      <c r="N563" s="2">
        <v>137.631951</v>
      </c>
      <c r="O563" s="2">
        <v>2346.921735</v>
      </c>
    </row>
    <row r="564" spans="1:15" ht="15.75">
      <c r="A564" s="1" t="s">
        <v>144</v>
      </c>
      <c r="B564" s="2">
        <v>110</v>
      </c>
      <c r="D564" s="2">
        <v>2336</v>
      </c>
      <c r="O564" s="2">
        <v>2336</v>
      </c>
    </row>
    <row r="565" spans="1:15" ht="15.75">
      <c r="A565" s="1" t="s">
        <v>144</v>
      </c>
      <c r="B565" s="2">
        <v>660</v>
      </c>
      <c r="C565" s="2">
        <v>97.670809</v>
      </c>
      <c r="D565" s="2">
        <v>91.351775</v>
      </c>
      <c r="E565" s="2">
        <v>94.002298</v>
      </c>
      <c r="F565" s="2">
        <v>121.050839</v>
      </c>
      <c r="G565" s="2">
        <v>343.885309</v>
      </c>
      <c r="H565" s="2">
        <v>123.729127</v>
      </c>
      <c r="I565" s="2">
        <v>311.39376</v>
      </c>
      <c r="J565" s="2">
        <v>301.557753</v>
      </c>
      <c r="K565" s="2">
        <v>232.944119</v>
      </c>
      <c r="L565" s="2">
        <v>222.299017</v>
      </c>
      <c r="M565" s="2">
        <v>224.518994</v>
      </c>
      <c r="N565" s="2">
        <v>171.334454</v>
      </c>
      <c r="O565" s="2">
        <v>2335.738254</v>
      </c>
    </row>
    <row r="566" spans="1:15" ht="15.75">
      <c r="A566" s="1" t="s">
        <v>144</v>
      </c>
      <c r="B566" s="2">
        <v>660</v>
      </c>
      <c r="C566" s="2">
        <v>113.995966</v>
      </c>
      <c r="D566" s="2">
        <v>100.474275</v>
      </c>
      <c r="E566" s="2">
        <v>119.39003</v>
      </c>
      <c r="F566" s="2">
        <v>196.228732</v>
      </c>
      <c r="G566" s="2">
        <v>206.770648</v>
      </c>
      <c r="H566" s="2">
        <v>256.228354</v>
      </c>
      <c r="I566" s="2">
        <v>269.616041</v>
      </c>
      <c r="J566" s="2">
        <v>316.175427</v>
      </c>
      <c r="K566" s="2">
        <v>219.850663</v>
      </c>
      <c r="L566" s="2">
        <v>203.359759</v>
      </c>
      <c r="M566" s="2">
        <v>189.325793</v>
      </c>
      <c r="N566" s="2">
        <v>141.907825</v>
      </c>
      <c r="O566" s="2">
        <v>2333.3235130000003</v>
      </c>
    </row>
    <row r="567" spans="1:15" ht="15.75">
      <c r="A567" s="1" t="s">
        <v>144</v>
      </c>
      <c r="B567" s="2">
        <v>660</v>
      </c>
      <c r="C567" s="2">
        <v>161.127862</v>
      </c>
      <c r="D567" s="2">
        <v>196.36407</v>
      </c>
      <c r="E567" s="2">
        <v>152.051649</v>
      </c>
      <c r="F567" s="2">
        <v>140.724948</v>
      </c>
      <c r="G567" s="2">
        <v>174.905548</v>
      </c>
      <c r="H567" s="2">
        <v>209.695437</v>
      </c>
      <c r="I567" s="2">
        <v>250.020658</v>
      </c>
      <c r="J567" s="2">
        <v>243.319289</v>
      </c>
      <c r="K567" s="2">
        <v>214.322113</v>
      </c>
      <c r="L567" s="2">
        <v>196.776145</v>
      </c>
      <c r="M567" s="2">
        <v>194.938693</v>
      </c>
      <c r="N567" s="2">
        <v>195.678218</v>
      </c>
      <c r="O567" s="2">
        <v>2329.92463</v>
      </c>
    </row>
    <row r="568" spans="1:15" ht="15.75">
      <c r="A568" s="1" t="s">
        <v>144</v>
      </c>
      <c r="B568" s="2">
        <v>252</v>
      </c>
      <c r="C568" s="2">
        <v>139.083152</v>
      </c>
      <c r="D568" s="2">
        <v>110.589534</v>
      </c>
      <c r="E568" s="2">
        <v>141.237211</v>
      </c>
      <c r="F568" s="2">
        <v>141.403512</v>
      </c>
      <c r="G568" s="2">
        <v>172.247128</v>
      </c>
      <c r="H568" s="2">
        <v>223.114804</v>
      </c>
      <c r="I568" s="2">
        <v>304.758364</v>
      </c>
      <c r="J568" s="2">
        <v>299.421996</v>
      </c>
      <c r="K568" s="2">
        <v>264.97221</v>
      </c>
      <c r="L568" s="2">
        <v>190.68504</v>
      </c>
      <c r="M568" s="2">
        <v>169.35596</v>
      </c>
      <c r="N568" s="2">
        <v>147.314139</v>
      </c>
      <c r="O568" s="2">
        <v>2304.18305</v>
      </c>
    </row>
    <row r="569" spans="1:15" ht="15.75">
      <c r="A569" s="1" t="s">
        <v>144</v>
      </c>
      <c r="B569" s="2">
        <v>504</v>
      </c>
      <c r="C569" s="2">
        <v>10.933762</v>
      </c>
      <c r="D569" s="2">
        <v>19.674236</v>
      </c>
      <c r="E569" s="2">
        <v>27.946652</v>
      </c>
      <c r="F569" s="2">
        <v>92.052053</v>
      </c>
      <c r="G569" s="2">
        <v>227.343645</v>
      </c>
      <c r="H569" s="2">
        <v>301.831432</v>
      </c>
      <c r="I569" s="2">
        <v>352.596945</v>
      </c>
      <c r="J569" s="2">
        <v>381.949172</v>
      </c>
      <c r="K569" s="2">
        <v>368.820306</v>
      </c>
      <c r="L569" s="2">
        <v>255.512689</v>
      </c>
      <c r="M569" s="2">
        <v>176.48343</v>
      </c>
      <c r="N569" s="2">
        <v>83.520322</v>
      </c>
      <c r="O569" s="2">
        <v>2298.664644</v>
      </c>
    </row>
    <row r="570" spans="1:15" ht="15.75">
      <c r="A570" s="1" t="s">
        <v>144</v>
      </c>
      <c r="B570" s="2">
        <v>252</v>
      </c>
      <c r="C570" s="2">
        <v>146.004529</v>
      </c>
      <c r="D570" s="2">
        <v>132.948288</v>
      </c>
      <c r="E570" s="2">
        <v>141.875725</v>
      </c>
      <c r="F570" s="2">
        <v>121.238777</v>
      </c>
      <c r="G570" s="2">
        <v>172.005337</v>
      </c>
      <c r="H570" s="2">
        <v>202.132398</v>
      </c>
      <c r="I570" s="2">
        <v>235.029714</v>
      </c>
      <c r="J570" s="2">
        <v>265.024033</v>
      </c>
      <c r="K570" s="2">
        <v>279.221797</v>
      </c>
      <c r="L570" s="2">
        <v>175.118366</v>
      </c>
      <c r="M570" s="2">
        <v>215.871289</v>
      </c>
      <c r="N570" s="2">
        <v>201.177884</v>
      </c>
      <c r="O570" s="2">
        <v>2287.648137</v>
      </c>
    </row>
    <row r="571" spans="1:15" ht="15.75">
      <c r="A571" s="1" t="s">
        <v>144</v>
      </c>
      <c r="B571" s="2">
        <v>252</v>
      </c>
      <c r="C571" s="2">
        <v>202.662667</v>
      </c>
      <c r="D571" s="2">
        <v>174.092972</v>
      </c>
      <c r="E571" s="2">
        <v>159.197357</v>
      </c>
      <c r="F571" s="2">
        <v>182.853106</v>
      </c>
      <c r="G571" s="2">
        <v>194.077936</v>
      </c>
      <c r="H571" s="2">
        <v>187.986728</v>
      </c>
      <c r="I571" s="2">
        <v>244.679364</v>
      </c>
      <c r="J571" s="2">
        <v>199.150885</v>
      </c>
      <c r="K571" s="2">
        <v>160.915035</v>
      </c>
      <c r="L571" s="2">
        <v>206.813222</v>
      </c>
      <c r="M571" s="2">
        <v>199.657987</v>
      </c>
      <c r="N571" s="2">
        <v>167.556492</v>
      </c>
      <c r="O571" s="2">
        <v>2279.643751</v>
      </c>
    </row>
    <row r="572" spans="1:15" ht="15.75">
      <c r="A572" s="1" t="s">
        <v>144</v>
      </c>
      <c r="B572" s="2">
        <v>660</v>
      </c>
      <c r="C572" s="2">
        <v>137.040504</v>
      </c>
      <c r="D572" s="2">
        <v>146.407436</v>
      </c>
      <c r="E572" s="2">
        <v>163.831674</v>
      </c>
      <c r="F572" s="2">
        <v>114.731671</v>
      </c>
      <c r="G572" s="2">
        <v>194.145338</v>
      </c>
      <c r="H572" s="2">
        <v>172.37262</v>
      </c>
      <c r="I572" s="2">
        <v>278.934524</v>
      </c>
      <c r="J572" s="2">
        <v>285.449002</v>
      </c>
      <c r="K572" s="2">
        <v>224.969804</v>
      </c>
      <c r="L572" s="2">
        <v>226.402479</v>
      </c>
      <c r="M572" s="2">
        <v>183.691353</v>
      </c>
      <c r="N572" s="2">
        <v>149.330674</v>
      </c>
      <c r="O572" s="2">
        <v>2277.307079</v>
      </c>
    </row>
    <row r="573" spans="1:15" ht="15.75">
      <c r="A573" s="1" t="s">
        <v>144</v>
      </c>
      <c r="B573" s="2">
        <v>252</v>
      </c>
      <c r="C573" s="2">
        <v>144.01484</v>
      </c>
      <c r="D573" s="2">
        <v>118.071354</v>
      </c>
      <c r="E573" s="2">
        <v>142.786521</v>
      </c>
      <c r="F573" s="2">
        <v>119.260666</v>
      </c>
      <c r="G573" s="2">
        <v>143.277494</v>
      </c>
      <c r="H573" s="2">
        <v>216.268815</v>
      </c>
      <c r="I573" s="2">
        <v>331.066895</v>
      </c>
      <c r="J573" s="2">
        <v>268.634198</v>
      </c>
      <c r="K573" s="2">
        <v>242.938117</v>
      </c>
      <c r="L573" s="2">
        <v>201.528233</v>
      </c>
      <c r="M573" s="2">
        <v>186.761228</v>
      </c>
      <c r="N573" s="2">
        <v>153.850773</v>
      </c>
      <c r="O573" s="2">
        <v>2268.459134</v>
      </c>
    </row>
    <row r="574" spans="1:15" ht="15.75">
      <c r="A574" s="1" t="s">
        <v>144</v>
      </c>
      <c r="B574" s="2">
        <v>660</v>
      </c>
      <c r="C574" s="2">
        <v>101.926579</v>
      </c>
      <c r="D574" s="2">
        <v>90.518098</v>
      </c>
      <c r="E574" s="2">
        <v>123.553042</v>
      </c>
      <c r="F574" s="2">
        <v>122.007434</v>
      </c>
      <c r="G574" s="2">
        <v>189.349753</v>
      </c>
      <c r="H574" s="2">
        <v>229.913507</v>
      </c>
      <c r="I574" s="2">
        <v>287.520009</v>
      </c>
      <c r="J574" s="2">
        <v>326.878025</v>
      </c>
      <c r="K574" s="2">
        <v>261.590027</v>
      </c>
      <c r="L574" s="2">
        <v>222.753135</v>
      </c>
      <c r="M574" s="2">
        <v>165.068871</v>
      </c>
      <c r="N574" s="2">
        <v>142.71272</v>
      </c>
      <c r="O574" s="2">
        <v>2263.7912</v>
      </c>
    </row>
    <row r="575" spans="1:15" ht="15.75">
      <c r="A575" s="1" t="s">
        <v>144</v>
      </c>
      <c r="B575" s="2">
        <v>252</v>
      </c>
      <c r="C575" s="2">
        <v>173.943416</v>
      </c>
      <c r="D575" s="2">
        <v>183.929828</v>
      </c>
      <c r="E575" s="2">
        <v>159.899348</v>
      </c>
      <c r="F575" s="2">
        <v>193.557511</v>
      </c>
      <c r="G575" s="2">
        <v>163.627758</v>
      </c>
      <c r="H575" s="2">
        <v>159.436512</v>
      </c>
      <c r="I575" s="2">
        <v>283.029549</v>
      </c>
      <c r="J575" s="2">
        <v>216.459288</v>
      </c>
      <c r="K575" s="2">
        <v>182.350151</v>
      </c>
      <c r="L575" s="2">
        <v>188.87296</v>
      </c>
      <c r="M575" s="2">
        <v>190.193822</v>
      </c>
      <c r="N575" s="2">
        <v>168.299462</v>
      </c>
      <c r="O575" s="2">
        <v>2263.599605</v>
      </c>
    </row>
    <row r="576" spans="1:15" ht="15.75">
      <c r="A576" s="1" t="s">
        <v>144</v>
      </c>
      <c r="B576" s="2">
        <v>252</v>
      </c>
      <c r="C576" s="2">
        <v>147.00986</v>
      </c>
      <c r="D576" s="2">
        <v>160.814577</v>
      </c>
      <c r="E576" s="2">
        <v>148.580924</v>
      </c>
      <c r="F576" s="2">
        <v>168.574056</v>
      </c>
      <c r="G576" s="2">
        <v>203.277978</v>
      </c>
      <c r="H576" s="2">
        <v>215.620299</v>
      </c>
      <c r="I576" s="2">
        <v>265.311889</v>
      </c>
      <c r="J576" s="2">
        <v>252.028764</v>
      </c>
      <c r="K576" s="2">
        <v>195.027387</v>
      </c>
      <c r="L576" s="2">
        <v>177.765413</v>
      </c>
      <c r="M576" s="2">
        <v>155.918073</v>
      </c>
      <c r="N576" s="2">
        <v>169.223549</v>
      </c>
      <c r="O576" s="2">
        <v>2259.152769</v>
      </c>
    </row>
    <row r="577" spans="1:15" ht="15.75">
      <c r="A577" s="1" t="s">
        <v>144</v>
      </c>
      <c r="B577" s="2">
        <v>252</v>
      </c>
      <c r="C577" s="2">
        <v>160.054839</v>
      </c>
      <c r="D577" s="2">
        <v>149.794032</v>
      </c>
      <c r="E577" s="2">
        <v>153.332353</v>
      </c>
      <c r="F577" s="2">
        <v>174.813838</v>
      </c>
      <c r="G577" s="2">
        <v>152.376702</v>
      </c>
      <c r="H577" s="2">
        <v>202.701932</v>
      </c>
      <c r="I577" s="2">
        <v>258.308291</v>
      </c>
      <c r="J577" s="2">
        <v>221.354924</v>
      </c>
      <c r="K577" s="2">
        <v>187.268597</v>
      </c>
      <c r="L577" s="2">
        <v>198.102042</v>
      </c>
      <c r="M577" s="2">
        <v>187.354838</v>
      </c>
      <c r="N577" s="2">
        <v>211.572371</v>
      </c>
      <c r="O577" s="2">
        <v>2257.034759</v>
      </c>
    </row>
    <row r="578" spans="1:15" ht="15.75">
      <c r="A578" s="1" t="s">
        <v>144</v>
      </c>
      <c r="B578" s="2">
        <v>660</v>
      </c>
      <c r="C578" s="2">
        <v>175.87788</v>
      </c>
      <c r="D578" s="2">
        <v>138.260235</v>
      </c>
      <c r="E578" s="2">
        <v>181.322101</v>
      </c>
      <c r="F578" s="2">
        <v>143.411596</v>
      </c>
      <c r="G578" s="2">
        <v>150.153235</v>
      </c>
      <c r="H578" s="2">
        <v>173.011536</v>
      </c>
      <c r="I578" s="2">
        <v>257.90263</v>
      </c>
      <c r="J578" s="2">
        <v>246.758901</v>
      </c>
      <c r="K578" s="2">
        <v>213.891275</v>
      </c>
      <c r="L578" s="2">
        <v>183.794579</v>
      </c>
      <c r="M578" s="2">
        <v>183.834667</v>
      </c>
      <c r="N578" s="2">
        <v>206.079216</v>
      </c>
      <c r="O578" s="2">
        <v>2254.297851</v>
      </c>
    </row>
    <row r="579" spans="1:15" ht="15.75">
      <c r="A579" s="1" t="s">
        <v>144</v>
      </c>
      <c r="B579" s="2">
        <v>252</v>
      </c>
      <c r="C579" s="2">
        <v>162.486584</v>
      </c>
      <c r="D579" s="2">
        <v>138.119907</v>
      </c>
      <c r="E579" s="2">
        <v>143.873873</v>
      </c>
      <c r="F579" s="2">
        <v>180.585742</v>
      </c>
      <c r="G579" s="2">
        <v>197.529376</v>
      </c>
      <c r="H579" s="2">
        <v>155.118333</v>
      </c>
      <c r="I579" s="2">
        <v>240.640578</v>
      </c>
      <c r="J579" s="2">
        <v>262.901703</v>
      </c>
      <c r="K579" s="2">
        <v>218.848765</v>
      </c>
      <c r="L579" s="2">
        <v>210.393409</v>
      </c>
      <c r="M579" s="2">
        <v>185.65579</v>
      </c>
      <c r="N579" s="2">
        <v>145.331396</v>
      </c>
      <c r="O579" s="2">
        <v>2241.485456</v>
      </c>
    </row>
    <row r="580" spans="1:15" ht="15.75">
      <c r="A580" s="1" t="s">
        <v>144</v>
      </c>
      <c r="B580" s="2">
        <v>252</v>
      </c>
      <c r="C580" s="2">
        <v>168.908814</v>
      </c>
      <c r="D580" s="2">
        <v>198.804695</v>
      </c>
      <c r="E580" s="2">
        <v>192.479812</v>
      </c>
      <c r="F580" s="2">
        <v>141.722181</v>
      </c>
      <c r="G580" s="2">
        <v>214.226811</v>
      </c>
      <c r="H580" s="2">
        <v>178.372284</v>
      </c>
      <c r="I580" s="2">
        <v>211.920984</v>
      </c>
      <c r="J580" s="2">
        <v>249.276433</v>
      </c>
      <c r="K580" s="2">
        <v>182.356059</v>
      </c>
      <c r="L580" s="2">
        <v>186.133003</v>
      </c>
      <c r="M580" s="2">
        <v>165.960166</v>
      </c>
      <c r="N580" s="2">
        <v>143.198966</v>
      </c>
      <c r="O580" s="2">
        <v>2233.360208</v>
      </c>
    </row>
    <row r="581" spans="1:15" ht="15.75">
      <c r="A581" s="1" t="s">
        <v>144</v>
      </c>
      <c r="B581" s="2">
        <v>660</v>
      </c>
      <c r="C581" s="2">
        <v>183.151407</v>
      </c>
      <c r="D581" s="2">
        <v>174.213514</v>
      </c>
      <c r="E581" s="2">
        <v>176.80231</v>
      </c>
      <c r="F581" s="2">
        <v>149.750767</v>
      </c>
      <c r="G581" s="2">
        <v>171.610729</v>
      </c>
      <c r="H581" s="2">
        <v>193.957364</v>
      </c>
      <c r="I581" s="2">
        <v>267.308679</v>
      </c>
      <c r="J581" s="2">
        <v>226.213653</v>
      </c>
      <c r="K581" s="2">
        <v>208.5714</v>
      </c>
      <c r="L581" s="2">
        <v>160.549444</v>
      </c>
      <c r="M581" s="2">
        <v>179.270522</v>
      </c>
      <c r="N581" s="2">
        <v>137.835538</v>
      </c>
      <c r="O581" s="2">
        <v>2229.235327</v>
      </c>
    </row>
    <row r="582" spans="1:15" ht="15.75">
      <c r="A582" s="1" t="s">
        <v>144</v>
      </c>
      <c r="B582" s="2">
        <v>660</v>
      </c>
      <c r="C582" s="2">
        <v>165.591704</v>
      </c>
      <c r="D582" s="2">
        <v>139.967521</v>
      </c>
      <c r="E582" s="2">
        <v>140.096057</v>
      </c>
      <c r="F582" s="2">
        <v>143.611266</v>
      </c>
      <c r="G582" s="2">
        <v>138.073546</v>
      </c>
      <c r="H582" s="2">
        <v>220.621652</v>
      </c>
      <c r="I582" s="2">
        <v>304.270576</v>
      </c>
      <c r="J582" s="2">
        <v>242.765861</v>
      </c>
      <c r="K582" s="2">
        <v>213.523186</v>
      </c>
      <c r="L582" s="2">
        <v>162.25114</v>
      </c>
      <c r="M582" s="2">
        <v>201.902573</v>
      </c>
      <c r="N582" s="2">
        <v>148.545899</v>
      </c>
      <c r="O582" s="2">
        <v>2221.2209810000004</v>
      </c>
    </row>
    <row r="583" spans="1:15" ht="15.75">
      <c r="A583" s="1" t="s">
        <v>144</v>
      </c>
      <c r="B583" s="2">
        <v>252</v>
      </c>
      <c r="C583" s="2">
        <v>195.377578</v>
      </c>
      <c r="D583" s="2">
        <v>161.749416</v>
      </c>
      <c r="E583" s="2">
        <v>186.464857</v>
      </c>
      <c r="F583" s="2">
        <v>182.888281</v>
      </c>
      <c r="G583" s="2">
        <v>168.409777</v>
      </c>
      <c r="H583" s="2">
        <v>177.803113</v>
      </c>
      <c r="I583" s="2">
        <v>194.497604</v>
      </c>
      <c r="J583" s="2">
        <v>188.104745</v>
      </c>
      <c r="K583" s="2">
        <v>228.814625</v>
      </c>
      <c r="L583" s="2">
        <v>153.274744</v>
      </c>
      <c r="M583" s="2">
        <v>186.400825</v>
      </c>
      <c r="N583" s="2">
        <v>190.349583</v>
      </c>
      <c r="O583" s="2">
        <v>2214.135148</v>
      </c>
    </row>
    <row r="584" spans="1:15" ht="15.75">
      <c r="A584" s="1" t="s">
        <v>144</v>
      </c>
      <c r="B584" s="2">
        <v>252</v>
      </c>
      <c r="C584" s="2">
        <v>159.758995</v>
      </c>
      <c r="D584" s="2">
        <v>127.081812</v>
      </c>
      <c r="E584" s="2">
        <v>156.628748</v>
      </c>
      <c r="F584" s="2">
        <v>147.851324</v>
      </c>
      <c r="G584" s="2">
        <v>212.625561</v>
      </c>
      <c r="H584" s="2">
        <v>213.119242</v>
      </c>
      <c r="I584" s="2">
        <v>192.205033</v>
      </c>
      <c r="J584" s="2">
        <v>161.18913</v>
      </c>
      <c r="K584" s="2">
        <v>246.17235</v>
      </c>
      <c r="L584" s="2">
        <v>206.891669</v>
      </c>
      <c r="M584" s="2">
        <v>202.394955</v>
      </c>
      <c r="N584" s="2">
        <v>175.417791</v>
      </c>
      <c r="O584" s="2">
        <v>2201.33661</v>
      </c>
    </row>
    <row r="585" spans="1:15" ht="15.75">
      <c r="A585" s="1" t="s">
        <v>144</v>
      </c>
      <c r="B585" s="2">
        <v>372</v>
      </c>
      <c r="C585" s="2">
        <v>178.586198</v>
      </c>
      <c r="D585" s="2">
        <v>151.724742</v>
      </c>
      <c r="E585" s="2">
        <v>182.517923</v>
      </c>
      <c r="F585" s="2">
        <v>153.018449</v>
      </c>
      <c r="G585" s="2">
        <v>178.592519</v>
      </c>
      <c r="H585" s="2">
        <v>174.153128</v>
      </c>
      <c r="I585" s="2">
        <v>216.897731</v>
      </c>
      <c r="J585" s="2">
        <v>203.511438</v>
      </c>
      <c r="K585" s="2">
        <v>218.510956</v>
      </c>
      <c r="L585" s="2">
        <v>175.045709</v>
      </c>
      <c r="M585" s="2">
        <v>169.946058</v>
      </c>
      <c r="N585" s="2">
        <v>181.182614</v>
      </c>
      <c r="O585" s="2">
        <v>2183.687465</v>
      </c>
    </row>
    <row r="586" spans="1:15" ht="15.75">
      <c r="A586" s="1" t="s">
        <v>144</v>
      </c>
      <c r="B586" s="2">
        <v>660</v>
      </c>
      <c r="C586" s="2">
        <v>121.624415</v>
      </c>
      <c r="D586" s="2">
        <v>127.407113</v>
      </c>
      <c r="E586" s="2">
        <v>127.27593</v>
      </c>
      <c r="F586" s="2">
        <v>149.950471</v>
      </c>
      <c r="G586" s="2">
        <v>204.553173</v>
      </c>
      <c r="H586" s="2">
        <v>213.89751</v>
      </c>
      <c r="I586" s="2">
        <v>283.649285</v>
      </c>
      <c r="J586" s="2">
        <v>230.537709</v>
      </c>
      <c r="K586" s="2">
        <v>190.337828</v>
      </c>
      <c r="L586" s="2">
        <v>216.701676</v>
      </c>
      <c r="M586" s="2">
        <v>172.059714</v>
      </c>
      <c r="N586" s="2">
        <v>142.321211</v>
      </c>
      <c r="O586" s="2">
        <v>2180.316035</v>
      </c>
    </row>
    <row r="587" spans="1:15" ht="15.75">
      <c r="A587" s="1" t="s">
        <v>144</v>
      </c>
      <c r="B587" s="2">
        <v>660</v>
      </c>
      <c r="C587" s="2">
        <v>318.970942</v>
      </c>
      <c r="D587" s="2">
        <v>384.516231</v>
      </c>
      <c r="E587" s="2">
        <v>323.881773</v>
      </c>
      <c r="F587" s="2">
        <v>2.203864</v>
      </c>
      <c r="G587" s="2">
        <v>0</v>
      </c>
      <c r="H587" s="2">
        <v>0</v>
      </c>
      <c r="I587" s="2">
        <v>0</v>
      </c>
      <c r="J587" s="2">
        <v>0</v>
      </c>
      <c r="K587" s="2">
        <v>0</v>
      </c>
      <c r="L587" s="2">
        <v>0</v>
      </c>
      <c r="M587" s="2">
        <v>37.328463</v>
      </c>
      <c r="N587" s="2">
        <v>1105.398735</v>
      </c>
      <c r="O587" s="2">
        <v>2172.300008</v>
      </c>
    </row>
    <row r="588" spans="1:15" ht="15.75">
      <c r="A588" s="1" t="s">
        <v>144</v>
      </c>
      <c r="B588" s="2">
        <v>715</v>
      </c>
      <c r="C588" s="2">
        <v>47.651408</v>
      </c>
      <c r="D588" s="2">
        <v>47.865955</v>
      </c>
      <c r="E588" s="2">
        <v>59.32611</v>
      </c>
      <c r="F588" s="2">
        <v>49.721654</v>
      </c>
      <c r="G588" s="2">
        <v>145.151833</v>
      </c>
      <c r="H588" s="2">
        <v>248.445029</v>
      </c>
      <c r="I588" s="2">
        <v>359.675278</v>
      </c>
      <c r="J588" s="2">
        <v>399.27243</v>
      </c>
      <c r="K588" s="2">
        <v>317.847133</v>
      </c>
      <c r="L588" s="2">
        <v>276.839896</v>
      </c>
      <c r="M588" s="2">
        <v>124.926687</v>
      </c>
      <c r="N588" s="2">
        <v>93.594551</v>
      </c>
      <c r="O588" s="2">
        <v>2170.3179640000003</v>
      </c>
    </row>
    <row r="589" spans="1:15" ht="15.75">
      <c r="A589" s="1" t="s">
        <v>144</v>
      </c>
      <c r="B589" s="2">
        <v>252</v>
      </c>
      <c r="C589" s="2">
        <v>150.862907</v>
      </c>
      <c r="D589" s="2">
        <v>180.965683</v>
      </c>
      <c r="E589" s="2">
        <v>167.267358</v>
      </c>
      <c r="F589" s="2">
        <v>160.293165</v>
      </c>
      <c r="G589" s="2">
        <v>179.706152</v>
      </c>
      <c r="H589" s="2">
        <v>201.014246</v>
      </c>
      <c r="I589" s="2">
        <v>231.274199</v>
      </c>
      <c r="J589" s="2">
        <v>212.732431</v>
      </c>
      <c r="K589" s="2">
        <v>177.311841</v>
      </c>
      <c r="L589" s="2">
        <v>176.290257</v>
      </c>
      <c r="M589" s="2">
        <v>171.504047</v>
      </c>
      <c r="N589" s="2">
        <v>150.721691</v>
      </c>
      <c r="O589" s="2">
        <v>2159.943977</v>
      </c>
    </row>
    <row r="590" spans="1:15" ht="15.75">
      <c r="A590" s="1" t="s">
        <v>144</v>
      </c>
      <c r="B590" s="2">
        <v>252</v>
      </c>
      <c r="C590" s="2">
        <v>180.84768</v>
      </c>
      <c r="D590" s="2">
        <v>168.499703</v>
      </c>
      <c r="E590" s="2">
        <v>163.147455</v>
      </c>
      <c r="F590" s="2">
        <v>192.752719</v>
      </c>
      <c r="G590" s="2">
        <v>197.841259</v>
      </c>
      <c r="H590" s="2">
        <v>242.140028</v>
      </c>
      <c r="I590" s="2">
        <v>178.329102</v>
      </c>
      <c r="J590" s="2">
        <v>193.317147</v>
      </c>
      <c r="K590" s="2">
        <v>169.477514</v>
      </c>
      <c r="L590" s="2">
        <v>161.617466</v>
      </c>
      <c r="M590" s="2">
        <v>150.777897</v>
      </c>
      <c r="N590" s="2">
        <v>159.569078</v>
      </c>
      <c r="O590" s="2">
        <v>2158.317048</v>
      </c>
    </row>
    <row r="591" spans="1:15" ht="15.75">
      <c r="A591" s="1" t="s">
        <v>144</v>
      </c>
      <c r="B591" s="2">
        <v>252</v>
      </c>
      <c r="C591" s="2">
        <v>200.768726</v>
      </c>
      <c r="D591" s="2">
        <v>163.644213</v>
      </c>
      <c r="E591" s="2">
        <v>179.136748</v>
      </c>
      <c r="F591" s="2">
        <v>130.966591</v>
      </c>
      <c r="G591" s="2">
        <v>157.013765</v>
      </c>
      <c r="H591" s="2">
        <v>246.89335</v>
      </c>
      <c r="I591" s="2">
        <v>194.465194</v>
      </c>
      <c r="J591" s="2">
        <v>147.725931</v>
      </c>
      <c r="K591" s="2">
        <v>161.570691</v>
      </c>
      <c r="L591" s="2">
        <v>152.709054</v>
      </c>
      <c r="M591" s="2">
        <v>236.909418</v>
      </c>
      <c r="N591" s="2">
        <v>184.233639</v>
      </c>
      <c r="O591" s="2">
        <v>2156.0373199999995</v>
      </c>
    </row>
    <row r="592" spans="1:15" ht="15.75">
      <c r="A592" s="1" t="s">
        <v>144</v>
      </c>
      <c r="B592" s="2">
        <v>252</v>
      </c>
      <c r="C592" s="2">
        <v>205.640988</v>
      </c>
      <c r="D592" s="2">
        <v>191.331036</v>
      </c>
      <c r="E592" s="2">
        <v>195.433908</v>
      </c>
      <c r="F592" s="2">
        <v>170.086635</v>
      </c>
      <c r="G592" s="2">
        <v>201.536085</v>
      </c>
      <c r="H592" s="2">
        <v>160.05011</v>
      </c>
      <c r="I592" s="2">
        <v>204.831458</v>
      </c>
      <c r="J592" s="2">
        <v>214.89145</v>
      </c>
      <c r="K592" s="2">
        <v>202.903401</v>
      </c>
      <c r="L592" s="2">
        <v>145.599976</v>
      </c>
      <c r="M592" s="2">
        <v>135.50669</v>
      </c>
      <c r="N592" s="2">
        <v>126.409259</v>
      </c>
      <c r="O592" s="2">
        <v>2154.2209959999996</v>
      </c>
    </row>
    <row r="593" spans="1:15" ht="15.75">
      <c r="A593" s="1" t="s">
        <v>144</v>
      </c>
      <c r="B593" s="2">
        <v>720</v>
      </c>
      <c r="C593" s="2">
        <v>173.897976</v>
      </c>
      <c r="D593" s="2">
        <v>163.918401</v>
      </c>
      <c r="E593" s="2">
        <v>180.588598</v>
      </c>
      <c r="F593" s="2">
        <v>126.12284</v>
      </c>
      <c r="G593" s="2">
        <v>188.064002</v>
      </c>
      <c r="H593" s="2">
        <v>160.069631</v>
      </c>
      <c r="I593" s="2">
        <v>199.371678</v>
      </c>
      <c r="J593" s="2">
        <v>231.732431</v>
      </c>
      <c r="K593" s="2">
        <v>190.046902</v>
      </c>
      <c r="L593" s="2">
        <v>176.429353</v>
      </c>
      <c r="M593" s="2">
        <v>187.864396</v>
      </c>
      <c r="N593" s="2">
        <v>167.184374</v>
      </c>
      <c r="O593" s="2">
        <v>2145.2905819999996</v>
      </c>
    </row>
    <row r="594" spans="1:15" ht="15.75">
      <c r="A594" s="1" t="s">
        <v>144</v>
      </c>
      <c r="B594" s="2">
        <v>252</v>
      </c>
      <c r="C594" s="2">
        <v>111.241288</v>
      </c>
      <c r="D594" s="2">
        <v>37.049938</v>
      </c>
      <c r="E594" s="2">
        <v>6.628846</v>
      </c>
      <c r="F594" s="2">
        <v>61.349743</v>
      </c>
      <c r="G594" s="2">
        <v>171.864005</v>
      </c>
      <c r="H594" s="2">
        <v>229.134304</v>
      </c>
      <c r="I594" s="2">
        <v>271.515287</v>
      </c>
      <c r="J594" s="2">
        <v>317.363427</v>
      </c>
      <c r="K594" s="2">
        <v>282.480542</v>
      </c>
      <c r="L594" s="2">
        <v>236.157049</v>
      </c>
      <c r="M594" s="2">
        <v>244.742547</v>
      </c>
      <c r="N594" s="2">
        <v>156.945197</v>
      </c>
      <c r="O594" s="2">
        <v>2126.472173</v>
      </c>
    </row>
    <row r="595" spans="1:15" ht="15.75">
      <c r="A595" s="1" t="s">
        <v>144</v>
      </c>
      <c r="B595" s="2">
        <v>252</v>
      </c>
      <c r="C595" s="2">
        <v>163.360255</v>
      </c>
      <c r="D595" s="2">
        <v>139.462626</v>
      </c>
      <c r="E595" s="2">
        <v>68.514792</v>
      </c>
      <c r="F595" s="2">
        <v>259.667541</v>
      </c>
      <c r="G595" s="2">
        <v>194.606771</v>
      </c>
      <c r="H595" s="2">
        <v>251.958849</v>
      </c>
      <c r="I595" s="2">
        <v>332.239399</v>
      </c>
      <c r="J595" s="2">
        <v>329.258495</v>
      </c>
      <c r="K595" s="2">
        <v>156.631212</v>
      </c>
      <c r="L595" s="2">
        <v>20.892354</v>
      </c>
      <c r="M595" s="2">
        <v>84.527582</v>
      </c>
      <c r="N595" s="2">
        <v>109.5534</v>
      </c>
      <c r="O595" s="2">
        <v>2110.673276</v>
      </c>
    </row>
    <row r="596" spans="1:15" ht="15.75">
      <c r="A596" s="1" t="s">
        <v>144</v>
      </c>
      <c r="B596" s="2">
        <v>660</v>
      </c>
      <c r="C596" s="2">
        <v>135.429521</v>
      </c>
      <c r="D596" s="2">
        <v>140.65862</v>
      </c>
      <c r="E596" s="2">
        <v>152.499871</v>
      </c>
      <c r="F596" s="2">
        <v>123.676925</v>
      </c>
      <c r="G596" s="2">
        <v>169.329183</v>
      </c>
      <c r="H596" s="2">
        <v>165.216639</v>
      </c>
      <c r="I596" s="2">
        <v>264.205692</v>
      </c>
      <c r="J596" s="2">
        <v>290.245608</v>
      </c>
      <c r="K596" s="2">
        <v>180.761157</v>
      </c>
      <c r="L596" s="2">
        <v>180.392609</v>
      </c>
      <c r="M596" s="2">
        <v>163.245208</v>
      </c>
      <c r="N596" s="2">
        <v>120.736943</v>
      </c>
      <c r="O596" s="2">
        <v>2086.3979759999997</v>
      </c>
    </row>
    <row r="597" spans="1:15" ht="15.75">
      <c r="A597" s="1" t="s">
        <v>144</v>
      </c>
      <c r="B597" s="2">
        <v>912</v>
      </c>
      <c r="C597" s="2">
        <v>160.109759</v>
      </c>
      <c r="D597" s="2">
        <v>117.752496</v>
      </c>
      <c r="E597" s="2">
        <v>166.5881</v>
      </c>
      <c r="F597" s="2">
        <v>120.979696</v>
      </c>
      <c r="G597" s="2">
        <v>121.806757</v>
      </c>
      <c r="H597" s="2">
        <v>207.595136</v>
      </c>
      <c r="I597" s="2">
        <v>254.37506</v>
      </c>
      <c r="J597" s="2">
        <v>275.648962</v>
      </c>
      <c r="K597" s="2">
        <v>224.952942</v>
      </c>
      <c r="L597" s="2">
        <v>157.336254</v>
      </c>
      <c r="M597" s="2">
        <v>146.136856</v>
      </c>
      <c r="N597" s="2">
        <v>127.159555</v>
      </c>
      <c r="O597" s="2">
        <v>2080.441573</v>
      </c>
    </row>
    <row r="598" spans="1:15" ht="15.75">
      <c r="A598" s="1" t="s">
        <v>144</v>
      </c>
      <c r="B598" s="2">
        <v>660</v>
      </c>
      <c r="C598" s="2">
        <v>38.393385</v>
      </c>
      <c r="D598" s="2">
        <v>10.08442</v>
      </c>
      <c r="E598" s="2">
        <v>35.339642</v>
      </c>
      <c r="F598" s="2">
        <v>94.902624</v>
      </c>
      <c r="G598" s="2">
        <v>190.664656</v>
      </c>
      <c r="H598" s="2">
        <v>227.02912</v>
      </c>
      <c r="I598" s="2">
        <v>320.173719</v>
      </c>
      <c r="J598" s="2">
        <v>329.763428</v>
      </c>
      <c r="K598" s="2">
        <v>268.399051</v>
      </c>
      <c r="L598" s="2">
        <v>204.615589</v>
      </c>
      <c r="M598" s="2">
        <v>193.721358</v>
      </c>
      <c r="N598" s="2">
        <v>153.065416</v>
      </c>
      <c r="O598" s="2">
        <v>2066.152408</v>
      </c>
    </row>
    <row r="599" spans="1:15" ht="15.75">
      <c r="A599" s="1" t="s">
        <v>144</v>
      </c>
      <c r="B599" s="2">
        <v>660</v>
      </c>
      <c r="C599" s="2">
        <v>135.98081</v>
      </c>
      <c r="D599" s="2">
        <v>113.757444</v>
      </c>
      <c r="E599" s="2">
        <v>111.529076</v>
      </c>
      <c r="F599" s="2">
        <v>105.798253</v>
      </c>
      <c r="G599" s="2">
        <v>159.190849</v>
      </c>
      <c r="H599" s="2">
        <v>204.993848</v>
      </c>
      <c r="I599" s="2">
        <v>255.494067</v>
      </c>
      <c r="J599" s="2">
        <v>271.374949</v>
      </c>
      <c r="K599" s="2">
        <v>258.378264</v>
      </c>
      <c r="L599" s="2">
        <v>182.382321</v>
      </c>
      <c r="M599" s="2">
        <v>146.580337</v>
      </c>
      <c r="N599" s="2">
        <v>111.981045</v>
      </c>
      <c r="O599" s="2">
        <v>2057.441263</v>
      </c>
    </row>
    <row r="600" spans="1:15" ht="15.75">
      <c r="A600" s="1" t="s">
        <v>144</v>
      </c>
      <c r="B600" s="2">
        <v>660</v>
      </c>
      <c r="C600" s="2">
        <v>133.542126</v>
      </c>
      <c r="D600" s="2">
        <v>178.399596</v>
      </c>
      <c r="E600" s="2">
        <v>115.542008</v>
      </c>
      <c r="F600" s="2">
        <v>145.010942</v>
      </c>
      <c r="G600" s="2">
        <v>168.251735</v>
      </c>
      <c r="H600" s="2">
        <v>135.983468</v>
      </c>
      <c r="I600" s="2">
        <v>185.182335</v>
      </c>
      <c r="J600" s="2">
        <v>202.097764</v>
      </c>
      <c r="K600" s="2">
        <v>173.795808</v>
      </c>
      <c r="L600" s="2">
        <v>227.213218</v>
      </c>
      <c r="M600" s="2">
        <v>211.48125</v>
      </c>
      <c r="N600" s="2">
        <v>178.883059</v>
      </c>
      <c r="O600" s="2">
        <v>2055.3833090000007</v>
      </c>
    </row>
    <row r="601" spans="1:15" ht="15.75">
      <c r="A601" s="1" t="s">
        <v>144</v>
      </c>
      <c r="B601" s="2">
        <v>252</v>
      </c>
      <c r="C601" s="2">
        <v>187.371996</v>
      </c>
      <c r="D601" s="2">
        <v>193.745425</v>
      </c>
      <c r="E601" s="2">
        <v>228.879333</v>
      </c>
      <c r="F601" s="2">
        <v>167.616261</v>
      </c>
      <c r="G601" s="2">
        <v>220.35897</v>
      </c>
      <c r="H601" s="2">
        <v>220.154007</v>
      </c>
      <c r="I601" s="2">
        <v>251.290489</v>
      </c>
      <c r="J601" s="2">
        <v>96.174043</v>
      </c>
      <c r="K601" s="2">
        <v>26.224956</v>
      </c>
      <c r="L601" s="2">
        <v>35.403244</v>
      </c>
      <c r="M601" s="2">
        <v>210.783237</v>
      </c>
      <c r="N601" s="2">
        <v>207.299604</v>
      </c>
      <c r="O601" s="2">
        <v>2045.3015650000002</v>
      </c>
    </row>
    <row r="602" spans="1:15" ht="15.75">
      <c r="A602" s="1" t="s">
        <v>144</v>
      </c>
      <c r="B602" s="2">
        <v>660</v>
      </c>
      <c r="C602" s="2">
        <v>95.103849</v>
      </c>
      <c r="D602" s="2">
        <v>122.339772</v>
      </c>
      <c r="E602" s="2">
        <v>150.40194</v>
      </c>
      <c r="F602" s="2">
        <v>146.263577</v>
      </c>
      <c r="G602" s="2">
        <v>190.895894</v>
      </c>
      <c r="H602" s="2">
        <v>171.983208</v>
      </c>
      <c r="I602" s="2">
        <v>207.574854</v>
      </c>
      <c r="J602" s="2">
        <v>251.531093</v>
      </c>
      <c r="K602" s="2">
        <v>189.657883</v>
      </c>
      <c r="L602" s="2">
        <v>209.632663</v>
      </c>
      <c r="M602" s="2">
        <v>160.871815</v>
      </c>
      <c r="N602" s="2">
        <v>141.221712</v>
      </c>
      <c r="O602" s="2">
        <v>2037.4782600000003</v>
      </c>
    </row>
    <row r="603" spans="1:15" ht="15.75">
      <c r="A603" s="1" t="s">
        <v>144</v>
      </c>
      <c r="B603" s="2">
        <v>252</v>
      </c>
      <c r="C603" s="2">
        <v>18.316659</v>
      </c>
      <c r="D603" s="2">
        <v>39.054608</v>
      </c>
      <c r="E603" s="2">
        <v>33.421613</v>
      </c>
      <c r="F603" s="2">
        <v>98.995458</v>
      </c>
      <c r="G603" s="2">
        <v>159.236754</v>
      </c>
      <c r="H603" s="2">
        <v>241.525425</v>
      </c>
      <c r="I603" s="2">
        <v>324.576641</v>
      </c>
      <c r="J603" s="2">
        <v>306.864842</v>
      </c>
      <c r="K603" s="2">
        <v>259.129245</v>
      </c>
      <c r="L603" s="2">
        <v>235.405356</v>
      </c>
      <c r="M603" s="2">
        <v>150.316166</v>
      </c>
      <c r="N603" s="2">
        <v>143.773708</v>
      </c>
      <c r="O603" s="2">
        <v>2010.616475</v>
      </c>
    </row>
    <row r="604" spans="1:15" ht="15.75">
      <c r="A604" s="1" t="s">
        <v>144</v>
      </c>
      <c r="B604" s="2">
        <v>660</v>
      </c>
      <c r="C604" s="2">
        <v>141.031432</v>
      </c>
      <c r="D604" s="2">
        <v>133.292948</v>
      </c>
      <c r="E604" s="2">
        <v>158.482062</v>
      </c>
      <c r="F604" s="2">
        <v>129.809205</v>
      </c>
      <c r="G604" s="2">
        <v>165.911459</v>
      </c>
      <c r="H604" s="2">
        <v>170.071038</v>
      </c>
      <c r="I604" s="2">
        <v>202.759602</v>
      </c>
      <c r="J604" s="2">
        <v>219.404664</v>
      </c>
      <c r="K604" s="2">
        <v>187.265384</v>
      </c>
      <c r="L604" s="2">
        <v>164.967019</v>
      </c>
      <c r="M604" s="2">
        <v>179.564552</v>
      </c>
      <c r="N604" s="2">
        <v>152.979596</v>
      </c>
      <c r="O604" s="2">
        <v>2005.538961</v>
      </c>
    </row>
    <row r="605" spans="1:15" ht="15.75">
      <c r="A605" s="1" t="s">
        <v>144</v>
      </c>
      <c r="B605" s="2">
        <v>252</v>
      </c>
      <c r="C605" s="2">
        <v>111.268354</v>
      </c>
      <c r="D605" s="2">
        <v>31.368397</v>
      </c>
      <c r="E605" s="2">
        <v>78.691103</v>
      </c>
      <c r="F605" s="2">
        <v>129.698385</v>
      </c>
      <c r="G605" s="2">
        <v>173.967186</v>
      </c>
      <c r="H605" s="2">
        <v>173.51278</v>
      </c>
      <c r="I605" s="2">
        <v>261.482903</v>
      </c>
      <c r="J605" s="2">
        <v>291.045791</v>
      </c>
      <c r="K605" s="2">
        <v>233.52782</v>
      </c>
      <c r="L605" s="2">
        <v>206.446143</v>
      </c>
      <c r="M605" s="2">
        <v>198.535659</v>
      </c>
      <c r="N605" s="2">
        <v>101.653095</v>
      </c>
      <c r="O605" s="2">
        <v>1991.1976160000002</v>
      </c>
    </row>
    <row r="606" spans="1:15" ht="15.75">
      <c r="A606" s="1" t="s">
        <v>144</v>
      </c>
      <c r="B606" s="2">
        <v>252</v>
      </c>
      <c r="C606" s="2">
        <v>67.421046</v>
      </c>
      <c r="D606" s="2">
        <v>96.01892</v>
      </c>
      <c r="E606" s="2">
        <v>110.897086</v>
      </c>
      <c r="F606" s="2">
        <v>88.50714</v>
      </c>
      <c r="G606" s="2">
        <v>131.883864</v>
      </c>
      <c r="H606" s="2">
        <v>198.857051</v>
      </c>
      <c r="I606" s="2">
        <v>236.565122</v>
      </c>
      <c r="J606" s="2">
        <v>246.735288</v>
      </c>
      <c r="K606" s="2">
        <v>210.526827</v>
      </c>
      <c r="L606" s="2">
        <v>194.672907</v>
      </c>
      <c r="M606" s="2">
        <v>216.898913</v>
      </c>
      <c r="N606" s="2">
        <v>175.020809</v>
      </c>
      <c r="O606" s="2">
        <v>1974.004973</v>
      </c>
    </row>
    <row r="607" spans="1:15" ht="15.75">
      <c r="A607" s="1" t="s">
        <v>144</v>
      </c>
      <c r="B607" s="2">
        <v>252</v>
      </c>
      <c r="C607" s="2">
        <v>101.506278</v>
      </c>
      <c r="D607" s="2">
        <v>92.82181</v>
      </c>
      <c r="E607" s="2">
        <v>101.223016</v>
      </c>
      <c r="F607" s="2">
        <v>112.784385</v>
      </c>
      <c r="G607" s="2">
        <v>191.037646</v>
      </c>
      <c r="H607" s="2">
        <v>192.509299</v>
      </c>
      <c r="I607" s="2">
        <v>269.079657</v>
      </c>
      <c r="J607" s="2">
        <v>282.5418</v>
      </c>
      <c r="K607" s="2">
        <v>212.677143</v>
      </c>
      <c r="L607" s="2">
        <v>176.041863</v>
      </c>
      <c r="M607" s="2">
        <v>136.657743</v>
      </c>
      <c r="N607" s="2">
        <v>104.416128</v>
      </c>
      <c r="O607" s="2">
        <v>1973.2967680000002</v>
      </c>
    </row>
    <row r="608" spans="1:15" ht="15.75">
      <c r="A608" s="1" t="s">
        <v>144</v>
      </c>
      <c r="B608" s="2">
        <v>60</v>
      </c>
      <c r="C608" s="2">
        <v>158.957176</v>
      </c>
      <c r="D608" s="2">
        <v>173.648428</v>
      </c>
      <c r="E608" s="2">
        <v>155.994065</v>
      </c>
      <c r="F608" s="2">
        <v>150.455379</v>
      </c>
      <c r="G608" s="2">
        <v>165.458192</v>
      </c>
      <c r="H608" s="2">
        <v>165.775668</v>
      </c>
      <c r="I608" s="2">
        <v>183.987958</v>
      </c>
      <c r="J608" s="2">
        <v>168.183558</v>
      </c>
      <c r="K608" s="2">
        <v>137.180921</v>
      </c>
      <c r="L608" s="2">
        <v>189.571606</v>
      </c>
      <c r="M608" s="2">
        <v>163.37063</v>
      </c>
      <c r="N608" s="2">
        <v>145.576043</v>
      </c>
      <c r="O608" s="2">
        <v>1958.159624</v>
      </c>
    </row>
    <row r="609" spans="1:15" ht="15.75">
      <c r="A609" s="1" t="s">
        <v>144</v>
      </c>
      <c r="B609" s="2">
        <v>252</v>
      </c>
      <c r="C609" s="2">
        <v>122.683002</v>
      </c>
      <c r="D609" s="2">
        <v>107.846501</v>
      </c>
      <c r="E609" s="2">
        <v>131.044643</v>
      </c>
      <c r="F609" s="2">
        <v>106.529309</v>
      </c>
      <c r="G609" s="2">
        <v>127.917397</v>
      </c>
      <c r="H609" s="2">
        <v>186.240814</v>
      </c>
      <c r="I609" s="2">
        <v>220.890468</v>
      </c>
      <c r="J609" s="2">
        <v>231.996064</v>
      </c>
      <c r="K609" s="2">
        <v>181.818935</v>
      </c>
      <c r="L609" s="2">
        <v>173.372953</v>
      </c>
      <c r="M609" s="2">
        <v>173.574859</v>
      </c>
      <c r="N609" s="2">
        <v>190.486504</v>
      </c>
      <c r="O609" s="2">
        <v>1954.4014490000002</v>
      </c>
    </row>
    <row r="610" spans="1:15" ht="15.75">
      <c r="A610" s="1" t="s">
        <v>144</v>
      </c>
      <c r="B610" s="2">
        <v>252</v>
      </c>
      <c r="C610" s="2">
        <v>160.173176</v>
      </c>
      <c r="D610" s="2">
        <v>125.218266</v>
      </c>
      <c r="E610" s="2">
        <v>152.815538</v>
      </c>
      <c r="F610" s="2">
        <v>125.428293</v>
      </c>
      <c r="G610" s="2">
        <v>135.723763</v>
      </c>
      <c r="H610" s="2">
        <v>164.076607</v>
      </c>
      <c r="I610" s="2">
        <v>221.784611</v>
      </c>
      <c r="J610" s="2">
        <v>212.725341</v>
      </c>
      <c r="K610" s="2">
        <v>191.260236</v>
      </c>
      <c r="L610" s="2">
        <v>153.602255</v>
      </c>
      <c r="M610" s="2">
        <v>150.805252</v>
      </c>
      <c r="N610" s="2">
        <v>158.910025</v>
      </c>
      <c r="O610" s="2">
        <v>1952.523363</v>
      </c>
    </row>
    <row r="611" spans="1:15" ht="15.75">
      <c r="A611" s="1" t="s">
        <v>144</v>
      </c>
      <c r="B611" s="2">
        <v>605</v>
      </c>
      <c r="C611" s="2">
        <v>104.389127</v>
      </c>
      <c r="D611" s="2">
        <v>95.815362</v>
      </c>
      <c r="E611" s="2">
        <v>107.66357</v>
      </c>
      <c r="F611" s="2">
        <v>110.715948</v>
      </c>
      <c r="G611" s="2">
        <v>164.350645</v>
      </c>
      <c r="H611" s="2">
        <v>231.473988</v>
      </c>
      <c r="I611" s="2">
        <v>263.784904</v>
      </c>
      <c r="J611" s="2">
        <v>297.247668</v>
      </c>
      <c r="K611" s="2">
        <v>224.348541</v>
      </c>
      <c r="L611" s="2">
        <v>192.315455</v>
      </c>
      <c r="M611" s="2">
        <v>149.440666</v>
      </c>
      <c r="O611" s="2">
        <v>1941.545874</v>
      </c>
    </row>
    <row r="612" spans="1:15" ht="15.75">
      <c r="A612" s="1" t="s">
        <v>144</v>
      </c>
      <c r="B612" s="2">
        <v>660</v>
      </c>
      <c r="C612" s="2">
        <v>108.507297</v>
      </c>
      <c r="D612" s="2">
        <v>125.901465</v>
      </c>
      <c r="E612" s="2">
        <v>107.039106</v>
      </c>
      <c r="F612" s="2">
        <v>136.279507</v>
      </c>
      <c r="G612" s="2">
        <v>135.70591</v>
      </c>
      <c r="H612" s="2">
        <v>211.19202</v>
      </c>
      <c r="I612" s="2">
        <v>307.169793</v>
      </c>
      <c r="J612" s="2">
        <v>226.663034</v>
      </c>
      <c r="K612" s="2">
        <v>217.30282</v>
      </c>
      <c r="L612" s="2">
        <v>151.1078</v>
      </c>
      <c r="M612" s="2">
        <v>83.905647</v>
      </c>
      <c r="N612" s="2">
        <v>130.451266</v>
      </c>
      <c r="O612" s="2">
        <v>1941.2256650000002</v>
      </c>
    </row>
    <row r="613" spans="1:15" ht="15.75">
      <c r="A613" s="1" t="s">
        <v>144</v>
      </c>
      <c r="B613" s="2">
        <v>60</v>
      </c>
      <c r="C613" s="2">
        <v>152.309234</v>
      </c>
      <c r="D613" s="2">
        <v>145.924148</v>
      </c>
      <c r="E613" s="2">
        <v>98.361992</v>
      </c>
      <c r="F613" s="2">
        <v>127.252597</v>
      </c>
      <c r="G613" s="2">
        <v>127.375631</v>
      </c>
      <c r="H613" s="2">
        <v>183.603151</v>
      </c>
      <c r="I613" s="2">
        <v>259.721526</v>
      </c>
      <c r="J613" s="2">
        <v>231.788157</v>
      </c>
      <c r="K613" s="2">
        <v>180.057599</v>
      </c>
      <c r="L613" s="2">
        <v>112.831495</v>
      </c>
      <c r="M613" s="2">
        <v>159.655478</v>
      </c>
      <c r="N613" s="2">
        <v>129.809959</v>
      </c>
      <c r="O613" s="2">
        <v>1908.6909669999998</v>
      </c>
    </row>
    <row r="614" spans="1:15" ht="15.75">
      <c r="A614" s="1" t="s">
        <v>144</v>
      </c>
      <c r="B614" s="2">
        <v>210</v>
      </c>
      <c r="C614" s="2">
        <v>153.304037</v>
      </c>
      <c r="D614" s="2">
        <v>124.910586</v>
      </c>
      <c r="E614" s="2">
        <v>149.306248</v>
      </c>
      <c r="F614" s="2">
        <v>108.035569</v>
      </c>
      <c r="G614" s="2">
        <v>176.818034</v>
      </c>
      <c r="H614" s="2">
        <v>195.57679</v>
      </c>
      <c r="I614" s="2">
        <v>288.655211</v>
      </c>
      <c r="J614" s="2">
        <v>269.338513</v>
      </c>
      <c r="K614" s="2">
        <v>215.867709</v>
      </c>
      <c r="L614" s="2">
        <v>198.109786</v>
      </c>
      <c r="O614" s="2">
        <v>1879.9224829999998</v>
      </c>
    </row>
    <row r="615" spans="1:15" ht="15.75">
      <c r="A615" s="1" t="s">
        <v>144</v>
      </c>
      <c r="B615" s="2">
        <v>660</v>
      </c>
      <c r="C615" s="2">
        <v>159.518967</v>
      </c>
      <c r="D615" s="2">
        <v>151.128016</v>
      </c>
      <c r="E615" s="2">
        <v>152.767263</v>
      </c>
      <c r="F615" s="2">
        <v>142.619778</v>
      </c>
      <c r="G615" s="2">
        <v>156.021183</v>
      </c>
      <c r="H615" s="2">
        <v>152.197413</v>
      </c>
      <c r="I615" s="2">
        <v>156.171847</v>
      </c>
      <c r="J615" s="2">
        <v>165.991226</v>
      </c>
      <c r="K615" s="2">
        <v>148.578403</v>
      </c>
      <c r="L615" s="2">
        <v>150.538863</v>
      </c>
      <c r="M615" s="2">
        <v>180.156746</v>
      </c>
      <c r="N615" s="2">
        <v>157.272255</v>
      </c>
      <c r="O615" s="2">
        <v>1872.9619600000003</v>
      </c>
    </row>
    <row r="616" spans="1:15" ht="15.75">
      <c r="A616" s="1" t="s">
        <v>144</v>
      </c>
      <c r="B616" s="2">
        <v>605</v>
      </c>
      <c r="C616" s="2">
        <v>84.946084</v>
      </c>
      <c r="D616" s="2">
        <v>73.792905</v>
      </c>
      <c r="E616" s="2">
        <v>79.578902</v>
      </c>
      <c r="F616" s="2">
        <v>71.997947</v>
      </c>
      <c r="G616" s="2">
        <v>139.280795</v>
      </c>
      <c r="H616" s="2">
        <v>218.349175</v>
      </c>
      <c r="I616" s="2">
        <v>304.911242</v>
      </c>
      <c r="J616" s="2">
        <v>303.976783</v>
      </c>
      <c r="K616" s="2">
        <v>256.875061</v>
      </c>
      <c r="L616" s="2">
        <v>182.454696</v>
      </c>
      <c r="M616" s="2">
        <v>147.390445</v>
      </c>
      <c r="O616" s="2">
        <v>1863.5540349999999</v>
      </c>
    </row>
    <row r="617" spans="1:15" ht="15.75">
      <c r="A617" s="1" t="s">
        <v>144</v>
      </c>
      <c r="B617" s="2">
        <v>252</v>
      </c>
      <c r="C617" s="2">
        <v>135.739412</v>
      </c>
      <c r="D617" s="2">
        <v>114.12454</v>
      </c>
      <c r="E617" s="2">
        <v>116.146288</v>
      </c>
      <c r="F617" s="2">
        <v>125.037913</v>
      </c>
      <c r="G617" s="2">
        <v>149.756592</v>
      </c>
      <c r="H617" s="2">
        <v>168.856963</v>
      </c>
      <c r="I617" s="2">
        <v>245.139633</v>
      </c>
      <c r="J617" s="2">
        <v>205.826333</v>
      </c>
      <c r="K617" s="2">
        <v>172.182812</v>
      </c>
      <c r="L617" s="2">
        <v>162.226318</v>
      </c>
      <c r="M617" s="2">
        <v>137.98256</v>
      </c>
      <c r="N617" s="2">
        <v>119.02161</v>
      </c>
      <c r="O617" s="2">
        <v>1852.0409739999998</v>
      </c>
    </row>
    <row r="618" spans="1:15" ht="15.75">
      <c r="A618" s="1" t="s">
        <v>144</v>
      </c>
      <c r="B618" s="2">
        <v>660</v>
      </c>
      <c r="C618" s="2">
        <v>73.772148</v>
      </c>
      <c r="D618" s="2">
        <v>74.538959</v>
      </c>
      <c r="E618" s="2">
        <v>76.191497</v>
      </c>
      <c r="F618" s="2">
        <v>102.456558</v>
      </c>
      <c r="G618" s="2">
        <v>92.247753</v>
      </c>
      <c r="H618" s="2">
        <v>166.594817</v>
      </c>
      <c r="I618" s="2">
        <v>314.438307</v>
      </c>
      <c r="J618" s="2">
        <v>307.803883</v>
      </c>
      <c r="K618" s="2">
        <v>258.799273</v>
      </c>
      <c r="L618" s="2">
        <v>195.613817</v>
      </c>
      <c r="M618" s="2">
        <v>97.753997</v>
      </c>
      <c r="N618" s="2">
        <v>53.033455</v>
      </c>
      <c r="O618" s="2">
        <v>1813.244464</v>
      </c>
    </row>
    <row r="619" spans="1:15" ht="15.75">
      <c r="A619" s="1" t="s">
        <v>144</v>
      </c>
      <c r="B619" s="2">
        <v>231</v>
      </c>
      <c r="C619" s="2">
        <v>97.111976</v>
      </c>
      <c r="D619" s="2">
        <v>113.266241</v>
      </c>
      <c r="E619" s="2">
        <v>150.641688</v>
      </c>
      <c r="F619" s="2">
        <v>128.091069</v>
      </c>
      <c r="G619" s="2">
        <v>164.394996</v>
      </c>
      <c r="H619" s="2">
        <v>167.551584</v>
      </c>
      <c r="I619" s="2">
        <v>213.828017</v>
      </c>
      <c r="J619" s="2">
        <v>233.169238</v>
      </c>
      <c r="K619" s="2">
        <v>203.181001</v>
      </c>
      <c r="L619" s="2">
        <v>174.574482</v>
      </c>
      <c r="M619" s="2">
        <v>157.111145</v>
      </c>
      <c r="O619" s="2">
        <v>1802.921437</v>
      </c>
    </row>
    <row r="620" spans="1:15" ht="15.75">
      <c r="A620" s="1" t="s">
        <v>144</v>
      </c>
      <c r="B620" s="2">
        <v>231</v>
      </c>
      <c r="C620" s="2">
        <v>159.42062</v>
      </c>
      <c r="D620" s="2">
        <v>147.458831</v>
      </c>
      <c r="E620" s="2">
        <v>153.502014</v>
      </c>
      <c r="F620" s="2">
        <v>141.895032</v>
      </c>
      <c r="G620" s="2">
        <v>172.720685</v>
      </c>
      <c r="H620" s="2">
        <v>164.183599</v>
      </c>
      <c r="I620" s="2">
        <v>169.576648</v>
      </c>
      <c r="J620" s="2">
        <v>167.012713</v>
      </c>
      <c r="K620" s="2">
        <v>160.991869</v>
      </c>
      <c r="L620" s="2">
        <v>160.922638</v>
      </c>
      <c r="M620" s="2">
        <v>175.391649</v>
      </c>
      <c r="O620" s="2">
        <v>1773.076298</v>
      </c>
    </row>
    <row r="621" spans="1:15" ht="15.75">
      <c r="A621" s="1" t="s">
        <v>144</v>
      </c>
      <c r="B621" s="2">
        <v>495</v>
      </c>
      <c r="C621" s="2">
        <v>152.04216</v>
      </c>
      <c r="D621" s="2">
        <v>137.593931</v>
      </c>
      <c r="E621" s="2">
        <v>174.915274</v>
      </c>
      <c r="F621" s="2">
        <v>139.985878</v>
      </c>
      <c r="G621" s="2">
        <v>176.916132</v>
      </c>
      <c r="H621" s="2">
        <v>193.17961</v>
      </c>
      <c r="I621" s="2">
        <v>246.929392</v>
      </c>
      <c r="J621" s="2">
        <v>272.910499</v>
      </c>
      <c r="K621" s="2">
        <v>228.17585</v>
      </c>
      <c r="O621" s="2">
        <v>1722.6487260000004</v>
      </c>
    </row>
    <row r="622" spans="1:15" ht="15.75">
      <c r="A622" s="1" t="s">
        <v>144</v>
      </c>
      <c r="B622" s="2">
        <v>550</v>
      </c>
      <c r="C622" s="2">
        <v>95.028339</v>
      </c>
      <c r="D622" s="2">
        <v>92.943374</v>
      </c>
      <c r="E622" s="2">
        <v>118.445364</v>
      </c>
      <c r="F622" s="2">
        <v>146.590181</v>
      </c>
      <c r="G622" s="2">
        <v>215.26203</v>
      </c>
      <c r="H622" s="2">
        <v>157.478549</v>
      </c>
      <c r="I622" s="2">
        <v>286.781806</v>
      </c>
      <c r="J622" s="2">
        <v>232.047565</v>
      </c>
      <c r="K622" s="2">
        <v>188.131954</v>
      </c>
      <c r="L622" s="2">
        <v>181.062478</v>
      </c>
      <c r="O622" s="2">
        <v>1713.77164</v>
      </c>
    </row>
    <row r="623" spans="1:15" ht="15.75">
      <c r="A623" s="1" t="s">
        <v>144</v>
      </c>
      <c r="B623" s="2">
        <v>252</v>
      </c>
      <c r="C623" s="2">
        <v>141.152246</v>
      </c>
      <c r="D623" s="2">
        <v>165.814139</v>
      </c>
      <c r="E623" s="2">
        <v>145.104641</v>
      </c>
      <c r="F623" s="2">
        <v>132.828792</v>
      </c>
      <c r="G623" s="2">
        <v>151.807815</v>
      </c>
      <c r="H623" s="2">
        <v>131.029458</v>
      </c>
      <c r="I623" s="2">
        <v>134.419474</v>
      </c>
      <c r="J623" s="2">
        <v>161.627635</v>
      </c>
      <c r="K623" s="2">
        <v>133.910261</v>
      </c>
      <c r="L623" s="2">
        <v>141.387311</v>
      </c>
      <c r="M623" s="2">
        <v>145.683503</v>
      </c>
      <c r="N623" s="2">
        <v>127.609995</v>
      </c>
      <c r="O623" s="2">
        <v>1712.37527</v>
      </c>
    </row>
    <row r="624" spans="1:15" ht="15.75">
      <c r="A624" s="1" t="s">
        <v>144</v>
      </c>
      <c r="B624" s="2">
        <v>605</v>
      </c>
      <c r="C624" s="2">
        <v>104.980699</v>
      </c>
      <c r="D624" s="2">
        <v>66.232047</v>
      </c>
      <c r="E624" s="2">
        <v>65.899023</v>
      </c>
      <c r="F624" s="2">
        <v>114.166947</v>
      </c>
      <c r="G624" s="2">
        <v>187.41677</v>
      </c>
      <c r="H624" s="2">
        <v>166.54936</v>
      </c>
      <c r="I624" s="2">
        <v>212.902823</v>
      </c>
      <c r="J624" s="2">
        <v>238.335862</v>
      </c>
      <c r="K624" s="2">
        <v>223.245564</v>
      </c>
      <c r="L624" s="2">
        <v>154.492711</v>
      </c>
      <c r="M624" s="2">
        <v>154.257979</v>
      </c>
      <c r="O624" s="2">
        <v>1688.479785</v>
      </c>
    </row>
    <row r="625" spans="1:15" ht="15.75">
      <c r="A625" s="1" t="s">
        <v>144</v>
      </c>
      <c r="B625" s="2">
        <v>660</v>
      </c>
      <c r="C625" s="2">
        <v>83.895072</v>
      </c>
      <c r="D625" s="2">
        <v>44.557352</v>
      </c>
      <c r="E625" s="2">
        <v>51.132845</v>
      </c>
      <c r="F625" s="2">
        <v>42.184417</v>
      </c>
      <c r="G625" s="2">
        <v>156.151985</v>
      </c>
      <c r="H625" s="2">
        <v>169.455938</v>
      </c>
      <c r="I625" s="2">
        <v>258.5131</v>
      </c>
      <c r="J625" s="2">
        <v>234.252632</v>
      </c>
      <c r="K625" s="2">
        <v>217.210609</v>
      </c>
      <c r="L625" s="2">
        <v>176.60944</v>
      </c>
      <c r="M625" s="2">
        <v>151.267398</v>
      </c>
      <c r="N625" s="2">
        <v>92.720564</v>
      </c>
      <c r="O625" s="2">
        <v>1677.9513519999998</v>
      </c>
    </row>
    <row r="626" spans="1:15" ht="15.75">
      <c r="A626" s="1" t="s">
        <v>144</v>
      </c>
      <c r="B626" s="2">
        <v>252</v>
      </c>
      <c r="C626" s="2">
        <v>116.563089</v>
      </c>
      <c r="D626" s="2">
        <v>112.789979</v>
      </c>
      <c r="E626" s="2">
        <v>134.738361</v>
      </c>
      <c r="F626" s="2">
        <v>117.3637</v>
      </c>
      <c r="G626" s="2">
        <v>138.561527</v>
      </c>
      <c r="H626" s="2">
        <v>169.006982</v>
      </c>
      <c r="I626" s="2">
        <v>169.60112</v>
      </c>
      <c r="J626" s="2">
        <v>182.250761</v>
      </c>
      <c r="K626" s="2">
        <v>149.264345</v>
      </c>
      <c r="L626" s="2">
        <v>136.225444</v>
      </c>
      <c r="M626" s="2">
        <v>133.423173</v>
      </c>
      <c r="N626" s="2">
        <v>114.77056</v>
      </c>
      <c r="O626" s="2">
        <v>1674.559041</v>
      </c>
    </row>
    <row r="627" spans="1:15" ht="15.75">
      <c r="A627" s="1" t="s">
        <v>144</v>
      </c>
      <c r="B627" s="2">
        <v>605</v>
      </c>
      <c r="C627" s="2">
        <v>98.989386</v>
      </c>
      <c r="D627" s="2">
        <v>106.993048</v>
      </c>
      <c r="E627" s="2">
        <v>127.188486</v>
      </c>
      <c r="F627" s="2">
        <v>101.693361</v>
      </c>
      <c r="G627" s="2">
        <v>148.09109</v>
      </c>
      <c r="H627" s="2">
        <v>165.95912</v>
      </c>
      <c r="I627" s="2">
        <v>242.370148</v>
      </c>
      <c r="J627" s="2">
        <v>239.15756</v>
      </c>
      <c r="K627" s="2">
        <v>169.640851</v>
      </c>
      <c r="L627" s="2">
        <v>149.999904</v>
      </c>
      <c r="M627" s="2">
        <v>112.202193</v>
      </c>
      <c r="O627" s="2">
        <v>1662.2851470000003</v>
      </c>
    </row>
    <row r="628" spans="1:15" ht="15.75">
      <c r="A628" s="1" t="s">
        <v>144</v>
      </c>
      <c r="B628" s="2">
        <v>605</v>
      </c>
      <c r="C628" s="2">
        <v>89.361307</v>
      </c>
      <c r="D628" s="2">
        <v>76.224863</v>
      </c>
      <c r="E628" s="2">
        <v>94.329391</v>
      </c>
      <c r="F628" s="2">
        <v>131.279695</v>
      </c>
      <c r="G628" s="2">
        <v>116.714552</v>
      </c>
      <c r="H628" s="2">
        <v>158.890327</v>
      </c>
      <c r="I628" s="2">
        <v>198.502198</v>
      </c>
      <c r="J628" s="2">
        <v>222.975134</v>
      </c>
      <c r="K628" s="2">
        <v>208.993486</v>
      </c>
      <c r="L628" s="2">
        <v>164.497886</v>
      </c>
      <c r="M628" s="2">
        <v>193.42382</v>
      </c>
      <c r="O628" s="2">
        <v>1655.1926589999998</v>
      </c>
    </row>
    <row r="629" spans="1:15" ht="15.75">
      <c r="A629" s="1" t="s">
        <v>144</v>
      </c>
      <c r="B629" s="2">
        <v>605</v>
      </c>
      <c r="C629" s="2">
        <v>132.202942</v>
      </c>
      <c r="D629" s="2">
        <v>103.938853</v>
      </c>
      <c r="E629" s="2">
        <v>133.563781</v>
      </c>
      <c r="F629" s="2">
        <v>103.360616</v>
      </c>
      <c r="G629" s="2">
        <v>166.630549</v>
      </c>
      <c r="H629" s="2">
        <v>147.463064</v>
      </c>
      <c r="I629" s="2">
        <v>173.983963</v>
      </c>
      <c r="J629" s="2">
        <v>168.786699</v>
      </c>
      <c r="K629" s="2">
        <v>164.249191</v>
      </c>
      <c r="L629" s="2">
        <v>163.862758</v>
      </c>
      <c r="M629" s="2">
        <v>138.265945</v>
      </c>
      <c r="O629" s="2">
        <v>1596.3083609999999</v>
      </c>
    </row>
    <row r="630" spans="1:15" ht="15.75">
      <c r="A630" s="1" t="s">
        <v>144</v>
      </c>
      <c r="B630" s="2">
        <v>660</v>
      </c>
      <c r="C630" s="2">
        <v>100.484508</v>
      </c>
      <c r="D630" s="2">
        <v>36.806743</v>
      </c>
      <c r="E630" s="2">
        <v>87.804579</v>
      </c>
      <c r="F630" s="2">
        <v>155.564651</v>
      </c>
      <c r="G630" s="2">
        <v>132.994984</v>
      </c>
      <c r="H630" s="2">
        <v>158.163637</v>
      </c>
      <c r="I630" s="2">
        <v>315.60998</v>
      </c>
      <c r="J630" s="2">
        <v>300.76399</v>
      </c>
      <c r="K630" s="2">
        <v>124.491966</v>
      </c>
      <c r="L630" s="2">
        <v>105.949914</v>
      </c>
      <c r="M630" s="2">
        <v>50.478762</v>
      </c>
      <c r="N630" s="2">
        <v>15.594548</v>
      </c>
      <c r="O630" s="2">
        <v>1584.708262</v>
      </c>
    </row>
    <row r="631" spans="1:15" ht="15.75">
      <c r="A631" s="1" t="s">
        <v>144</v>
      </c>
      <c r="B631" s="2">
        <v>231</v>
      </c>
      <c r="C631" s="2">
        <v>151.197874</v>
      </c>
      <c r="D631" s="2">
        <v>117.583806</v>
      </c>
      <c r="E631" s="2">
        <v>125.59753</v>
      </c>
      <c r="F631" s="2">
        <v>124.249838</v>
      </c>
      <c r="G631" s="2">
        <v>136.73046</v>
      </c>
      <c r="H631" s="2">
        <v>148.08398</v>
      </c>
      <c r="I631" s="2">
        <v>156.485256</v>
      </c>
      <c r="J631" s="2">
        <v>163.609318</v>
      </c>
      <c r="K631" s="2">
        <v>134.64241</v>
      </c>
      <c r="L631" s="2">
        <v>145.404333</v>
      </c>
      <c r="M631" s="2">
        <v>129.355778</v>
      </c>
      <c r="O631" s="2">
        <v>1532.940583</v>
      </c>
    </row>
    <row r="632" spans="1:15" ht="15.75">
      <c r="A632" s="1" t="s">
        <v>144</v>
      </c>
      <c r="B632" s="2">
        <v>1441</v>
      </c>
      <c r="C632" s="2">
        <v>97.660411</v>
      </c>
      <c r="D632" s="2">
        <v>80.461854</v>
      </c>
      <c r="E632" s="2">
        <v>79.189005</v>
      </c>
      <c r="F632" s="2">
        <v>72.266835</v>
      </c>
      <c r="G632" s="2">
        <v>110.956516</v>
      </c>
      <c r="H632" s="2">
        <v>141.414976</v>
      </c>
      <c r="I632" s="2">
        <v>222.807045</v>
      </c>
      <c r="J632" s="2">
        <v>227.471616</v>
      </c>
      <c r="K632" s="2">
        <v>220.718599</v>
      </c>
      <c r="L632" s="2">
        <v>152.369401</v>
      </c>
      <c r="M632" s="2">
        <v>125.268704</v>
      </c>
      <c r="O632" s="2">
        <v>1530.5849620000001</v>
      </c>
    </row>
    <row r="633" spans="1:15" ht="15.75">
      <c r="A633" s="1" t="s">
        <v>144</v>
      </c>
      <c r="B633" s="2">
        <v>660</v>
      </c>
      <c r="C633" s="2">
        <v>155.834226</v>
      </c>
      <c r="D633" s="2">
        <v>114.21033</v>
      </c>
      <c r="E633" s="2">
        <v>126.031146</v>
      </c>
      <c r="F633" s="2">
        <v>109.923111</v>
      </c>
      <c r="G633" s="2">
        <v>126.721862</v>
      </c>
      <c r="H633" s="2">
        <v>116.252914</v>
      </c>
      <c r="I633" s="2">
        <v>135.574099</v>
      </c>
      <c r="J633" s="2">
        <v>118.148221</v>
      </c>
      <c r="K633" s="2">
        <v>123.729255</v>
      </c>
      <c r="L633" s="2">
        <v>112.569494</v>
      </c>
      <c r="M633" s="2">
        <v>130.244204</v>
      </c>
      <c r="N633" s="2">
        <v>120.996811</v>
      </c>
      <c r="O633" s="2">
        <v>1490.2356730000004</v>
      </c>
    </row>
    <row r="634" spans="1:15" ht="15.75">
      <c r="A634" s="1" t="s">
        <v>144</v>
      </c>
      <c r="B634" s="2">
        <v>605</v>
      </c>
      <c r="C634" s="2">
        <v>100.385564</v>
      </c>
      <c r="D634" s="2">
        <v>85.664592</v>
      </c>
      <c r="E634" s="2">
        <v>95.755409</v>
      </c>
      <c r="F634" s="2">
        <v>104.090248</v>
      </c>
      <c r="G634" s="2">
        <v>130.475791</v>
      </c>
      <c r="H634" s="2">
        <v>133.079049</v>
      </c>
      <c r="I634" s="2">
        <v>164.731909</v>
      </c>
      <c r="J634" s="2">
        <v>157.267755</v>
      </c>
      <c r="K634" s="2">
        <v>159.293245</v>
      </c>
      <c r="L634" s="2">
        <v>145.920604</v>
      </c>
      <c r="M634" s="2">
        <v>131.022302</v>
      </c>
      <c r="O634" s="2">
        <v>1407.6864679999999</v>
      </c>
    </row>
    <row r="635" spans="1:15" ht="15.75">
      <c r="A635" s="1" t="s">
        <v>144</v>
      </c>
      <c r="B635" s="2">
        <v>605</v>
      </c>
      <c r="C635" s="2">
        <v>91.818289</v>
      </c>
      <c r="D635" s="2">
        <v>62.749205</v>
      </c>
      <c r="E635" s="2">
        <v>65.83276</v>
      </c>
      <c r="F635" s="2">
        <v>95.416003</v>
      </c>
      <c r="G635" s="2">
        <v>116.859507</v>
      </c>
      <c r="H635" s="2">
        <v>143.472517</v>
      </c>
      <c r="I635" s="2">
        <v>192.565509</v>
      </c>
      <c r="J635" s="2">
        <v>169.460408</v>
      </c>
      <c r="K635" s="2">
        <v>185.173283</v>
      </c>
      <c r="L635" s="2">
        <v>119.635849</v>
      </c>
      <c r="M635" s="2">
        <v>152.844989</v>
      </c>
      <c r="O635" s="2">
        <v>1395.828319</v>
      </c>
    </row>
    <row r="636" spans="1:15" ht="15.75">
      <c r="A636" s="1" t="s">
        <v>144</v>
      </c>
      <c r="B636" s="2">
        <v>660</v>
      </c>
      <c r="C636" s="2">
        <v>3.268029</v>
      </c>
      <c r="D636" s="2">
        <v>4.271382</v>
      </c>
      <c r="E636" s="2">
        <v>3.386574</v>
      </c>
      <c r="F636" s="2">
        <v>13.623707</v>
      </c>
      <c r="G636" s="2">
        <v>58.032231</v>
      </c>
      <c r="H636" s="2">
        <v>138.583118</v>
      </c>
      <c r="I636" s="2">
        <v>258.000291</v>
      </c>
      <c r="J636" s="2">
        <v>267.361516</v>
      </c>
      <c r="K636" s="2">
        <v>195.257188</v>
      </c>
      <c r="L636" s="2">
        <v>150.751232</v>
      </c>
      <c r="M636" s="2">
        <v>126.005285</v>
      </c>
      <c r="N636" s="2">
        <v>29.186839</v>
      </c>
      <c r="O636" s="2">
        <v>1247.727392</v>
      </c>
    </row>
    <row r="637" spans="1:15" ht="15.75">
      <c r="A637" s="1" t="s">
        <v>144</v>
      </c>
      <c r="B637" s="2">
        <v>231</v>
      </c>
      <c r="C637" s="2">
        <v>108.804282</v>
      </c>
      <c r="D637" s="2">
        <v>212.79615</v>
      </c>
      <c r="E637" s="2">
        <v>323.868072</v>
      </c>
      <c r="F637" s="2">
        <v>185.846848</v>
      </c>
      <c r="G637" s="2">
        <v>96.070408</v>
      </c>
      <c r="H637" s="2">
        <v>35.642634</v>
      </c>
      <c r="I637" s="2">
        <v>59.285653</v>
      </c>
      <c r="J637" s="2">
        <v>72.706485</v>
      </c>
      <c r="K637" s="2">
        <v>49.89515</v>
      </c>
      <c r="L637" s="2">
        <v>18.443334</v>
      </c>
      <c r="M637" s="2">
        <v>15.471263</v>
      </c>
      <c r="O637" s="2">
        <v>1178.830279</v>
      </c>
    </row>
    <row r="638" spans="1:15" ht="15.75">
      <c r="A638" s="1" t="s">
        <v>144</v>
      </c>
      <c r="B638" s="2">
        <v>660</v>
      </c>
      <c r="C638" s="2">
        <v>16.513831</v>
      </c>
      <c r="D638" s="2">
        <v>13.524677</v>
      </c>
      <c r="E638" s="2">
        <v>17.735056</v>
      </c>
      <c r="F638" s="2">
        <v>18.166106</v>
      </c>
      <c r="G638" s="2">
        <v>72.129058</v>
      </c>
      <c r="H638" s="2">
        <v>117.61731</v>
      </c>
      <c r="I638" s="2">
        <v>236.778759</v>
      </c>
      <c r="J638" s="2">
        <v>242.639842</v>
      </c>
      <c r="K638" s="2">
        <v>156.172592</v>
      </c>
      <c r="L638" s="2">
        <v>105.977233</v>
      </c>
      <c r="M638" s="2">
        <v>69.957394</v>
      </c>
      <c r="N638" s="2">
        <v>18.924486</v>
      </c>
      <c r="O638" s="2">
        <v>1086.136344</v>
      </c>
    </row>
    <row r="639" spans="1:15" ht="15.75">
      <c r="A639" s="1" t="s">
        <v>144</v>
      </c>
      <c r="B639" s="2">
        <v>231</v>
      </c>
      <c r="C639" s="2">
        <v>69.870401</v>
      </c>
      <c r="D639" s="2">
        <v>61.148672</v>
      </c>
      <c r="E639" s="2">
        <v>91.222491</v>
      </c>
      <c r="F639" s="2">
        <v>58.279082</v>
      </c>
      <c r="G639" s="2">
        <v>124.350782</v>
      </c>
      <c r="H639" s="2">
        <v>104.644361</v>
      </c>
      <c r="I639" s="2">
        <v>116.903025</v>
      </c>
      <c r="J639" s="2">
        <v>130.03073</v>
      </c>
      <c r="K639" s="2">
        <v>117.108323</v>
      </c>
      <c r="L639" s="2">
        <v>86.67054</v>
      </c>
      <c r="M639" s="2">
        <v>101.387621</v>
      </c>
      <c r="O639" s="2">
        <v>1061.6160280000001</v>
      </c>
    </row>
    <row r="640" spans="1:15" ht="15.75">
      <c r="A640" s="1" t="s">
        <v>144</v>
      </c>
      <c r="B640" s="2">
        <v>660</v>
      </c>
      <c r="C640" s="2">
        <v>78.455205</v>
      </c>
      <c r="D640" s="2">
        <v>69.095227</v>
      </c>
      <c r="E640" s="2">
        <v>129.796608</v>
      </c>
      <c r="F640" s="2">
        <v>85.05033</v>
      </c>
      <c r="G640" s="2">
        <v>82.874958</v>
      </c>
      <c r="H640" s="2">
        <v>172.160064</v>
      </c>
      <c r="I640" s="2">
        <v>79.452916</v>
      </c>
      <c r="J640" s="2">
        <v>36.42852</v>
      </c>
      <c r="K640" s="2">
        <v>43.660169</v>
      </c>
      <c r="L640" s="2">
        <v>73.186161</v>
      </c>
      <c r="M640" s="2">
        <v>61.82049</v>
      </c>
      <c r="N640" s="2">
        <v>124.772149</v>
      </c>
      <c r="O640" s="2">
        <v>1036.7527969999999</v>
      </c>
    </row>
    <row r="641" spans="1:15" ht="15.75">
      <c r="A641" s="1" t="s">
        <v>144</v>
      </c>
      <c r="B641" s="2">
        <v>244</v>
      </c>
      <c r="N641" s="2">
        <v>1036</v>
      </c>
      <c r="O641" s="2">
        <v>1036</v>
      </c>
    </row>
    <row r="642" spans="1:15" ht="15.75">
      <c r="A642" s="1" t="s">
        <v>144</v>
      </c>
      <c r="B642" s="2">
        <v>113.87</v>
      </c>
      <c r="N642" s="2">
        <v>944.32433</v>
      </c>
      <c r="O642" s="2">
        <v>944.32433</v>
      </c>
    </row>
    <row r="643" spans="1:15" ht="15.75">
      <c r="A643" s="1" t="s">
        <v>144</v>
      </c>
      <c r="B643" s="2">
        <v>660</v>
      </c>
      <c r="C643" s="2">
        <v>55.263883</v>
      </c>
      <c r="D643" s="2">
        <v>52.455051</v>
      </c>
      <c r="E643" s="2">
        <v>85.208903</v>
      </c>
      <c r="F643" s="2">
        <v>71.632668</v>
      </c>
      <c r="G643" s="2">
        <v>55.326593</v>
      </c>
      <c r="H643" s="2">
        <v>88.343075</v>
      </c>
      <c r="I643" s="2">
        <v>123.351148</v>
      </c>
      <c r="J643" s="2">
        <v>49.459226</v>
      </c>
      <c r="K643" s="2">
        <v>53.838581</v>
      </c>
      <c r="L643" s="2">
        <v>65.388073</v>
      </c>
      <c r="M643" s="2">
        <v>60.04674</v>
      </c>
      <c r="N643" s="2">
        <v>55.750846</v>
      </c>
      <c r="O643" s="2">
        <v>816.064787</v>
      </c>
    </row>
    <row r="644" spans="1:15" ht="15.75">
      <c r="A644" s="1" t="s">
        <v>144</v>
      </c>
      <c r="B644" s="2">
        <v>231</v>
      </c>
      <c r="C644" s="2">
        <v>8.006626</v>
      </c>
      <c r="D644" s="2">
        <v>6.771476</v>
      </c>
      <c r="E644" s="2">
        <v>8.425538</v>
      </c>
      <c r="F644" s="2">
        <v>7.765841</v>
      </c>
      <c r="G644" s="2">
        <v>8.354846</v>
      </c>
      <c r="H644" s="2">
        <v>81.642881</v>
      </c>
      <c r="I644" s="2">
        <v>177.034966</v>
      </c>
      <c r="J644" s="2">
        <v>188.917329</v>
      </c>
      <c r="K644" s="2">
        <v>172.306453</v>
      </c>
      <c r="L644" s="2">
        <v>82.862389</v>
      </c>
      <c r="M644" s="2">
        <v>29.932383</v>
      </c>
      <c r="O644" s="2">
        <v>772.020728</v>
      </c>
    </row>
    <row r="645" spans="1:15" ht="15.75">
      <c r="A645" s="1" t="s">
        <v>144</v>
      </c>
      <c r="B645" s="2">
        <v>89.83</v>
      </c>
      <c r="C645" s="2">
        <v>681.176469</v>
      </c>
      <c r="O645" s="2">
        <v>681.176469</v>
      </c>
    </row>
    <row r="646" spans="1:15" ht="15.75">
      <c r="A646" s="1" t="s">
        <v>144</v>
      </c>
      <c r="B646" s="2">
        <v>42</v>
      </c>
      <c r="M646" s="2">
        <v>336.401861</v>
      </c>
      <c r="N646" s="2">
        <v>241.073099</v>
      </c>
      <c r="O646" s="2">
        <v>577.47496</v>
      </c>
    </row>
    <row r="647" spans="1:15" ht="15.75">
      <c r="A647" s="1" t="s">
        <v>144</v>
      </c>
      <c r="B647" s="2">
        <v>53.2</v>
      </c>
      <c r="L647" s="2">
        <v>99.247203</v>
      </c>
      <c r="M647" s="2">
        <v>176.352709</v>
      </c>
      <c r="N647" s="2">
        <v>103.792456</v>
      </c>
      <c r="O647" s="2">
        <v>379.39236800000003</v>
      </c>
    </row>
    <row r="648" spans="1:15" ht="15.75">
      <c r="A648" s="1" t="s">
        <v>144</v>
      </c>
      <c r="B648" s="2">
        <v>137.5</v>
      </c>
      <c r="L648" s="2">
        <v>79.851179</v>
      </c>
      <c r="M648" s="2">
        <v>120.161663</v>
      </c>
      <c r="N648" s="2">
        <v>162.114693</v>
      </c>
      <c r="O648" s="2">
        <v>362.12753499999997</v>
      </c>
    </row>
    <row r="649" spans="1:15" ht="15.75">
      <c r="A649" s="1" t="s">
        <v>144</v>
      </c>
      <c r="B649" s="2">
        <v>42</v>
      </c>
      <c r="M649" s="2">
        <v>229.320209</v>
      </c>
      <c r="N649" s="2">
        <v>129.39243</v>
      </c>
      <c r="O649" s="2">
        <v>358.71263899999997</v>
      </c>
    </row>
    <row r="650" spans="1:15" ht="15.75">
      <c r="A650" s="1" t="s">
        <v>144</v>
      </c>
      <c r="B650" s="2">
        <v>110</v>
      </c>
      <c r="M650" s="2">
        <v>166.818035</v>
      </c>
      <c r="N650" s="2">
        <v>116.109343</v>
      </c>
      <c r="O650" s="2">
        <v>282.927378</v>
      </c>
    </row>
    <row r="651" spans="1:15" ht="15.75">
      <c r="A651" s="1" t="s">
        <v>144</v>
      </c>
      <c r="B651" s="2">
        <v>55</v>
      </c>
      <c r="F651" s="2">
        <v>235.840693</v>
      </c>
      <c r="O651" s="2">
        <v>235.840693</v>
      </c>
    </row>
    <row r="652" spans="1:15" ht="15.75">
      <c r="A652" s="1" t="s">
        <v>144</v>
      </c>
      <c r="B652" s="2">
        <v>55</v>
      </c>
      <c r="N652" s="2">
        <v>170.434192</v>
      </c>
      <c r="O652" s="2">
        <v>170.434192</v>
      </c>
    </row>
    <row r="653" spans="1:15" ht="15.75">
      <c r="A653" s="1" t="s">
        <v>144</v>
      </c>
      <c r="B653" s="2">
        <v>245.67000000000002</v>
      </c>
      <c r="C653" s="2">
        <v>30.713362</v>
      </c>
      <c r="D653" s="2">
        <v>98.306932</v>
      </c>
      <c r="E653" s="2">
        <v>9.678452</v>
      </c>
      <c r="F653" s="2">
        <v>12.585571</v>
      </c>
      <c r="G653" s="2">
        <v>6.999723</v>
      </c>
      <c r="O653" s="2">
        <v>158.28403999999998</v>
      </c>
    </row>
    <row r="654" spans="1:15" ht="15.75">
      <c r="A654" s="1" t="s">
        <v>144</v>
      </c>
      <c r="B654" s="2">
        <v>660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  <c r="I654" s="2">
        <v>10.534657</v>
      </c>
      <c r="J654" s="2">
        <v>0</v>
      </c>
      <c r="K654" s="2">
        <v>0</v>
      </c>
      <c r="L654" s="2">
        <v>0</v>
      </c>
      <c r="M654" s="2">
        <v>0</v>
      </c>
      <c r="N654" s="2">
        <v>0</v>
      </c>
      <c r="O654" s="2">
        <v>10.534657</v>
      </c>
    </row>
    <row r="655" ht="19.5" customHeight="1">
      <c r="C655" s="96"/>
    </row>
  </sheetData>
  <sheetProtection/>
  <printOptions/>
  <pageMargins left="0.7" right="0.7" top="0.75" bottom="0.75" header="0.3" footer="0.3"/>
  <pageSetup fitToHeight="1" fitToWidth="1" horizontalDpi="600" verticalDpi="600" orientation="landscape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D1">
      <selection activeCell="N1" sqref="N1"/>
    </sheetView>
  </sheetViews>
  <sheetFormatPr defaultColWidth="9.140625" defaultRowHeight="15"/>
  <cols>
    <col min="2" max="14" width="12.00390625" style="0" bestFit="1" customWidth="1"/>
  </cols>
  <sheetData>
    <row r="1" spans="1:14" ht="15">
      <c r="A1" s="85" t="s">
        <v>13</v>
      </c>
      <c r="B1" s="13">
        <f aca="true" t="shared" si="0" ref="B1:M1">SUBTOTAL(101,B4:B74)</f>
        <v>2630.814512671428</v>
      </c>
      <c r="C1" s="13">
        <f t="shared" si="0"/>
        <v>2474.4097022857154</v>
      </c>
      <c r="D1" s="13">
        <f t="shared" si="0"/>
        <v>2207.5593907</v>
      </c>
      <c r="E1" s="13">
        <f t="shared" si="0"/>
        <v>2475.7963821159415</v>
      </c>
      <c r="F1" s="13">
        <f t="shared" si="0"/>
        <v>3457.2777012318843</v>
      </c>
      <c r="G1" s="13">
        <f t="shared" si="0"/>
        <v>3237.423970710143</v>
      </c>
      <c r="H1" s="13">
        <f t="shared" si="0"/>
        <v>3360.3818585507247</v>
      </c>
      <c r="I1" s="13">
        <f t="shared" si="0"/>
        <v>2832.8933155797104</v>
      </c>
      <c r="J1" s="13">
        <f t="shared" si="0"/>
        <v>2768.0466541285705</v>
      </c>
      <c r="K1" s="13">
        <f t="shared" si="0"/>
        <v>2398.801906855073</v>
      </c>
      <c r="L1" s="13">
        <f t="shared" si="0"/>
        <v>2577.501539242857</v>
      </c>
      <c r="M1" s="13">
        <f t="shared" si="0"/>
        <v>2296.530346900001</v>
      </c>
      <c r="N1" s="13"/>
    </row>
    <row r="2" ht="15">
      <c r="A2" s="10"/>
    </row>
    <row r="3" spans="1:14" ht="15.75" thickBot="1">
      <c r="A3" s="10" t="s">
        <v>140</v>
      </c>
      <c r="B3" s="14" t="s">
        <v>146</v>
      </c>
      <c r="C3" s="15" t="s">
        <v>147</v>
      </c>
      <c r="D3" s="15" t="s">
        <v>148</v>
      </c>
      <c r="E3" s="15" t="s">
        <v>149</v>
      </c>
      <c r="F3" s="15" t="s">
        <v>150</v>
      </c>
      <c r="G3" s="15" t="s">
        <v>151</v>
      </c>
      <c r="H3" s="15" t="s">
        <v>152</v>
      </c>
      <c r="I3" s="15" t="s">
        <v>153</v>
      </c>
      <c r="J3" s="15" t="s">
        <v>154</v>
      </c>
      <c r="K3" s="15" t="s">
        <v>155</v>
      </c>
      <c r="L3" s="15" t="s">
        <v>156</v>
      </c>
      <c r="M3" s="15" t="s">
        <v>157</v>
      </c>
      <c r="N3" s="15" t="s">
        <v>158</v>
      </c>
    </row>
    <row r="4" spans="1:14" ht="14.25">
      <c r="A4" t="s">
        <v>143</v>
      </c>
      <c r="B4">
        <v>800</v>
      </c>
      <c r="C4">
        <v>9513</v>
      </c>
      <c r="D4">
        <v>9115</v>
      </c>
      <c r="E4">
        <v>4712</v>
      </c>
      <c r="F4">
        <v>16104</v>
      </c>
      <c r="G4">
        <v>23368</v>
      </c>
      <c r="H4">
        <v>27172</v>
      </c>
      <c r="I4">
        <v>7891</v>
      </c>
      <c r="J4">
        <v>21451</v>
      </c>
      <c r="K4">
        <v>5614</v>
      </c>
      <c r="L4">
        <v>23675</v>
      </c>
      <c r="M4">
        <v>21459</v>
      </c>
      <c r="N4">
        <v>170874</v>
      </c>
    </row>
    <row r="5" spans="1:14" ht="14.25">
      <c r="A5" t="s">
        <v>142</v>
      </c>
      <c r="B5">
        <v>5697</v>
      </c>
      <c r="C5">
        <v>5791</v>
      </c>
      <c r="D5">
        <v>8431</v>
      </c>
      <c r="E5">
        <v>12769</v>
      </c>
      <c r="F5">
        <v>14779</v>
      </c>
      <c r="G5">
        <v>20021</v>
      </c>
      <c r="H5">
        <v>20592</v>
      </c>
      <c r="I5">
        <v>17441</v>
      </c>
      <c r="J5">
        <v>16247</v>
      </c>
      <c r="K5">
        <v>13864</v>
      </c>
      <c r="L5">
        <v>8882</v>
      </c>
      <c r="M5">
        <v>6777</v>
      </c>
      <c r="N5">
        <v>151291</v>
      </c>
    </row>
    <row r="6" spans="1:14" ht="14.25">
      <c r="A6" t="s">
        <v>143</v>
      </c>
      <c r="B6">
        <v>7934.559488</v>
      </c>
      <c r="C6">
        <v>7149.819325</v>
      </c>
      <c r="D6">
        <v>9531.991594</v>
      </c>
      <c r="E6">
        <v>8349.760397</v>
      </c>
      <c r="F6">
        <v>8675.323811</v>
      </c>
      <c r="G6">
        <v>7832.123762</v>
      </c>
      <c r="H6">
        <v>8840.54407</v>
      </c>
      <c r="I6">
        <v>8774.41829</v>
      </c>
      <c r="J6">
        <v>8352.881667</v>
      </c>
      <c r="K6">
        <v>9112.741312</v>
      </c>
      <c r="L6">
        <v>9180.865475</v>
      </c>
      <c r="M6">
        <v>11077.994027</v>
      </c>
      <c r="N6">
        <v>104813.02321799999</v>
      </c>
    </row>
    <row r="7" spans="1:14" ht="14.25">
      <c r="A7" t="s">
        <v>142</v>
      </c>
      <c r="B7">
        <v>9656</v>
      </c>
      <c r="C7">
        <v>651</v>
      </c>
      <c r="D7">
        <v>9334</v>
      </c>
      <c r="E7">
        <v>11639</v>
      </c>
      <c r="F7">
        <v>11775</v>
      </c>
      <c r="G7">
        <v>12791</v>
      </c>
      <c r="H7">
        <v>2352</v>
      </c>
      <c r="I7">
        <v>1958</v>
      </c>
      <c r="J7">
        <v>10527</v>
      </c>
      <c r="K7">
        <v>12497</v>
      </c>
      <c r="L7">
        <v>11486</v>
      </c>
      <c r="M7">
        <v>9231</v>
      </c>
      <c r="N7">
        <v>103897</v>
      </c>
    </row>
    <row r="8" spans="1:14" ht="14.25">
      <c r="A8" t="s">
        <v>142</v>
      </c>
      <c r="B8">
        <v>28039</v>
      </c>
      <c r="C8">
        <v>28656</v>
      </c>
      <c r="D8">
        <v>10341</v>
      </c>
      <c r="E8">
        <v>7104</v>
      </c>
      <c r="F8">
        <v>4006</v>
      </c>
      <c r="G8">
        <v>558</v>
      </c>
      <c r="H8">
        <v>5363</v>
      </c>
      <c r="I8">
        <v>1294</v>
      </c>
      <c r="J8">
        <v>0</v>
      </c>
      <c r="K8">
        <v>0</v>
      </c>
      <c r="L8">
        <v>365</v>
      </c>
      <c r="M8">
        <v>1164</v>
      </c>
      <c r="N8">
        <v>86890</v>
      </c>
    </row>
    <row r="9" spans="1:14" ht="14.25">
      <c r="A9" t="s">
        <v>142</v>
      </c>
      <c r="B9">
        <v>7376.433176</v>
      </c>
      <c r="C9">
        <v>5446.860437</v>
      </c>
      <c r="D9">
        <v>5768.119957</v>
      </c>
      <c r="E9">
        <v>6033.093223</v>
      </c>
      <c r="F9">
        <v>8234.395133</v>
      </c>
      <c r="G9">
        <v>6880.427257</v>
      </c>
      <c r="H9">
        <v>7960.001286</v>
      </c>
      <c r="I9">
        <v>7896.727443</v>
      </c>
      <c r="J9">
        <v>7074.105921</v>
      </c>
      <c r="K9">
        <v>6060.420686</v>
      </c>
      <c r="L9">
        <v>7082.074739</v>
      </c>
      <c r="M9">
        <v>6439.739067</v>
      </c>
      <c r="N9">
        <v>82252.39832500002</v>
      </c>
    </row>
    <row r="10" spans="1:14" ht="14.25">
      <c r="A10" t="s">
        <v>142</v>
      </c>
      <c r="B10">
        <v>20893</v>
      </c>
      <c r="C10">
        <v>22057</v>
      </c>
      <c r="D10">
        <v>5992</v>
      </c>
      <c r="E10">
        <v>6112</v>
      </c>
      <c r="F10">
        <v>6898</v>
      </c>
      <c r="G10">
        <v>5669</v>
      </c>
      <c r="H10">
        <v>5178</v>
      </c>
      <c r="I10">
        <v>469</v>
      </c>
      <c r="J10">
        <v>460</v>
      </c>
      <c r="K10">
        <v>114</v>
      </c>
      <c r="L10">
        <v>258</v>
      </c>
      <c r="M10">
        <v>4043</v>
      </c>
      <c r="N10">
        <v>78143</v>
      </c>
    </row>
    <row r="11" spans="1:14" ht="14.25">
      <c r="A11" t="s">
        <v>142</v>
      </c>
      <c r="B11">
        <v>9804.555835</v>
      </c>
      <c r="C11">
        <v>12157.140353</v>
      </c>
      <c r="D11">
        <v>14390.72846</v>
      </c>
      <c r="E11">
        <v>9391.283972</v>
      </c>
      <c r="F11">
        <v>12315.396768</v>
      </c>
      <c r="G11">
        <v>7401.176627</v>
      </c>
      <c r="H11">
        <v>1289.907762</v>
      </c>
      <c r="I11">
        <v>0</v>
      </c>
      <c r="J11">
        <v>0</v>
      </c>
      <c r="K11">
        <v>0</v>
      </c>
      <c r="L11">
        <v>740.650354</v>
      </c>
      <c r="M11">
        <v>6318.996963</v>
      </c>
      <c r="N11">
        <v>73809.83709399999</v>
      </c>
    </row>
    <row r="12" spans="1:14" ht="14.25">
      <c r="A12" t="s">
        <v>142</v>
      </c>
      <c r="B12">
        <v>6603.851654</v>
      </c>
      <c r="C12">
        <v>8292.362027</v>
      </c>
      <c r="D12">
        <v>7368.8643</v>
      </c>
      <c r="E12">
        <v>7645.379933</v>
      </c>
      <c r="F12">
        <v>9719.642385</v>
      </c>
      <c r="G12">
        <v>3042.439702</v>
      </c>
      <c r="H12">
        <v>2043.790668</v>
      </c>
      <c r="I12">
        <v>2585.25098</v>
      </c>
      <c r="J12">
        <v>4749.818531</v>
      </c>
      <c r="K12">
        <v>5632.415582</v>
      </c>
      <c r="L12">
        <v>5181.26417</v>
      </c>
      <c r="M12">
        <v>6770.573316</v>
      </c>
      <c r="N12">
        <v>69635.653248</v>
      </c>
    </row>
    <row r="13" spans="1:14" ht="14.25">
      <c r="A13" t="s">
        <v>142</v>
      </c>
      <c r="B13">
        <v>4845.32288</v>
      </c>
      <c r="C13">
        <v>4265.16636</v>
      </c>
      <c r="D13">
        <v>5743.836206</v>
      </c>
      <c r="E13">
        <v>5106.144849</v>
      </c>
      <c r="F13">
        <v>4919.653749</v>
      </c>
      <c r="G13">
        <v>5077.125744</v>
      </c>
      <c r="H13">
        <v>6150.910356</v>
      </c>
      <c r="I13">
        <v>5720.537781</v>
      </c>
      <c r="J13">
        <v>6278.671644</v>
      </c>
      <c r="K13">
        <v>5144.115713</v>
      </c>
      <c r="L13">
        <v>5644.83309</v>
      </c>
      <c r="M13">
        <v>4743.33914</v>
      </c>
      <c r="N13">
        <v>63639.657512000005</v>
      </c>
    </row>
    <row r="14" spans="1:14" ht="14.25">
      <c r="A14" t="s">
        <v>142</v>
      </c>
      <c r="B14">
        <v>4860.192459</v>
      </c>
      <c r="C14">
        <v>5770.597627</v>
      </c>
      <c r="D14">
        <v>4924.106579</v>
      </c>
      <c r="E14">
        <v>4746.746816</v>
      </c>
      <c r="F14">
        <v>6623.233895</v>
      </c>
      <c r="G14">
        <v>4156.553374</v>
      </c>
      <c r="H14">
        <v>3500.004686</v>
      </c>
      <c r="I14">
        <v>5585.195187</v>
      </c>
      <c r="J14">
        <v>4085.448075</v>
      </c>
      <c r="K14">
        <v>4951.46503</v>
      </c>
      <c r="L14">
        <v>5886.077412</v>
      </c>
      <c r="M14">
        <v>6421.832633</v>
      </c>
      <c r="N14">
        <v>61511.453772999994</v>
      </c>
    </row>
    <row r="15" spans="1:14" ht="14.25">
      <c r="A15" t="s">
        <v>143</v>
      </c>
      <c r="B15">
        <v>4151</v>
      </c>
      <c r="C15">
        <v>4142</v>
      </c>
      <c r="D15">
        <v>3827</v>
      </c>
      <c r="E15">
        <v>5086</v>
      </c>
      <c r="F15">
        <v>4997</v>
      </c>
      <c r="G15">
        <v>5610</v>
      </c>
      <c r="H15">
        <v>6284</v>
      </c>
      <c r="I15">
        <v>5577</v>
      </c>
      <c r="J15">
        <v>5744</v>
      </c>
      <c r="K15">
        <v>4764</v>
      </c>
      <c r="L15">
        <v>4857</v>
      </c>
      <c r="M15">
        <v>4499</v>
      </c>
      <c r="N15">
        <v>59538</v>
      </c>
    </row>
    <row r="16" spans="1:14" ht="14.25">
      <c r="A16" t="s">
        <v>142</v>
      </c>
      <c r="B16">
        <v>6215.713803</v>
      </c>
      <c r="C16">
        <v>3572.476856</v>
      </c>
      <c r="D16">
        <v>3635.214089</v>
      </c>
      <c r="E16">
        <v>4914.255987</v>
      </c>
      <c r="F16">
        <v>6713.140713</v>
      </c>
      <c r="G16">
        <v>5438.115127</v>
      </c>
      <c r="H16">
        <v>2406.824992</v>
      </c>
      <c r="I16">
        <v>1394.75005</v>
      </c>
      <c r="J16">
        <v>3037.676057</v>
      </c>
      <c r="K16">
        <v>7931.250125</v>
      </c>
      <c r="L16">
        <v>4901.757944</v>
      </c>
      <c r="M16">
        <v>2366.739354</v>
      </c>
      <c r="N16">
        <v>52527.915097</v>
      </c>
    </row>
    <row r="17" spans="1:14" ht="14.25">
      <c r="A17" t="s">
        <v>142</v>
      </c>
      <c r="B17">
        <v>455.668934</v>
      </c>
      <c r="C17">
        <v>195.020312</v>
      </c>
      <c r="D17">
        <v>218.272766</v>
      </c>
      <c r="E17">
        <v>527.447885</v>
      </c>
      <c r="F17">
        <v>4891.819418</v>
      </c>
      <c r="G17">
        <v>7640.563518</v>
      </c>
      <c r="H17">
        <v>10114.393428</v>
      </c>
      <c r="I17">
        <v>7738.988868</v>
      </c>
      <c r="J17">
        <v>8438.557364</v>
      </c>
      <c r="L17">
        <v>4838.885602</v>
      </c>
      <c r="M17">
        <v>2799.390441</v>
      </c>
      <c r="N17">
        <v>47859.00853600001</v>
      </c>
    </row>
    <row r="18" spans="1:14" ht="14.25">
      <c r="A18" t="s">
        <v>143</v>
      </c>
      <c r="B18">
        <v>1276</v>
      </c>
      <c r="C18">
        <v>1362</v>
      </c>
      <c r="D18">
        <v>2680</v>
      </c>
      <c r="E18">
        <v>4062</v>
      </c>
      <c r="F18">
        <v>4660</v>
      </c>
      <c r="G18">
        <v>5928</v>
      </c>
      <c r="H18">
        <v>6320</v>
      </c>
      <c r="I18">
        <v>5127</v>
      </c>
      <c r="J18">
        <v>4880</v>
      </c>
      <c r="K18">
        <v>4589</v>
      </c>
      <c r="L18">
        <v>3528</v>
      </c>
      <c r="M18">
        <v>2428</v>
      </c>
      <c r="N18">
        <v>46840</v>
      </c>
    </row>
    <row r="19" spans="1:14" ht="14.25">
      <c r="A19" t="s">
        <v>142</v>
      </c>
      <c r="B19">
        <v>7910</v>
      </c>
      <c r="C19">
        <v>4474</v>
      </c>
      <c r="D19">
        <v>782</v>
      </c>
      <c r="E19">
        <v>9503</v>
      </c>
      <c r="F19">
        <v>10600</v>
      </c>
      <c r="G19">
        <v>1297</v>
      </c>
      <c r="H19">
        <v>1038</v>
      </c>
      <c r="I19">
        <v>895</v>
      </c>
      <c r="J19">
        <v>708</v>
      </c>
      <c r="K19">
        <v>799</v>
      </c>
      <c r="L19">
        <v>543</v>
      </c>
      <c r="M19">
        <v>2917</v>
      </c>
      <c r="N19">
        <v>41466</v>
      </c>
    </row>
    <row r="20" spans="1:14" ht="14.25">
      <c r="A20" t="s">
        <v>142</v>
      </c>
      <c r="B20">
        <v>5069.098274</v>
      </c>
      <c r="C20">
        <v>4468.227316</v>
      </c>
      <c r="D20">
        <v>4717.158059</v>
      </c>
      <c r="E20">
        <v>4122.533881</v>
      </c>
      <c r="F20">
        <v>3769.998696</v>
      </c>
      <c r="G20">
        <v>1688.192126</v>
      </c>
      <c r="H20">
        <v>820.894698</v>
      </c>
      <c r="I20">
        <v>1835.616988</v>
      </c>
      <c r="J20">
        <v>1112.685073</v>
      </c>
      <c r="K20">
        <v>3176.229699</v>
      </c>
      <c r="L20">
        <v>5710.621426</v>
      </c>
      <c r="M20">
        <v>4875.898028</v>
      </c>
      <c r="N20">
        <v>41367.154264</v>
      </c>
    </row>
    <row r="21" spans="1:14" ht="14.25">
      <c r="A21" t="s">
        <v>142</v>
      </c>
      <c r="B21">
        <v>1391.386447</v>
      </c>
      <c r="C21">
        <v>193.143181</v>
      </c>
      <c r="D21">
        <v>348.414014</v>
      </c>
      <c r="E21">
        <v>1285.961627</v>
      </c>
      <c r="F21">
        <v>3017.139617</v>
      </c>
      <c r="G21">
        <v>4194.18327</v>
      </c>
      <c r="H21">
        <v>6259.616707</v>
      </c>
      <c r="I21">
        <v>7331.811158</v>
      </c>
      <c r="J21">
        <v>5347.282828</v>
      </c>
      <c r="K21">
        <v>5452.190442</v>
      </c>
      <c r="L21">
        <v>3269.567063</v>
      </c>
      <c r="M21">
        <v>1345.582901</v>
      </c>
      <c r="N21">
        <v>39436.27925500001</v>
      </c>
    </row>
    <row r="22" spans="1:14" ht="14.25">
      <c r="A22" t="s">
        <v>142</v>
      </c>
      <c r="B22">
        <v>3221.072241</v>
      </c>
      <c r="C22">
        <v>2548.813216</v>
      </c>
      <c r="D22">
        <v>3054.388857</v>
      </c>
      <c r="E22">
        <v>2856.55891</v>
      </c>
      <c r="F22">
        <v>3409.499797</v>
      </c>
      <c r="G22">
        <v>3037.693993</v>
      </c>
      <c r="H22">
        <v>3425.839105</v>
      </c>
      <c r="I22">
        <v>3807.715008</v>
      </c>
      <c r="J22">
        <v>3580.16966</v>
      </c>
      <c r="K22">
        <v>3167.005619</v>
      </c>
      <c r="L22">
        <v>3863.098522</v>
      </c>
      <c r="M22">
        <v>2880.245913</v>
      </c>
      <c r="N22">
        <v>38852.10084099999</v>
      </c>
    </row>
    <row r="23" spans="1:14" ht="14.25">
      <c r="A23" t="s">
        <v>142</v>
      </c>
      <c r="B23">
        <v>1272.849187</v>
      </c>
      <c r="C23">
        <v>1024.459703</v>
      </c>
      <c r="D23">
        <v>878.592455</v>
      </c>
      <c r="E23">
        <v>751.366831</v>
      </c>
      <c r="F23">
        <v>12712.746764</v>
      </c>
      <c r="G23">
        <v>6819.518379</v>
      </c>
      <c r="H23">
        <v>1590.802107</v>
      </c>
      <c r="I23">
        <v>40.311</v>
      </c>
      <c r="J23">
        <v>1561.573457</v>
      </c>
      <c r="K23">
        <v>2723.983161</v>
      </c>
      <c r="L23">
        <v>5986.730861</v>
      </c>
      <c r="M23">
        <v>3212.404009</v>
      </c>
      <c r="N23">
        <v>38575.337913999996</v>
      </c>
    </row>
    <row r="24" spans="1:14" ht="14.25">
      <c r="A24" t="s">
        <v>142</v>
      </c>
      <c r="B24">
        <v>1509.56217</v>
      </c>
      <c r="C24">
        <v>1715.377991</v>
      </c>
      <c r="D24">
        <v>1873.176982</v>
      </c>
      <c r="E24">
        <v>1976.173846</v>
      </c>
      <c r="F24">
        <v>2418.442013</v>
      </c>
      <c r="G24">
        <v>2629.991302</v>
      </c>
      <c r="H24">
        <v>3551.613226</v>
      </c>
      <c r="I24">
        <v>5399.01422</v>
      </c>
      <c r="J24">
        <v>5000.961224</v>
      </c>
      <c r="K24">
        <v>4045.706852</v>
      </c>
      <c r="L24">
        <v>3901.998263</v>
      </c>
      <c r="M24">
        <v>3749.580981</v>
      </c>
      <c r="N24">
        <v>37771.59907</v>
      </c>
    </row>
    <row r="25" spans="1:14" ht="14.25">
      <c r="A25" t="s">
        <v>142</v>
      </c>
      <c r="B25">
        <v>1567.582273</v>
      </c>
      <c r="C25">
        <v>1572.756331</v>
      </c>
      <c r="D25">
        <v>1484.545983</v>
      </c>
      <c r="E25">
        <v>2121.665157</v>
      </c>
      <c r="F25">
        <v>2976.022564</v>
      </c>
      <c r="G25">
        <v>4013.75817</v>
      </c>
      <c r="H25">
        <v>4725.560856</v>
      </c>
      <c r="I25">
        <v>4101.686618</v>
      </c>
      <c r="J25">
        <v>3857.392353</v>
      </c>
      <c r="K25">
        <v>2984.782283</v>
      </c>
      <c r="L25">
        <v>3241.287114</v>
      </c>
      <c r="M25">
        <v>2527.716128</v>
      </c>
      <c r="N25">
        <v>35174.755829999995</v>
      </c>
    </row>
    <row r="26" spans="1:14" ht="14.25">
      <c r="A26" t="s">
        <v>142</v>
      </c>
      <c r="B26">
        <v>2755.288992</v>
      </c>
      <c r="C26">
        <v>2242.050182</v>
      </c>
      <c r="D26">
        <v>2737.551618</v>
      </c>
      <c r="E26">
        <v>2642.722263</v>
      </c>
      <c r="F26">
        <v>3155.941913</v>
      </c>
      <c r="G26">
        <v>3115.10456</v>
      </c>
      <c r="H26">
        <v>2969.052218</v>
      </c>
      <c r="I26">
        <v>3054.437802</v>
      </c>
      <c r="J26">
        <v>2796.95112</v>
      </c>
      <c r="K26">
        <v>2390.212597</v>
      </c>
      <c r="L26">
        <v>2890.304776</v>
      </c>
      <c r="M26">
        <v>3085.963698</v>
      </c>
      <c r="N26">
        <v>33835.58173900001</v>
      </c>
    </row>
    <row r="27" spans="1:14" ht="14.25">
      <c r="A27" t="s">
        <v>142</v>
      </c>
      <c r="B27">
        <v>2616.496489</v>
      </c>
      <c r="C27">
        <v>1621.732062</v>
      </c>
      <c r="D27">
        <v>2395.350767</v>
      </c>
      <c r="E27">
        <v>2106.703863</v>
      </c>
      <c r="F27">
        <v>2515.764436</v>
      </c>
      <c r="G27">
        <v>2323.592557</v>
      </c>
      <c r="H27">
        <v>2700.091388</v>
      </c>
      <c r="I27">
        <v>2985.00139</v>
      </c>
      <c r="J27">
        <v>2476.50696</v>
      </c>
      <c r="K27">
        <v>1900.278243</v>
      </c>
      <c r="L27">
        <v>3068.934557</v>
      </c>
      <c r="M27">
        <v>2125.854612</v>
      </c>
      <c r="N27">
        <v>28836.307324</v>
      </c>
    </row>
    <row r="28" spans="1:14" ht="14.25">
      <c r="A28" t="s">
        <v>142</v>
      </c>
      <c r="B28">
        <v>6691</v>
      </c>
      <c r="C28">
        <v>6330</v>
      </c>
      <c r="D28">
        <v>3679</v>
      </c>
      <c r="E28">
        <v>517</v>
      </c>
      <c r="F28">
        <v>2999</v>
      </c>
      <c r="G28">
        <v>1039</v>
      </c>
      <c r="H28">
        <v>1392</v>
      </c>
      <c r="I28">
        <v>79</v>
      </c>
      <c r="J28">
        <v>0</v>
      </c>
      <c r="K28">
        <v>0</v>
      </c>
      <c r="L28">
        <v>290</v>
      </c>
      <c r="M28">
        <v>4832</v>
      </c>
      <c r="N28">
        <v>27848</v>
      </c>
    </row>
    <row r="29" spans="1:14" ht="14.25">
      <c r="A29" t="s">
        <v>142</v>
      </c>
      <c r="B29">
        <v>1431.337002</v>
      </c>
      <c r="C29">
        <v>1404.570562</v>
      </c>
      <c r="D29">
        <v>1403.149814</v>
      </c>
      <c r="E29">
        <v>1282.988531</v>
      </c>
      <c r="F29">
        <v>2108.691892</v>
      </c>
      <c r="G29">
        <v>2495.660438</v>
      </c>
      <c r="H29">
        <v>2732.346343</v>
      </c>
      <c r="I29">
        <v>3378.81215</v>
      </c>
      <c r="J29">
        <v>3142.980667</v>
      </c>
      <c r="K29">
        <v>2456.892705</v>
      </c>
      <c r="L29">
        <v>2590.163901</v>
      </c>
      <c r="M29">
        <v>1725.68424</v>
      </c>
      <c r="N29">
        <v>26153.278244999998</v>
      </c>
    </row>
    <row r="30" spans="1:14" ht="14.25">
      <c r="A30" t="s">
        <v>142</v>
      </c>
      <c r="B30">
        <v>1115.356197</v>
      </c>
      <c r="C30">
        <v>1281.091755</v>
      </c>
      <c r="D30">
        <v>1227.328416</v>
      </c>
      <c r="E30">
        <v>977.951095</v>
      </c>
      <c r="F30">
        <v>1977.461065</v>
      </c>
      <c r="G30">
        <v>2544.835413</v>
      </c>
      <c r="H30">
        <v>3682.536575</v>
      </c>
      <c r="I30">
        <v>3653.287501</v>
      </c>
      <c r="J30">
        <v>3024.501734</v>
      </c>
      <c r="K30">
        <v>2739.016486</v>
      </c>
      <c r="L30">
        <v>1938.26571</v>
      </c>
      <c r="M30">
        <v>1613.260628</v>
      </c>
      <c r="N30">
        <v>25774.892575</v>
      </c>
    </row>
    <row r="31" spans="1:14" ht="14.25">
      <c r="A31" t="s">
        <v>142</v>
      </c>
      <c r="B31">
        <v>696.603558</v>
      </c>
      <c r="C31">
        <v>579.734045</v>
      </c>
      <c r="D31">
        <v>701.463014</v>
      </c>
      <c r="E31">
        <v>698.80168</v>
      </c>
      <c r="F31">
        <v>2127.372841</v>
      </c>
      <c r="G31">
        <v>2507.405138</v>
      </c>
      <c r="H31">
        <v>3908.470391</v>
      </c>
      <c r="I31">
        <v>4629.040063</v>
      </c>
      <c r="J31">
        <v>3158.747928</v>
      </c>
      <c r="K31">
        <v>2732.118984</v>
      </c>
      <c r="L31">
        <v>2305.531301</v>
      </c>
      <c r="M31">
        <v>1222.350525</v>
      </c>
      <c r="N31">
        <v>25267.639468</v>
      </c>
    </row>
    <row r="32" spans="1:14" ht="14.25">
      <c r="A32" t="s">
        <v>142</v>
      </c>
      <c r="B32">
        <v>1683.312988</v>
      </c>
      <c r="C32">
        <v>1717.179515</v>
      </c>
      <c r="D32">
        <v>1757.456433</v>
      </c>
      <c r="E32">
        <v>2076.433834</v>
      </c>
      <c r="F32">
        <v>1884.517459</v>
      </c>
      <c r="G32">
        <v>2142.186243</v>
      </c>
      <c r="H32">
        <v>2946.422088</v>
      </c>
      <c r="I32">
        <v>2940.431218</v>
      </c>
      <c r="J32">
        <v>2453.331506</v>
      </c>
      <c r="K32">
        <v>2047.607379</v>
      </c>
      <c r="L32">
        <v>1715.330071</v>
      </c>
      <c r="M32">
        <v>1711.312596</v>
      </c>
      <c r="N32">
        <v>25075.52133</v>
      </c>
    </row>
    <row r="33" spans="1:14" ht="14.25">
      <c r="A33" t="s">
        <v>142</v>
      </c>
      <c r="B33">
        <v>694.848951</v>
      </c>
      <c r="C33">
        <v>178.108745</v>
      </c>
      <c r="D33">
        <v>385.934007</v>
      </c>
      <c r="E33">
        <v>1209.607535</v>
      </c>
      <c r="F33">
        <v>2651.387175</v>
      </c>
      <c r="G33">
        <v>2742.911161</v>
      </c>
      <c r="H33">
        <v>2786.024095</v>
      </c>
      <c r="I33">
        <v>4030.965903</v>
      </c>
      <c r="J33">
        <v>3207.203354</v>
      </c>
      <c r="K33">
        <v>3003.762002</v>
      </c>
      <c r="L33">
        <v>2750.866715</v>
      </c>
      <c r="M33">
        <v>1428.627514</v>
      </c>
      <c r="N33">
        <v>25070.247157</v>
      </c>
    </row>
    <row r="34" spans="1:14" ht="14.25">
      <c r="A34" t="s">
        <v>142</v>
      </c>
      <c r="B34">
        <v>700.000879</v>
      </c>
      <c r="C34">
        <v>351.172668</v>
      </c>
      <c r="D34">
        <v>551.062628</v>
      </c>
      <c r="E34">
        <v>1372.900829</v>
      </c>
      <c r="F34">
        <v>1616.806727</v>
      </c>
      <c r="G34">
        <v>3401.124378</v>
      </c>
      <c r="H34">
        <v>4833.404854</v>
      </c>
      <c r="I34">
        <v>3966.365868</v>
      </c>
      <c r="J34">
        <v>3112.304177</v>
      </c>
      <c r="K34">
        <v>1850.961438</v>
      </c>
      <c r="L34">
        <v>1919.215943</v>
      </c>
      <c r="M34">
        <v>940.340189</v>
      </c>
      <c r="N34">
        <v>24615.660577999995</v>
      </c>
    </row>
    <row r="35" spans="1:14" ht="14.25">
      <c r="A35" t="s">
        <v>142</v>
      </c>
      <c r="B35">
        <v>3554.527186</v>
      </c>
      <c r="C35">
        <v>3225.137376</v>
      </c>
      <c r="D35">
        <v>3514.222832</v>
      </c>
      <c r="E35">
        <v>5684.440971</v>
      </c>
      <c r="F35">
        <v>5872.349243</v>
      </c>
      <c r="G35">
        <v>1.068743</v>
      </c>
      <c r="H35">
        <v>0</v>
      </c>
      <c r="I35">
        <v>0</v>
      </c>
      <c r="J35">
        <v>0</v>
      </c>
      <c r="K35">
        <v>0</v>
      </c>
      <c r="L35">
        <v>670.741824</v>
      </c>
      <c r="M35">
        <v>1603.357074</v>
      </c>
      <c r="N35">
        <v>24125.845248999998</v>
      </c>
    </row>
    <row r="36" spans="1:14" ht="14.25">
      <c r="A36" t="s">
        <v>142</v>
      </c>
      <c r="B36">
        <v>153.595635</v>
      </c>
      <c r="C36">
        <v>116.074684</v>
      </c>
      <c r="D36">
        <v>104.214706</v>
      </c>
      <c r="E36">
        <v>702.944122</v>
      </c>
      <c r="F36">
        <v>2204.675504</v>
      </c>
      <c r="G36">
        <v>2829.39337</v>
      </c>
      <c r="H36">
        <v>4113.614197</v>
      </c>
      <c r="I36">
        <v>3884.047245</v>
      </c>
      <c r="J36">
        <v>3232.411586</v>
      </c>
      <c r="K36">
        <v>2416.53666</v>
      </c>
      <c r="L36">
        <v>2138.02752</v>
      </c>
      <c r="M36">
        <v>511.451148</v>
      </c>
      <c r="N36">
        <v>22406.986377</v>
      </c>
    </row>
    <row r="37" spans="1:14" ht="14.25">
      <c r="A37" t="s">
        <v>142</v>
      </c>
      <c r="B37">
        <v>560.461333</v>
      </c>
      <c r="C37">
        <v>444.187291</v>
      </c>
      <c r="D37">
        <v>400.151438</v>
      </c>
      <c r="E37">
        <v>1014.093481</v>
      </c>
      <c r="F37">
        <v>1797.750421</v>
      </c>
      <c r="G37">
        <v>2627.091952</v>
      </c>
      <c r="H37">
        <v>3021.666222</v>
      </c>
      <c r="I37">
        <v>3330.099201</v>
      </c>
      <c r="J37">
        <v>3050.382032</v>
      </c>
      <c r="K37">
        <v>2273.573016</v>
      </c>
      <c r="L37">
        <v>2029.226738</v>
      </c>
      <c r="M37">
        <v>934.838211</v>
      </c>
      <c r="N37">
        <v>21483.521335999998</v>
      </c>
    </row>
    <row r="38" spans="1:14" ht="14.25">
      <c r="A38" t="s">
        <v>142</v>
      </c>
      <c r="B38">
        <v>2608.534346</v>
      </c>
      <c r="C38">
        <v>3564.080585</v>
      </c>
      <c r="D38">
        <v>3435.510952</v>
      </c>
      <c r="E38">
        <v>2156.087292</v>
      </c>
      <c r="F38">
        <v>5262.466154</v>
      </c>
      <c r="G38">
        <v>1335.794259</v>
      </c>
      <c r="H38">
        <v>388.681232</v>
      </c>
      <c r="I38">
        <v>318.163725</v>
      </c>
      <c r="J38">
        <v>346.478748</v>
      </c>
      <c r="K38">
        <v>294.849668</v>
      </c>
      <c r="L38">
        <v>790.35212</v>
      </c>
      <c r="M38">
        <v>304.804102</v>
      </c>
      <c r="N38">
        <v>20805.803182999993</v>
      </c>
    </row>
    <row r="39" spans="1:14" ht="14.25">
      <c r="A39" t="s">
        <v>142</v>
      </c>
      <c r="B39">
        <v>4.197738</v>
      </c>
      <c r="C39">
        <v>23.119899</v>
      </c>
      <c r="D39">
        <v>47.174351</v>
      </c>
      <c r="E39">
        <v>1544.697222</v>
      </c>
      <c r="F39">
        <v>2528.56291</v>
      </c>
      <c r="G39">
        <v>2423.276159</v>
      </c>
      <c r="H39">
        <v>4467.294104</v>
      </c>
      <c r="I39">
        <v>3442.491172</v>
      </c>
      <c r="J39">
        <v>2382.693154</v>
      </c>
      <c r="K39">
        <v>2267.701813</v>
      </c>
      <c r="L39">
        <v>628.188202</v>
      </c>
      <c r="M39">
        <v>0</v>
      </c>
      <c r="N39">
        <v>19759.396724</v>
      </c>
    </row>
    <row r="40" spans="1:14" ht="14.25">
      <c r="A40" t="s">
        <v>142</v>
      </c>
      <c r="B40">
        <v>104.227457</v>
      </c>
      <c r="C40">
        <v>158.63058</v>
      </c>
      <c r="D40">
        <v>200.294308</v>
      </c>
      <c r="E40">
        <v>1547.594043</v>
      </c>
      <c r="F40">
        <v>1993.375147</v>
      </c>
      <c r="G40">
        <v>3019.574072</v>
      </c>
      <c r="H40">
        <v>3576.930428</v>
      </c>
      <c r="I40">
        <v>2770.946479</v>
      </c>
      <c r="J40">
        <v>2019.590435</v>
      </c>
      <c r="K40">
        <v>1966.005678</v>
      </c>
      <c r="L40">
        <v>1309.985031</v>
      </c>
      <c r="M40">
        <v>294.603717</v>
      </c>
      <c r="N40">
        <v>18961.757375</v>
      </c>
    </row>
    <row r="41" spans="1:14" ht="14.25">
      <c r="A41" t="s">
        <v>142</v>
      </c>
      <c r="B41">
        <v>4.198739</v>
      </c>
      <c r="C41">
        <v>0</v>
      </c>
      <c r="D41">
        <v>0</v>
      </c>
      <c r="E41">
        <v>1124.827088</v>
      </c>
      <c r="F41">
        <v>1769.598473</v>
      </c>
      <c r="G41">
        <v>4604.325835</v>
      </c>
      <c r="H41">
        <v>2945.742782</v>
      </c>
      <c r="I41">
        <v>3198.197805</v>
      </c>
      <c r="J41">
        <v>2036.44741</v>
      </c>
      <c r="K41">
        <v>1987.281383</v>
      </c>
      <c r="L41">
        <v>503.829057</v>
      </c>
      <c r="M41">
        <v>1.049402</v>
      </c>
      <c r="N41">
        <v>18175.497973999998</v>
      </c>
    </row>
    <row r="42" spans="1:14" ht="14.25">
      <c r="A42" t="s">
        <v>142</v>
      </c>
      <c r="B42">
        <v>1276.730415</v>
      </c>
      <c r="C42">
        <v>815.693135</v>
      </c>
      <c r="D42">
        <v>1518.53328</v>
      </c>
      <c r="E42">
        <v>1260.537432</v>
      </c>
      <c r="F42">
        <v>1322.539677</v>
      </c>
      <c r="G42">
        <v>1589.330719</v>
      </c>
      <c r="H42">
        <v>1393.511078</v>
      </c>
      <c r="I42">
        <v>1556.94597</v>
      </c>
      <c r="J42">
        <v>1284.63363</v>
      </c>
      <c r="K42">
        <v>1258.578546</v>
      </c>
      <c r="L42">
        <v>1921.022549</v>
      </c>
      <c r="M42">
        <v>1585.318424</v>
      </c>
      <c r="N42">
        <v>16783.374855000002</v>
      </c>
    </row>
    <row r="43" spans="1:14" ht="14.25">
      <c r="A43" t="s">
        <v>142</v>
      </c>
      <c r="B43">
        <v>900.26199</v>
      </c>
      <c r="C43">
        <v>874.105837</v>
      </c>
      <c r="D43">
        <v>810.038891</v>
      </c>
      <c r="E43">
        <v>1016.347739</v>
      </c>
      <c r="F43">
        <v>1352.833163</v>
      </c>
      <c r="G43">
        <v>1497.1202</v>
      </c>
      <c r="H43">
        <v>1885.792151</v>
      </c>
      <c r="I43">
        <v>2065.541181</v>
      </c>
      <c r="J43">
        <v>1644.954781</v>
      </c>
      <c r="K43">
        <v>1603.858232</v>
      </c>
      <c r="L43">
        <v>1585.642747</v>
      </c>
      <c r="M43">
        <v>1219.251309</v>
      </c>
      <c r="N43">
        <v>16455.748221</v>
      </c>
    </row>
    <row r="44" spans="1:14" ht="14.25">
      <c r="A44" t="s">
        <v>142</v>
      </c>
      <c r="B44">
        <v>609.480239</v>
      </c>
      <c r="C44">
        <v>581.20975</v>
      </c>
      <c r="D44">
        <v>291.633676</v>
      </c>
      <c r="E44">
        <v>494.4436</v>
      </c>
      <c r="F44">
        <v>1354.633778</v>
      </c>
      <c r="G44">
        <v>1998.35709</v>
      </c>
      <c r="H44">
        <v>2992.358606</v>
      </c>
      <c r="I44">
        <v>2882.100747</v>
      </c>
      <c r="J44">
        <v>1895.554282</v>
      </c>
      <c r="K44">
        <v>1654.839439</v>
      </c>
      <c r="L44">
        <v>822.687998</v>
      </c>
      <c r="M44">
        <v>732.567549</v>
      </c>
      <c r="N44">
        <v>16309.866753999997</v>
      </c>
    </row>
    <row r="45" spans="1:14" ht="14.25">
      <c r="A45" t="s">
        <v>142</v>
      </c>
      <c r="B45">
        <v>377.814384</v>
      </c>
      <c r="C45">
        <v>235.418176</v>
      </c>
      <c r="D45">
        <v>722.371991</v>
      </c>
      <c r="E45">
        <v>1098.963448</v>
      </c>
      <c r="F45">
        <v>1722.057021</v>
      </c>
      <c r="G45">
        <v>2410.023775</v>
      </c>
      <c r="H45">
        <v>2908.638007</v>
      </c>
      <c r="I45">
        <v>2390.749952</v>
      </c>
      <c r="J45">
        <v>1368.258362</v>
      </c>
      <c r="K45">
        <v>1384.969386</v>
      </c>
      <c r="L45">
        <v>752.422893</v>
      </c>
      <c r="M45">
        <v>228.61902</v>
      </c>
      <c r="N45">
        <v>15600.306415000001</v>
      </c>
    </row>
    <row r="46" spans="1:14" ht="14.25">
      <c r="A46" t="s">
        <v>142</v>
      </c>
      <c r="B46">
        <v>337.570057</v>
      </c>
      <c r="C46">
        <v>343.788456</v>
      </c>
      <c r="D46">
        <v>541.452496</v>
      </c>
      <c r="E46">
        <v>601.754764</v>
      </c>
      <c r="F46">
        <v>1055.005873</v>
      </c>
      <c r="G46">
        <v>1700.832578</v>
      </c>
      <c r="H46">
        <v>2706.380408</v>
      </c>
      <c r="I46">
        <v>3121.694106</v>
      </c>
      <c r="J46">
        <v>1647.233977</v>
      </c>
      <c r="K46">
        <v>1420.157685</v>
      </c>
      <c r="L46">
        <v>1430.153686</v>
      </c>
      <c r="M46">
        <v>492.40875</v>
      </c>
      <c r="N46">
        <v>15398.432836</v>
      </c>
    </row>
    <row r="47" spans="1:14" ht="14.25">
      <c r="A47" t="s">
        <v>142</v>
      </c>
      <c r="B47">
        <v>115.642824</v>
      </c>
      <c r="C47">
        <v>106.224599</v>
      </c>
      <c r="D47">
        <v>186.762887</v>
      </c>
      <c r="E47">
        <v>889.64789</v>
      </c>
      <c r="F47">
        <v>1588.109216</v>
      </c>
      <c r="G47">
        <v>1821.728563</v>
      </c>
      <c r="H47">
        <v>2565.880535</v>
      </c>
      <c r="I47">
        <v>3028.629109</v>
      </c>
      <c r="J47">
        <v>1972.764077</v>
      </c>
      <c r="K47">
        <v>1539.185879</v>
      </c>
      <c r="L47">
        <v>1074.417208</v>
      </c>
      <c r="M47">
        <v>184.251576</v>
      </c>
      <c r="N47">
        <v>15073.244363000002</v>
      </c>
    </row>
    <row r="48" spans="1:14" ht="14.25">
      <c r="A48" t="s">
        <v>142</v>
      </c>
      <c r="B48">
        <v>998</v>
      </c>
      <c r="C48">
        <v>684</v>
      </c>
      <c r="D48">
        <v>860</v>
      </c>
      <c r="E48">
        <v>91</v>
      </c>
      <c r="F48">
        <v>1429</v>
      </c>
      <c r="G48">
        <v>2546</v>
      </c>
      <c r="H48">
        <v>2961</v>
      </c>
      <c r="I48">
        <v>1863</v>
      </c>
      <c r="J48">
        <v>1093</v>
      </c>
      <c r="K48">
        <v>543</v>
      </c>
      <c r="L48">
        <v>1253</v>
      </c>
      <c r="M48">
        <v>724</v>
      </c>
      <c r="N48">
        <v>15045</v>
      </c>
    </row>
    <row r="49" spans="1:14" ht="14.25">
      <c r="A49" t="s">
        <v>142</v>
      </c>
      <c r="B49">
        <v>1125.05154</v>
      </c>
      <c r="C49">
        <v>1156.435384</v>
      </c>
      <c r="D49">
        <v>1198.83947</v>
      </c>
      <c r="E49">
        <v>1139.781978</v>
      </c>
      <c r="F49">
        <v>1248.962957</v>
      </c>
      <c r="G49">
        <v>1369.211558</v>
      </c>
      <c r="H49">
        <v>1209.16831</v>
      </c>
      <c r="I49">
        <v>1393.915169</v>
      </c>
      <c r="J49">
        <v>1313.772543</v>
      </c>
      <c r="K49">
        <v>1149.438975</v>
      </c>
      <c r="L49">
        <v>1261.98072</v>
      </c>
      <c r="M49">
        <v>1407.579496</v>
      </c>
      <c r="N49">
        <v>14974.138099999998</v>
      </c>
    </row>
    <row r="50" spans="1:14" ht="14.25">
      <c r="A50" t="s">
        <v>142</v>
      </c>
      <c r="B50">
        <v>931.35231</v>
      </c>
      <c r="C50">
        <v>858.100409</v>
      </c>
      <c r="D50">
        <v>819.456882</v>
      </c>
      <c r="E50">
        <v>847.035674</v>
      </c>
      <c r="F50">
        <v>1340.130775</v>
      </c>
      <c r="G50">
        <v>1346.195723</v>
      </c>
      <c r="H50">
        <v>1956.48563</v>
      </c>
      <c r="I50">
        <v>1559.440454</v>
      </c>
      <c r="J50">
        <v>1171.00368</v>
      </c>
      <c r="K50">
        <v>950.428107</v>
      </c>
      <c r="L50">
        <v>1039.983739</v>
      </c>
      <c r="M50">
        <v>836.606492</v>
      </c>
      <c r="N50">
        <v>13656.219874999999</v>
      </c>
    </row>
    <row r="51" spans="1:14" ht="14.25">
      <c r="A51" t="s">
        <v>142</v>
      </c>
      <c r="B51">
        <v>124.832607</v>
      </c>
      <c r="C51">
        <v>14.676126</v>
      </c>
      <c r="D51">
        <v>106.08026</v>
      </c>
      <c r="E51">
        <v>615.727839</v>
      </c>
      <c r="F51">
        <v>1064.209226</v>
      </c>
      <c r="G51">
        <v>1706.272306</v>
      </c>
      <c r="H51">
        <v>2298.366958</v>
      </c>
      <c r="I51">
        <v>2476.202162</v>
      </c>
      <c r="J51">
        <v>1430.980375</v>
      </c>
      <c r="K51">
        <v>2006.347968</v>
      </c>
      <c r="L51">
        <v>1187.559053</v>
      </c>
      <c r="M51">
        <v>426.519854</v>
      </c>
      <c r="N51">
        <v>13457.774734</v>
      </c>
    </row>
    <row r="52" spans="1:14" ht="14.25">
      <c r="A52" t="s">
        <v>142</v>
      </c>
      <c r="B52">
        <v>839.68712</v>
      </c>
      <c r="C52">
        <v>1392.736652</v>
      </c>
      <c r="D52">
        <v>876.296261</v>
      </c>
      <c r="E52">
        <v>1263.37584</v>
      </c>
      <c r="F52">
        <v>1429.710019</v>
      </c>
      <c r="G52">
        <v>1383.329477</v>
      </c>
      <c r="H52">
        <v>1971.487397</v>
      </c>
      <c r="I52">
        <v>1058.5245</v>
      </c>
      <c r="J52">
        <v>949.87269</v>
      </c>
      <c r="K52">
        <v>993.148866</v>
      </c>
      <c r="L52">
        <v>778.640642</v>
      </c>
      <c r="M52">
        <v>503.478512</v>
      </c>
      <c r="N52">
        <v>13440.287976</v>
      </c>
    </row>
    <row r="53" spans="1:14" ht="14.25">
      <c r="A53" t="s">
        <v>142</v>
      </c>
      <c r="B53">
        <v>2562.712962</v>
      </c>
      <c r="C53">
        <v>1320.852722</v>
      </c>
      <c r="D53">
        <v>1577.099814</v>
      </c>
      <c r="E53">
        <v>3761.942787</v>
      </c>
      <c r="F53">
        <v>1831.19146</v>
      </c>
      <c r="G53">
        <v>99.234616</v>
      </c>
      <c r="H53">
        <v>0</v>
      </c>
      <c r="I53">
        <v>0</v>
      </c>
      <c r="J53">
        <v>0</v>
      </c>
      <c r="K53">
        <v>0</v>
      </c>
      <c r="L53">
        <v>458.764214</v>
      </c>
      <c r="M53">
        <v>1482.574247</v>
      </c>
      <c r="N53">
        <v>13094.372822000001</v>
      </c>
    </row>
    <row r="54" spans="1:14" ht="14.25">
      <c r="A54" t="s">
        <v>142</v>
      </c>
      <c r="B54">
        <v>856.90651</v>
      </c>
      <c r="C54">
        <v>920.889748</v>
      </c>
      <c r="D54">
        <v>912.003339</v>
      </c>
      <c r="E54">
        <v>1011.261932</v>
      </c>
      <c r="F54">
        <v>1126.18863</v>
      </c>
      <c r="G54">
        <v>1122.011807</v>
      </c>
      <c r="H54">
        <v>1051.773012</v>
      </c>
      <c r="I54">
        <v>1249.155266</v>
      </c>
      <c r="J54">
        <v>1100.189545</v>
      </c>
      <c r="K54">
        <v>1022.111554</v>
      </c>
      <c r="L54">
        <v>1002.319565</v>
      </c>
      <c r="M54">
        <v>976.747715</v>
      </c>
      <c r="N54">
        <v>12351.558622999997</v>
      </c>
    </row>
    <row r="55" spans="1:14" ht="14.25">
      <c r="A55" t="s">
        <v>142</v>
      </c>
      <c r="B55">
        <v>3134.268631</v>
      </c>
      <c r="C55">
        <v>1888.0677</v>
      </c>
      <c r="D55">
        <v>1895.898165</v>
      </c>
      <c r="E55">
        <v>544.597341</v>
      </c>
      <c r="F55">
        <v>396.921273</v>
      </c>
      <c r="G55">
        <v>264.768266</v>
      </c>
      <c r="H55">
        <v>283.366555</v>
      </c>
      <c r="I55">
        <v>316.111752</v>
      </c>
      <c r="J55">
        <v>330.950444</v>
      </c>
      <c r="K55">
        <v>255.312753</v>
      </c>
      <c r="L55">
        <v>193.27418</v>
      </c>
      <c r="M55">
        <v>2381.587439</v>
      </c>
      <c r="N55">
        <v>11885.124499000001</v>
      </c>
    </row>
    <row r="56" spans="1:14" ht="14.25">
      <c r="A56" t="s">
        <v>142</v>
      </c>
      <c r="B56">
        <v>0</v>
      </c>
      <c r="C56">
        <v>0</v>
      </c>
      <c r="D56">
        <v>0</v>
      </c>
      <c r="E56">
        <v>610.4732</v>
      </c>
      <c r="F56">
        <v>1250.597268</v>
      </c>
      <c r="G56">
        <v>1558.129608</v>
      </c>
      <c r="H56">
        <v>1820.263605</v>
      </c>
      <c r="I56">
        <v>1925.053201</v>
      </c>
      <c r="J56">
        <v>1327.081335</v>
      </c>
      <c r="K56">
        <v>1190.506719</v>
      </c>
      <c r="L56">
        <v>1145.953456</v>
      </c>
      <c r="M56">
        <v>356.659527</v>
      </c>
      <c r="N56">
        <v>11184.717918999999</v>
      </c>
    </row>
    <row r="57" spans="1:14" ht="14.25">
      <c r="A57" t="s">
        <v>142</v>
      </c>
      <c r="B57">
        <v>28.394912</v>
      </c>
      <c r="C57">
        <v>25.345193</v>
      </c>
      <c r="D57">
        <v>24.187472</v>
      </c>
      <c r="E57">
        <v>216.580498</v>
      </c>
      <c r="F57">
        <v>960.386891</v>
      </c>
      <c r="G57">
        <v>1466.626424</v>
      </c>
      <c r="H57">
        <v>1834.600829</v>
      </c>
      <c r="I57">
        <v>2478.198753</v>
      </c>
      <c r="J57">
        <v>1476.795475</v>
      </c>
      <c r="K57">
        <v>1167.049981</v>
      </c>
      <c r="L57">
        <v>1036.012065</v>
      </c>
      <c r="M57">
        <v>300.898363</v>
      </c>
      <c r="N57">
        <v>11015.076856</v>
      </c>
    </row>
    <row r="58" spans="1:14" ht="14.25">
      <c r="A58" t="s">
        <v>142</v>
      </c>
      <c r="B58">
        <v>12.618388</v>
      </c>
      <c r="C58">
        <v>8.432805</v>
      </c>
      <c r="D58">
        <v>37.92978</v>
      </c>
      <c r="E58">
        <v>422.546792</v>
      </c>
      <c r="F58">
        <v>1127.438909</v>
      </c>
      <c r="G58">
        <v>1464.753715</v>
      </c>
      <c r="H58">
        <v>1981.242299</v>
      </c>
      <c r="I58">
        <v>2124.163643</v>
      </c>
      <c r="J58">
        <v>1571.425798</v>
      </c>
      <c r="K58">
        <v>1306.983083</v>
      </c>
      <c r="L58">
        <v>847.48632</v>
      </c>
      <c r="M58">
        <v>83.968342</v>
      </c>
      <c r="N58">
        <v>10988.989873999999</v>
      </c>
    </row>
    <row r="59" spans="1:14" ht="14.25">
      <c r="A59" t="s">
        <v>142</v>
      </c>
      <c r="B59">
        <v>0</v>
      </c>
      <c r="C59">
        <v>0</v>
      </c>
      <c r="D59">
        <v>0</v>
      </c>
      <c r="E59">
        <v>0</v>
      </c>
      <c r="F59">
        <v>906.744868</v>
      </c>
      <c r="G59">
        <v>1755.188968</v>
      </c>
      <c r="H59">
        <v>2544.141721</v>
      </c>
      <c r="I59">
        <v>2122.146622</v>
      </c>
      <c r="J59">
        <v>2011.642696</v>
      </c>
      <c r="K59">
        <v>772.548359</v>
      </c>
      <c r="L59">
        <v>745.654765</v>
      </c>
      <c r="M59">
        <v>4.253499</v>
      </c>
      <c r="N59">
        <v>10862.321498</v>
      </c>
    </row>
    <row r="60" spans="1:14" ht="14.25">
      <c r="A60" t="s">
        <v>142</v>
      </c>
      <c r="B60">
        <v>243.492654</v>
      </c>
      <c r="C60">
        <v>298.297866</v>
      </c>
      <c r="D60">
        <v>366.174953</v>
      </c>
      <c r="E60">
        <v>510.795771</v>
      </c>
      <c r="F60">
        <v>604.711025</v>
      </c>
      <c r="G60">
        <v>675.022591</v>
      </c>
      <c r="H60">
        <v>1459.140836</v>
      </c>
      <c r="I60">
        <v>1230.388124</v>
      </c>
      <c r="J60">
        <v>1014.275134</v>
      </c>
      <c r="K60">
        <v>903.740109</v>
      </c>
      <c r="L60">
        <v>1651.459632</v>
      </c>
      <c r="M60">
        <v>836.336776</v>
      </c>
      <c r="N60">
        <v>9793.835471</v>
      </c>
    </row>
    <row r="61" spans="1:14" ht="14.25">
      <c r="A61" t="s">
        <v>142</v>
      </c>
      <c r="B61">
        <v>1351.408029</v>
      </c>
      <c r="C61">
        <v>1233.459279</v>
      </c>
      <c r="D61">
        <v>1614.794029</v>
      </c>
      <c r="E61">
        <v>1450.956137</v>
      </c>
      <c r="F61">
        <v>875.050925</v>
      </c>
      <c r="G61">
        <v>471.151475</v>
      </c>
      <c r="H61">
        <v>141.397269</v>
      </c>
      <c r="I61">
        <v>0</v>
      </c>
      <c r="J61">
        <v>0</v>
      </c>
      <c r="K61">
        <v>492.410534</v>
      </c>
      <c r="L61">
        <v>1262.778218</v>
      </c>
      <c r="M61">
        <v>844.353336</v>
      </c>
      <c r="N61">
        <v>9737.759231</v>
      </c>
    </row>
    <row r="62" spans="1:14" ht="14.25">
      <c r="A62" t="s">
        <v>143</v>
      </c>
      <c r="B62">
        <v>442.781419</v>
      </c>
      <c r="C62">
        <v>454.539975</v>
      </c>
      <c r="D62">
        <v>576.489485</v>
      </c>
      <c r="E62">
        <v>682.724326</v>
      </c>
      <c r="F62">
        <v>833.07481</v>
      </c>
      <c r="G62">
        <v>948.104731</v>
      </c>
      <c r="H62">
        <v>1241.513164</v>
      </c>
      <c r="I62">
        <v>1134.992275</v>
      </c>
      <c r="J62">
        <v>966.681811</v>
      </c>
      <c r="K62">
        <v>839.744236</v>
      </c>
      <c r="L62">
        <v>778.216496</v>
      </c>
      <c r="M62">
        <v>710.91858</v>
      </c>
      <c r="N62">
        <v>9609.781308</v>
      </c>
    </row>
    <row r="63" spans="1:14" ht="14.25">
      <c r="A63" t="s">
        <v>143</v>
      </c>
      <c r="B63">
        <v>642.43765</v>
      </c>
      <c r="C63">
        <v>656.033818</v>
      </c>
      <c r="D63">
        <v>830.284004</v>
      </c>
      <c r="E63">
        <v>701.604891</v>
      </c>
      <c r="F63">
        <v>846.087108</v>
      </c>
      <c r="G63">
        <v>708.135422</v>
      </c>
      <c r="H63">
        <v>869.930378</v>
      </c>
      <c r="I63">
        <v>852.801647</v>
      </c>
      <c r="J63">
        <v>729.165208</v>
      </c>
      <c r="K63">
        <v>678.063285</v>
      </c>
      <c r="L63">
        <v>796.317691</v>
      </c>
      <c r="M63">
        <v>751.885014</v>
      </c>
      <c r="N63">
        <v>9062.746116</v>
      </c>
    </row>
    <row r="64" spans="1:14" ht="14.25">
      <c r="A64" t="s">
        <v>142</v>
      </c>
      <c r="B64">
        <v>516.178038</v>
      </c>
      <c r="C64">
        <v>427.882547</v>
      </c>
      <c r="D64">
        <v>704.382286</v>
      </c>
      <c r="E64">
        <v>480.285345</v>
      </c>
      <c r="F64">
        <v>890.211568</v>
      </c>
      <c r="G64">
        <v>854.690494</v>
      </c>
      <c r="H64">
        <v>1089.954186</v>
      </c>
      <c r="I64">
        <v>956.428655</v>
      </c>
      <c r="J64">
        <v>990.851984</v>
      </c>
      <c r="K64">
        <v>617.983613</v>
      </c>
      <c r="L64">
        <v>729.692476</v>
      </c>
      <c r="M64">
        <v>487.901807</v>
      </c>
      <c r="N64">
        <v>8746.442998999999</v>
      </c>
    </row>
    <row r="65" spans="1:14" ht="14.25">
      <c r="A65" t="s">
        <v>142</v>
      </c>
      <c r="B65">
        <v>0</v>
      </c>
      <c r="C65">
        <v>0</v>
      </c>
      <c r="D65">
        <v>117.861195</v>
      </c>
      <c r="E65">
        <v>851.808043</v>
      </c>
      <c r="F65">
        <v>970.882831</v>
      </c>
      <c r="G65">
        <v>1246.957401</v>
      </c>
      <c r="H65">
        <v>1353.731215</v>
      </c>
      <c r="I65">
        <v>1406.337236</v>
      </c>
      <c r="J65">
        <v>421.982214</v>
      </c>
      <c r="K65">
        <v>1077.620686</v>
      </c>
      <c r="L65">
        <v>784.566471</v>
      </c>
      <c r="M65">
        <v>211.52026</v>
      </c>
      <c r="N65">
        <v>8443.267552</v>
      </c>
    </row>
    <row r="66" spans="1:14" ht="14.25">
      <c r="A66" t="s">
        <v>142</v>
      </c>
      <c r="B66">
        <v>0</v>
      </c>
      <c r="C66">
        <v>4.21421</v>
      </c>
      <c r="D66">
        <v>34.839555</v>
      </c>
      <c r="E66">
        <v>139.147566</v>
      </c>
      <c r="F66">
        <v>321.600431</v>
      </c>
      <c r="G66">
        <v>1086.374016</v>
      </c>
      <c r="H66">
        <v>1345.547317</v>
      </c>
      <c r="I66">
        <v>1712.69153</v>
      </c>
      <c r="J66">
        <v>1360.290136</v>
      </c>
      <c r="K66">
        <v>909.051483</v>
      </c>
      <c r="L66">
        <v>1231.883683</v>
      </c>
      <c r="M66">
        <v>45.702817</v>
      </c>
      <c r="N66">
        <v>8191.342744000001</v>
      </c>
    </row>
    <row r="67" spans="1:14" ht="14.25">
      <c r="A67" t="s">
        <v>142</v>
      </c>
      <c r="B67">
        <v>18.885208</v>
      </c>
      <c r="C67">
        <v>18.917602</v>
      </c>
      <c r="D67">
        <v>29.356191</v>
      </c>
      <c r="E67">
        <v>477.108509</v>
      </c>
      <c r="F67">
        <v>785.79978</v>
      </c>
      <c r="G67">
        <v>1423.135104</v>
      </c>
      <c r="H67">
        <v>1559.782684</v>
      </c>
      <c r="I67">
        <v>1420.921445</v>
      </c>
      <c r="J67">
        <v>1172.339015</v>
      </c>
      <c r="K67">
        <v>890.760372</v>
      </c>
      <c r="L67">
        <v>179.472812</v>
      </c>
      <c r="M67">
        <v>25.15553</v>
      </c>
      <c r="N67">
        <v>8001.634251999999</v>
      </c>
    </row>
    <row r="68" spans="1:14" ht="14.25">
      <c r="A68" t="s">
        <v>142</v>
      </c>
      <c r="B68">
        <v>16.85109</v>
      </c>
      <c r="C68">
        <v>20.087448</v>
      </c>
      <c r="D68">
        <v>92.267991</v>
      </c>
      <c r="E68">
        <v>530.660973</v>
      </c>
      <c r="F68">
        <v>726.552088</v>
      </c>
      <c r="G68">
        <v>1217.86963</v>
      </c>
      <c r="H68">
        <v>1482.298834</v>
      </c>
      <c r="I68">
        <v>1529.621548</v>
      </c>
      <c r="J68">
        <v>928.325706</v>
      </c>
      <c r="K68">
        <v>806.83748</v>
      </c>
      <c r="L68">
        <v>313.207459</v>
      </c>
      <c r="M68">
        <v>45.571275</v>
      </c>
      <c r="N68">
        <v>7710.151522</v>
      </c>
    </row>
    <row r="69" spans="1:14" ht="14.25">
      <c r="A69" t="s">
        <v>142</v>
      </c>
      <c r="J69">
        <v>1357.254191</v>
      </c>
      <c r="K69">
        <v>2614.280086</v>
      </c>
      <c r="L69">
        <v>1869.530355</v>
      </c>
      <c r="M69">
        <v>1762.141882</v>
      </c>
      <c r="N69">
        <v>7603.206514</v>
      </c>
    </row>
    <row r="70" spans="1:14" ht="14.25">
      <c r="A70" t="s">
        <v>142</v>
      </c>
      <c r="B70">
        <v>44.209981</v>
      </c>
      <c r="C70">
        <v>35.95126</v>
      </c>
      <c r="D70">
        <v>37.794852</v>
      </c>
      <c r="E70">
        <v>639.076687</v>
      </c>
      <c r="F70">
        <v>719.515811</v>
      </c>
      <c r="G70">
        <v>1057.448156</v>
      </c>
      <c r="H70">
        <v>1226.043979</v>
      </c>
      <c r="I70">
        <v>1297.399069</v>
      </c>
      <c r="J70">
        <v>942.321265</v>
      </c>
      <c r="K70">
        <v>852.380031</v>
      </c>
      <c r="L70">
        <v>490.32097</v>
      </c>
      <c r="M70">
        <v>55.096928</v>
      </c>
      <c r="N70">
        <v>7397.558989</v>
      </c>
    </row>
    <row r="71" spans="1:14" ht="14.25">
      <c r="A71" t="s">
        <v>142</v>
      </c>
      <c r="B71">
        <v>15.736821</v>
      </c>
      <c r="C71">
        <v>17.867746</v>
      </c>
      <c r="D71">
        <v>27.252061</v>
      </c>
      <c r="E71">
        <v>112.446279</v>
      </c>
      <c r="F71">
        <v>924.159688</v>
      </c>
      <c r="G71">
        <v>1371.44228</v>
      </c>
      <c r="H71">
        <v>1531.346402</v>
      </c>
      <c r="I71">
        <v>1270.631677</v>
      </c>
      <c r="J71">
        <v>908.642163</v>
      </c>
      <c r="K71">
        <v>914.719565</v>
      </c>
      <c r="L71">
        <v>242.108116</v>
      </c>
      <c r="M71">
        <v>16.770354</v>
      </c>
      <c r="N71">
        <v>7353.123152000002</v>
      </c>
    </row>
    <row r="72" spans="1:14" ht="14.25">
      <c r="A72" t="s">
        <v>142</v>
      </c>
      <c r="B72">
        <v>588.750204</v>
      </c>
      <c r="C72">
        <v>452.441216</v>
      </c>
      <c r="D72">
        <v>608.69521</v>
      </c>
      <c r="E72">
        <v>593.250785</v>
      </c>
      <c r="F72">
        <v>523.789399</v>
      </c>
      <c r="G72">
        <v>531.896968</v>
      </c>
      <c r="H72">
        <v>35.233351</v>
      </c>
      <c r="I72">
        <v>0</v>
      </c>
      <c r="J72">
        <v>69.214746</v>
      </c>
      <c r="K72">
        <v>457.491166</v>
      </c>
      <c r="L72">
        <v>742.137077</v>
      </c>
      <c r="M72">
        <v>457.909752</v>
      </c>
      <c r="N72">
        <v>5060.8098740000005</v>
      </c>
    </row>
    <row r="73" spans="1:14" ht="14.25">
      <c r="A73" t="s">
        <v>142</v>
      </c>
      <c r="B73">
        <v>115.864056</v>
      </c>
      <c r="C73">
        <v>105.81737</v>
      </c>
      <c r="D73">
        <v>131.105288</v>
      </c>
      <c r="E73">
        <v>298.899137</v>
      </c>
      <c r="F73">
        <v>342.888234</v>
      </c>
      <c r="G73">
        <v>444.703689</v>
      </c>
      <c r="H73">
        <v>721.99066</v>
      </c>
      <c r="I73">
        <v>520.541869</v>
      </c>
      <c r="J73">
        <v>377.053861</v>
      </c>
      <c r="K73">
        <v>293.678839</v>
      </c>
      <c r="L73">
        <v>253.76499</v>
      </c>
      <c r="M73">
        <v>195.039301</v>
      </c>
      <c r="N73">
        <v>3801.347294</v>
      </c>
    </row>
    <row r="74" spans="1:14" ht="14.25">
      <c r="A74" t="s">
        <v>142</v>
      </c>
      <c r="B74">
        <v>5.259537</v>
      </c>
      <c r="C74">
        <v>2.101147</v>
      </c>
      <c r="D74">
        <v>0</v>
      </c>
      <c r="N74">
        <v>7.360684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29"/>
  <sheetViews>
    <sheetView zoomScalePageLayoutView="0" workbookViewId="0" topLeftCell="F7">
      <selection activeCell="O29" sqref="O29"/>
    </sheetView>
  </sheetViews>
  <sheetFormatPr defaultColWidth="9.140625" defaultRowHeight="15"/>
  <cols>
    <col min="1" max="1" width="12.00390625" style="0" customWidth="1"/>
    <col min="2" max="2" width="15.00390625" style="0" customWidth="1"/>
    <col min="3" max="3" width="0" style="0" hidden="1" customWidth="1"/>
    <col min="4" max="4" width="7.7109375" style="0" hidden="1" customWidth="1"/>
    <col min="5" max="5" width="9.8515625" style="0" customWidth="1"/>
    <col min="6" max="6" width="10.28125" style="0" customWidth="1"/>
    <col min="7" max="7" width="10.8515625" style="0" customWidth="1"/>
    <col min="8" max="8" width="11.421875" style="0" customWidth="1"/>
    <col min="9" max="9" width="10.57421875" style="0" customWidth="1"/>
    <col min="10" max="10" width="12.7109375" style="0" customWidth="1"/>
    <col min="11" max="11" width="12.421875" style="0" customWidth="1"/>
    <col min="12" max="12" width="11.140625" style="0" customWidth="1"/>
    <col min="13" max="13" width="11.421875" style="0" customWidth="1"/>
    <col min="14" max="17" width="12.00390625" style="0" bestFit="1" customWidth="1"/>
    <col min="18" max="18" width="12.7109375" style="0" customWidth="1"/>
    <col min="21" max="22" width="9.57421875" style="0" bestFit="1" customWidth="1"/>
    <col min="23" max="23" width="9.421875" style="0" bestFit="1" customWidth="1"/>
    <col min="24" max="28" width="9.7109375" style="0" bestFit="1" customWidth="1"/>
  </cols>
  <sheetData>
    <row r="1" spans="1:18" ht="15.75">
      <c r="A1" s="1" t="s">
        <v>77</v>
      </c>
      <c r="B1" s="1" t="s">
        <v>77</v>
      </c>
      <c r="C1" s="1"/>
      <c r="D1" s="1"/>
      <c r="E1" s="2"/>
      <c r="F1" s="2" t="s">
        <v>61</v>
      </c>
      <c r="G1" s="2" t="s">
        <v>62</v>
      </c>
      <c r="H1" s="2" t="s">
        <v>63</v>
      </c>
      <c r="I1" s="2" t="s">
        <v>64</v>
      </c>
      <c r="J1" s="2" t="s">
        <v>65</v>
      </c>
      <c r="K1" s="2" t="s">
        <v>66</v>
      </c>
      <c r="L1" s="2" t="s">
        <v>67</v>
      </c>
      <c r="M1" s="2" t="s">
        <v>68</v>
      </c>
      <c r="N1" s="2" t="s">
        <v>69</v>
      </c>
      <c r="O1" s="2" t="s">
        <v>70</v>
      </c>
      <c r="P1" s="2" t="s">
        <v>71</v>
      </c>
      <c r="Q1" s="2" t="s">
        <v>72</v>
      </c>
      <c r="R1" s="2" t="s">
        <v>73</v>
      </c>
    </row>
    <row r="2" spans="1:18" ht="15.75">
      <c r="A2" s="1"/>
      <c r="B2" s="1"/>
      <c r="C2" s="1" t="s">
        <v>74</v>
      </c>
      <c r="D2" s="1"/>
      <c r="E2" s="107"/>
      <c r="F2" s="107">
        <f>SUBTOTAL(101,'F1 Data'!$I$4:$I$654)</f>
        <v>1299.2250408226084</v>
      </c>
      <c r="G2" s="107">
        <f>SUBTOTAL(101,'F1 Data'!$J$4:$J$654)</f>
        <v>1256.489094073784</v>
      </c>
      <c r="H2" s="107">
        <f>SUBTOTAL(101,'F1 Data'!$K$4:$K$654)</f>
        <v>1071.168205388012</v>
      </c>
      <c r="I2" s="107">
        <f>SUBTOTAL(101,'F1 Data'!$L$4:$L$654)</f>
        <v>969.7167930771647</v>
      </c>
      <c r="J2" s="107">
        <f>SUBTOTAL(101,'F1 Data'!$M$4:$M$654)</f>
        <v>894.6007258750006</v>
      </c>
      <c r="K2" s="107">
        <f>SUBTOTAL(101,'F1 Data'!$N$4:$N$654)</f>
        <v>796.8504166945804</v>
      </c>
      <c r="L2" s="107">
        <f>SUBTOTAL(101,'F1 Data'!$C$4:$C$654)</f>
        <v>658.8182934241003</v>
      </c>
      <c r="M2" s="107">
        <f>SUBTOTAL(101,'F1 Data'!$D$4:$D$654)</f>
        <v>654.9186092644757</v>
      </c>
      <c r="N2" s="107">
        <f>SUBTOTAL(101,'F1 Data'!$E$4:$E$654)</f>
        <v>725.1476806097169</v>
      </c>
      <c r="O2" s="107">
        <f>SUBTOTAL(101,'F1 Data'!$F$4:$F$654)</f>
        <v>787.1917589107978</v>
      </c>
      <c r="P2" s="107">
        <f>SUBTOTAL(101,'F1 Data'!$G$4:$G$654)</f>
        <v>974.1234949795916</v>
      </c>
      <c r="Q2" s="107">
        <f>SUBTOTAL(101,'F1 Data'!$H$4:$H$654)</f>
        <v>1105.2252125496057</v>
      </c>
      <c r="R2" s="2">
        <f>SUM(E2:Q2)</f>
        <v>11193.475325669437</v>
      </c>
    </row>
    <row r="3" spans="1:28" ht="15.75">
      <c r="A3" s="1" t="s">
        <v>78</v>
      </c>
      <c r="B3" s="1" t="s">
        <v>12</v>
      </c>
      <c r="C3" s="1"/>
      <c r="D3" s="1"/>
      <c r="E3" s="2" t="s">
        <v>75</v>
      </c>
      <c r="F3" s="24">
        <f>F2/R2</f>
        <v>0.1160698534657204</v>
      </c>
      <c r="G3" s="24">
        <f>G2/R2</f>
        <v>0.11225191975832031</v>
      </c>
      <c r="H3" s="24">
        <f>H2/R2</f>
        <v>0.0956957668840843</v>
      </c>
      <c r="I3" s="24">
        <f>I2/R2</f>
        <v>0.08663232507006664</v>
      </c>
      <c r="J3" s="24">
        <f>J2/R2</f>
        <v>0.07992162396815737</v>
      </c>
      <c r="K3" s="24">
        <f>K2/R2</f>
        <v>0.07118883041330365</v>
      </c>
      <c r="L3" s="24">
        <f>L2/R2</f>
        <v>0.05885734986284959</v>
      </c>
      <c r="M3" s="24">
        <f>M2/R2</f>
        <v>0.058508960819575274</v>
      </c>
      <c r="N3" s="24">
        <f>N2/R2</f>
        <v>0.06478306866382882</v>
      </c>
      <c r="O3" s="24">
        <f>O2/R2</f>
        <v>0.07032594757283026</v>
      </c>
      <c r="P3" s="24">
        <f>P2/R2</f>
        <v>0.08702600994221008</v>
      </c>
      <c r="Q3" s="24">
        <f>Q2/R2</f>
        <v>0.09873834357905341</v>
      </c>
      <c r="R3" s="23"/>
      <c r="T3" s="2"/>
      <c r="U3" s="2"/>
      <c r="V3" s="2"/>
      <c r="W3" s="2"/>
      <c r="X3" s="2"/>
      <c r="Y3" s="2"/>
      <c r="Z3" s="2"/>
      <c r="AA3" s="2"/>
      <c r="AB3" s="2"/>
    </row>
    <row r="4" spans="1:18" ht="15.75">
      <c r="A4" s="1" t="s">
        <v>49</v>
      </c>
      <c r="B4" s="8">
        <v>2100</v>
      </c>
      <c r="D4" s="1"/>
      <c r="E4" s="2" t="s">
        <v>76</v>
      </c>
      <c r="F4" s="9">
        <f>F3*B4</f>
        <v>243.74669227801283</v>
      </c>
      <c r="G4" s="9">
        <f>G3*B4</f>
        <v>235.72903149247267</v>
      </c>
      <c r="H4" s="9">
        <f>H3*B4</f>
        <v>200.96111045657702</v>
      </c>
      <c r="I4" s="9">
        <f>B4*I3</f>
        <v>181.92788264713994</v>
      </c>
      <c r="J4" s="9">
        <f>J3*B4</f>
        <v>167.83541033313048</v>
      </c>
      <c r="K4" s="9">
        <f>K3*B4</f>
        <v>149.49654386793767</v>
      </c>
      <c r="L4" s="9">
        <f>L3*B4</f>
        <v>123.60043471198414</v>
      </c>
      <c r="M4" s="9">
        <f>M3*B4</f>
        <v>122.86881772110807</v>
      </c>
      <c r="N4" s="9">
        <f>N3*B4</f>
        <v>136.04444419404052</v>
      </c>
      <c r="O4" s="9">
        <f>O3*B4</f>
        <v>147.68448990294354</v>
      </c>
      <c r="P4" s="9">
        <f>B4*P3</f>
        <v>182.75462087864116</v>
      </c>
      <c r="Q4" s="9">
        <f>Q3*B4</f>
        <v>207.35052151601215</v>
      </c>
      <c r="R4" s="12">
        <f>SUM(F4:Q4)</f>
        <v>2100.0000000000005</v>
      </c>
    </row>
    <row r="5" spans="2:17" ht="14.25">
      <c r="B5" s="8"/>
      <c r="E5" t="s">
        <v>37</v>
      </c>
      <c r="F5" s="4">
        <f>MIN(F4,f1julblk1)*f1julw1</f>
        <v>1408.3912500000001</v>
      </c>
      <c r="G5" s="4">
        <f>MIN(G4,f1julblk1)*f1julw1</f>
        <v>1408.3912500000001</v>
      </c>
      <c r="H5">
        <f>MIN(H4,f1julblk1)*f1julw1</f>
        <v>1408.3912500000001</v>
      </c>
      <c r="I5">
        <f aca="true" t="shared" si="0" ref="I5:O5">MIN(I4,f1julblk1)*f1juls1</f>
        <v>1312.02225</v>
      </c>
      <c r="J5">
        <f t="shared" si="0"/>
        <v>1258.3073868282693</v>
      </c>
      <c r="K5">
        <f t="shared" si="0"/>
        <v>1120.8159534447732</v>
      </c>
      <c r="L5">
        <f t="shared" si="0"/>
        <v>926.6658311531173</v>
      </c>
      <c r="M5">
        <f t="shared" si="0"/>
        <v>921.180701035932</v>
      </c>
      <c r="N5">
        <f t="shared" si="0"/>
        <v>1019.9619301226543</v>
      </c>
      <c r="O5">
        <f t="shared" si="0"/>
        <v>1107.2304956146415</v>
      </c>
      <c r="P5">
        <f>MIN(P4,f1julblk1)*f1julw1</f>
        <v>1408.3912500000001</v>
      </c>
      <c r="Q5">
        <f>MIN(Q4,f1julblk1)*f1julw1</f>
        <v>1408.3912500000001</v>
      </c>
    </row>
    <row r="6" spans="5:17" ht="14.25">
      <c r="E6" t="s">
        <v>38</v>
      </c>
      <c r="F6">
        <f>MIN(MAX(0,F4-f1julblk1),f1julblk2)*f1julw2</f>
        <v>549.6229300934848</v>
      </c>
      <c r="G6">
        <f>MIN(MAX(0,G4-f1julblk1),f1julblk2)*f1julw2</f>
        <v>485.52253387916977</v>
      </c>
      <c r="H6">
        <f>MIN(MAX(0,H4-f1julblk1),f1julblk2)*f1julw2</f>
        <v>207.55648198928762</v>
      </c>
      <c r="I6">
        <f aca="true" t="shared" si="1" ref="I6:O6">MIN(MAX(0,I4-f1julblk1),f1julblk2)*f1juls2</f>
        <v>51.5418534817123</v>
      </c>
      <c r="J6">
        <f t="shared" si="1"/>
        <v>0</v>
      </c>
      <c r="K6">
        <f t="shared" si="1"/>
        <v>0</v>
      </c>
      <c r="L6">
        <f t="shared" si="1"/>
        <v>0</v>
      </c>
      <c r="M6">
        <f t="shared" si="1"/>
        <v>0</v>
      </c>
      <c r="N6">
        <f t="shared" si="1"/>
        <v>0</v>
      </c>
      <c r="O6">
        <f t="shared" si="1"/>
        <v>0</v>
      </c>
      <c r="P6">
        <f>MIN(MAX(0,P4-f1julblk1),f1julblk2)*f1julw2</f>
        <v>61.997418462648234</v>
      </c>
      <c r="Q6">
        <f>MIN(MAX(0,Q4-f1julblk1),f1julblk2)*f1julw2</f>
        <v>258.63918446836556</v>
      </c>
    </row>
    <row r="7" spans="5:17" ht="14.25">
      <c r="E7" t="s">
        <v>39</v>
      </c>
      <c r="F7" s="4">
        <f>MAX(0,(F4-f1julblk1-f1julblk2))*f1julw3</f>
        <v>0</v>
      </c>
      <c r="G7" s="4">
        <f>MAX(0,(G4-f1julblk1-f1julblk2))*f1julw3</f>
        <v>0</v>
      </c>
      <c r="H7" s="4">
        <f>MAX(0,(H4-f1julblk1-f1julblk2))*f1julw3</f>
        <v>0</v>
      </c>
      <c r="I7" s="4">
        <f aca="true" t="shared" si="2" ref="I7:O7">MAX(0,(I4-f1julblk1-f1julblk2))*f1juls3</f>
        <v>0</v>
      </c>
      <c r="J7" s="4">
        <f t="shared" si="2"/>
        <v>0</v>
      </c>
      <c r="K7" s="4">
        <f t="shared" si="2"/>
        <v>0</v>
      </c>
      <c r="L7" s="4">
        <f t="shared" si="2"/>
        <v>0</v>
      </c>
      <c r="M7" s="4">
        <f t="shared" si="2"/>
        <v>0</v>
      </c>
      <c r="N7" s="4">
        <f t="shared" si="2"/>
        <v>0</v>
      </c>
      <c r="O7" s="4">
        <f t="shared" si="2"/>
        <v>0</v>
      </c>
      <c r="P7" s="4">
        <f>MAX(0,(P4-f1julblk1-f1julblk2))*f1julw3</f>
        <v>0</v>
      </c>
      <c r="Q7" s="4">
        <f>MAX(0,(Q4-f1julblk1-f1julblk2))*f1julw3</f>
        <v>0</v>
      </c>
    </row>
    <row r="8" spans="5:18" ht="14.25">
      <c r="E8" t="s">
        <v>52</v>
      </c>
      <c r="F8" s="4">
        <f aca="true" t="shared" si="3" ref="F8:Q8">SUM(F5:F7)</f>
        <v>1958.0141800934848</v>
      </c>
      <c r="G8" s="4">
        <f t="shared" si="3"/>
        <v>1893.9137838791698</v>
      </c>
      <c r="H8">
        <f t="shared" si="3"/>
        <v>1615.9477319892878</v>
      </c>
      <c r="I8">
        <f t="shared" si="3"/>
        <v>1363.5641034817122</v>
      </c>
      <c r="J8">
        <f t="shared" si="3"/>
        <v>1258.3073868282693</v>
      </c>
      <c r="K8">
        <f t="shared" si="3"/>
        <v>1120.8159534447732</v>
      </c>
      <c r="L8">
        <f t="shared" si="3"/>
        <v>926.6658311531173</v>
      </c>
      <c r="M8">
        <f t="shared" si="3"/>
        <v>921.180701035932</v>
      </c>
      <c r="N8">
        <f t="shared" si="3"/>
        <v>1019.9619301226543</v>
      </c>
      <c r="O8">
        <f t="shared" si="3"/>
        <v>1107.2304956146415</v>
      </c>
      <c r="P8">
        <f t="shared" si="3"/>
        <v>1470.3886684626484</v>
      </c>
      <c r="Q8">
        <f t="shared" si="3"/>
        <v>1667.0304344683657</v>
      </c>
      <c r="R8" s="72">
        <f>SUM(F8:Q8)+12*G9</f>
        <v>16575.021200574058</v>
      </c>
    </row>
    <row r="9" spans="6:7" ht="15">
      <c r="F9" t="s">
        <v>51</v>
      </c>
      <c r="G9" s="25">
        <v>21</v>
      </c>
    </row>
    <row r="11" spans="1:28" ht="15.75">
      <c r="A11" s="1" t="s">
        <v>79</v>
      </c>
      <c r="B11" s="1"/>
      <c r="C11" s="1"/>
      <c r="D11" s="1" t="s">
        <v>145</v>
      </c>
      <c r="E11" s="2"/>
      <c r="F11" s="2" t="s">
        <v>11</v>
      </c>
      <c r="G11" s="2" t="s">
        <v>62</v>
      </c>
      <c r="H11" s="2" t="s">
        <v>63</v>
      </c>
      <c r="I11" s="2" t="s">
        <v>64</v>
      </c>
      <c r="J11" s="2" t="s">
        <v>65</v>
      </c>
      <c r="K11" s="2" t="s">
        <v>66</v>
      </c>
      <c r="L11" s="2" t="s">
        <v>67</v>
      </c>
      <c r="M11" s="2" t="s">
        <v>68</v>
      </c>
      <c r="N11" s="2" t="s">
        <v>69</v>
      </c>
      <c r="O11" s="2" t="s">
        <v>70</v>
      </c>
      <c r="P11" s="2" t="s">
        <v>71</v>
      </c>
      <c r="Q11" s="2" t="s">
        <v>72</v>
      </c>
      <c r="R11" s="2" t="s">
        <v>158</v>
      </c>
      <c r="T11" s="2"/>
      <c r="U11" s="2"/>
      <c r="V11" s="2"/>
      <c r="W11" s="2"/>
      <c r="X11" s="2"/>
      <c r="Y11" s="2"/>
      <c r="Z11" s="2"/>
      <c r="AA11" s="2"/>
      <c r="AB11" s="2"/>
    </row>
    <row r="12" spans="1:28" ht="15.75">
      <c r="A12" t="s">
        <v>49</v>
      </c>
      <c r="B12" s="8">
        <v>5000</v>
      </c>
      <c r="D12" s="1"/>
      <c r="E12" t="s">
        <v>76</v>
      </c>
      <c r="F12" s="9">
        <f>F3*B12</f>
        <v>580.349267328602</v>
      </c>
      <c r="G12" s="9">
        <f>G3*B12</f>
        <v>561.2595987916015</v>
      </c>
      <c r="H12" s="9">
        <f>H3*B12</f>
        <v>478.4788344204215</v>
      </c>
      <c r="I12" s="9">
        <f>I3*B12</f>
        <v>433.1616253503332</v>
      </c>
      <c r="J12" s="9">
        <f>J3*B12</f>
        <v>399.60811984078686</v>
      </c>
      <c r="K12" s="9">
        <f>K3*B12</f>
        <v>355.94415206651826</v>
      </c>
      <c r="L12" s="9">
        <f>L3*B12</f>
        <v>294.2867493142479</v>
      </c>
      <c r="M12" s="9">
        <f>M3*B12</f>
        <v>292.54480409787635</v>
      </c>
      <c r="N12" s="9">
        <f>N3*B12</f>
        <v>323.91534331914414</v>
      </c>
      <c r="O12" s="9">
        <f>O3*B12</f>
        <v>351.62973786415125</v>
      </c>
      <c r="P12" s="9">
        <f>P3*B12</f>
        <v>435.1300497110504</v>
      </c>
      <c r="Q12" s="9">
        <f>Q3*B12</f>
        <v>493.69171789526706</v>
      </c>
      <c r="R12" s="12">
        <f>SUM(F12:Q12)</f>
        <v>5000</v>
      </c>
      <c r="T12" s="2"/>
      <c r="U12" s="2"/>
      <c r="V12" s="2"/>
      <c r="W12" s="2"/>
      <c r="X12" s="2"/>
      <c r="Y12" s="2"/>
      <c r="Z12" s="2"/>
      <c r="AA12" s="2"/>
      <c r="AB12" s="2"/>
    </row>
    <row r="13" spans="5:17" ht="14.25">
      <c r="E13" t="s">
        <v>37</v>
      </c>
      <c r="F13" s="4">
        <f>MIN(F12,f1julblk1)*f1julw1</f>
        <v>1408.3912500000001</v>
      </c>
      <c r="G13" s="4">
        <f>MIN(G12,f1julblk1)*f1julw1</f>
        <v>1408.3912500000001</v>
      </c>
      <c r="H13">
        <f>MIN(H12,f1julblk1)*f1julw1</f>
        <v>1408.3912500000001</v>
      </c>
      <c r="I13">
        <f aca="true" t="shared" si="4" ref="I13:O13">MIN(I12,f1julblk1)*f1juls1</f>
        <v>1312.02225</v>
      </c>
      <c r="J13">
        <f t="shared" si="4"/>
        <v>1312.02225</v>
      </c>
      <c r="K13">
        <f t="shared" si="4"/>
        <v>1312.02225</v>
      </c>
      <c r="L13">
        <f t="shared" si="4"/>
        <v>1312.02225</v>
      </c>
      <c r="M13">
        <f t="shared" si="4"/>
        <v>1312.02225</v>
      </c>
      <c r="N13">
        <f t="shared" si="4"/>
        <v>1312.02225</v>
      </c>
      <c r="O13">
        <f t="shared" si="4"/>
        <v>1312.02225</v>
      </c>
      <c r="P13">
        <f>MIN(P12,f1julblk1)*f1julw1</f>
        <v>1408.3912500000001</v>
      </c>
      <c r="Q13">
        <f>MIN(Q12,f1julblk1)*f1julw1</f>
        <v>1408.3912500000001</v>
      </c>
    </row>
    <row r="14" spans="5:17" ht="14.25">
      <c r="E14" t="s">
        <v>38</v>
      </c>
      <c r="F14">
        <f>MIN(MAX(0,F12-f1julblk1),f1julblk2)*f1julw2</f>
        <v>3240.72685736544</v>
      </c>
      <c r="G14">
        <f>MIN(MAX(0,G12-f1julblk1),f1julblk2)*f1julw2</f>
        <v>3088.106866378975</v>
      </c>
      <c r="H14">
        <f>MIN(MAX(0,H12-f1julblk1),f1julblk2)*f1julw2</f>
        <v>2426.282933307828</v>
      </c>
      <c r="I14">
        <f aca="true" t="shared" si="5" ref="I14:O14">MIN(MAX(0,I12-f1julblk1),f1julblk2)*f1juls2</f>
        <v>1920.6631154326487</v>
      </c>
      <c r="J14">
        <f t="shared" si="5"/>
        <v>1671.0327517478909</v>
      </c>
      <c r="K14">
        <f t="shared" si="5"/>
        <v>1346.1828742199207</v>
      </c>
      <c r="L14">
        <f t="shared" si="5"/>
        <v>887.4659789456622</v>
      </c>
      <c r="M14">
        <f t="shared" si="5"/>
        <v>874.5063071832576</v>
      </c>
      <c r="N14">
        <f t="shared" si="5"/>
        <v>1107.895903765469</v>
      </c>
      <c r="O14">
        <f t="shared" si="5"/>
        <v>1314.0846248695766</v>
      </c>
      <c r="P14">
        <f>MIN(MAX(0,P12-f1julblk1),f1julblk2)*f1julw2</f>
        <v>2079.7137344348766</v>
      </c>
      <c r="Q14">
        <f>MIN(MAX(0,Q12-f1julblk1),f1julblk2)*f1julw2</f>
        <v>2547.9084154008706</v>
      </c>
    </row>
    <row r="15" spans="5:17" ht="14.25">
      <c r="E15" t="s">
        <v>39</v>
      </c>
      <c r="F15" s="4">
        <f>MAX(0,(F12-f1julblk1-f1julblk2))*f1julw3</f>
        <v>0</v>
      </c>
      <c r="G15" s="4">
        <f>MAX(0,(G12-f1julblk1-f1julblk2))*f1julw3</f>
        <v>0</v>
      </c>
      <c r="H15" s="4">
        <f>MAX(0,(H12-f1julblk1-f1julblk2))*f1julw3</f>
        <v>0</v>
      </c>
      <c r="I15" s="4">
        <f aca="true" t="shared" si="6" ref="I15:O15">MAX(0,(I12-f1julblk1-f1julblk2))*f1juls3</f>
        <v>0</v>
      </c>
      <c r="J15" s="4">
        <f t="shared" si="6"/>
        <v>0</v>
      </c>
      <c r="K15" s="4">
        <f t="shared" si="6"/>
        <v>0</v>
      </c>
      <c r="L15" s="4">
        <f t="shared" si="6"/>
        <v>0</v>
      </c>
      <c r="M15" s="4">
        <f t="shared" si="6"/>
        <v>0</v>
      </c>
      <c r="N15" s="4">
        <f t="shared" si="6"/>
        <v>0</v>
      </c>
      <c r="O15" s="4">
        <f t="shared" si="6"/>
        <v>0</v>
      </c>
      <c r="P15" s="4">
        <f>MAX(0,(P12-f1julblk1-f1julblk2))*f1julw3</f>
        <v>0</v>
      </c>
      <c r="Q15" s="4">
        <f>MAX(0,(Q12-f1julblk1-f1julblk2))*f1julw3</f>
        <v>0</v>
      </c>
    </row>
    <row r="16" spans="5:18" ht="14.25">
      <c r="E16" t="s">
        <v>52</v>
      </c>
      <c r="F16" s="4">
        <f aca="true" t="shared" si="7" ref="F16:Q16">SUM(F13:F15)</f>
        <v>4649.118107365441</v>
      </c>
      <c r="G16" s="4">
        <f t="shared" si="7"/>
        <v>4496.498116378975</v>
      </c>
      <c r="H16">
        <f t="shared" si="7"/>
        <v>3834.674183307828</v>
      </c>
      <c r="I16">
        <f t="shared" si="7"/>
        <v>3232.6853654326487</v>
      </c>
      <c r="J16">
        <f t="shared" si="7"/>
        <v>2983.055001747891</v>
      </c>
      <c r="K16">
        <f t="shared" si="7"/>
        <v>2658.2051242199204</v>
      </c>
      <c r="L16">
        <f t="shared" si="7"/>
        <v>2199.4882289456623</v>
      </c>
      <c r="M16">
        <f t="shared" si="7"/>
        <v>2186.5285571832574</v>
      </c>
      <c r="N16">
        <f t="shared" si="7"/>
        <v>2419.918153765469</v>
      </c>
      <c r="O16">
        <f t="shared" si="7"/>
        <v>2626.1068748695766</v>
      </c>
      <c r="P16">
        <f t="shared" si="7"/>
        <v>3488.1049844348768</v>
      </c>
      <c r="Q16">
        <f t="shared" si="7"/>
        <v>3956.2996654008707</v>
      </c>
      <c r="R16" s="72">
        <f>SUM(F16:Q16)+G17*12</f>
        <v>39390.682363052416</v>
      </c>
    </row>
    <row r="17" spans="6:7" ht="15">
      <c r="F17" t="s">
        <v>51</v>
      </c>
      <c r="G17" s="25">
        <v>55</v>
      </c>
    </row>
    <row r="19" spans="1:28" ht="15.75">
      <c r="A19" s="1" t="s">
        <v>80</v>
      </c>
      <c r="B19" s="1"/>
      <c r="C19" s="1"/>
      <c r="D19" s="1" t="s">
        <v>145</v>
      </c>
      <c r="E19" s="2" t="s">
        <v>141</v>
      </c>
      <c r="F19" s="2" t="s">
        <v>61</v>
      </c>
      <c r="G19" s="2" t="s">
        <v>62</v>
      </c>
      <c r="H19" s="2" t="s">
        <v>63</v>
      </c>
      <c r="I19" s="2" t="s">
        <v>64</v>
      </c>
      <c r="J19" s="2" t="s">
        <v>65</v>
      </c>
      <c r="K19" s="2" t="s">
        <v>66</v>
      </c>
      <c r="L19" s="2" t="s">
        <v>67</v>
      </c>
      <c r="M19" s="2" t="s">
        <v>68</v>
      </c>
      <c r="N19" s="2" t="s">
        <v>69</v>
      </c>
      <c r="O19" s="2" t="s">
        <v>70</v>
      </c>
      <c r="P19" s="2" t="s">
        <v>71</v>
      </c>
      <c r="Q19" s="2" t="s">
        <v>72</v>
      </c>
      <c r="R19" s="2" t="s">
        <v>158</v>
      </c>
      <c r="T19" s="2"/>
      <c r="U19" s="2"/>
      <c r="V19" s="2"/>
      <c r="W19" s="2"/>
      <c r="X19" s="2"/>
      <c r="Y19" s="2"/>
      <c r="Z19" s="2"/>
      <c r="AA19" s="2"/>
      <c r="AB19" s="2"/>
    </row>
    <row r="20" spans="1:28" ht="15.75">
      <c r="A20" s="1" t="s">
        <v>49</v>
      </c>
      <c r="B20" s="3">
        <v>100000</v>
      </c>
      <c r="D20" s="1" t="s">
        <v>144</v>
      </c>
      <c r="E20" s="2"/>
      <c r="F20" s="9">
        <f>F3*B20</f>
        <v>11606.985346572039</v>
      </c>
      <c r="G20" s="9">
        <f>G3*B20</f>
        <v>11225.191975832031</v>
      </c>
      <c r="H20" s="9">
        <f>H3*B20</f>
        <v>9569.57668840843</v>
      </c>
      <c r="I20" s="9">
        <f>I3*B20</f>
        <v>8663.232507006664</v>
      </c>
      <c r="J20" s="9">
        <f>J3*B20</f>
        <v>7992.162396815737</v>
      </c>
      <c r="K20" s="9">
        <f>K3*B20</f>
        <v>7118.883041330365</v>
      </c>
      <c r="L20" s="9">
        <f>L3*B20</f>
        <v>5885.734986284959</v>
      </c>
      <c r="M20" s="9">
        <f>M3*B20</f>
        <v>5850.896081957528</v>
      </c>
      <c r="N20" s="9">
        <f>N3*B20</f>
        <v>6478.306866382883</v>
      </c>
      <c r="O20" s="9">
        <f>O3*B20</f>
        <v>7032.5947572830255</v>
      </c>
      <c r="P20" s="9">
        <f>P3*B20</f>
        <v>8702.600994221008</v>
      </c>
      <c r="Q20" s="9">
        <f>Q3*B20</f>
        <v>9873.834357905342</v>
      </c>
      <c r="R20" s="12">
        <f>SUM(F20:Q20)</f>
        <v>100000.00000000001</v>
      </c>
      <c r="T20" s="2"/>
      <c r="U20" s="2"/>
      <c r="V20" s="2"/>
      <c r="W20" s="2"/>
      <c r="X20" s="2"/>
      <c r="Y20" s="2"/>
      <c r="Z20" s="2"/>
      <c r="AA20" s="2"/>
      <c r="AB20" s="2"/>
    </row>
    <row r="21" spans="5:17" ht="14.25">
      <c r="E21" t="s">
        <v>37</v>
      </c>
      <c r="F21" s="4">
        <f>MIN(F20,f1julblk1)*f1julw1</f>
        <v>1408.3912500000001</v>
      </c>
      <c r="G21" s="4">
        <f>MIN(G20,f1julblk1)*f1julw1</f>
        <v>1408.3912500000001</v>
      </c>
      <c r="H21">
        <f>MIN(H20,f1julblk1)*f1julw1</f>
        <v>1408.3912500000001</v>
      </c>
      <c r="I21">
        <f aca="true" t="shared" si="8" ref="I21:O21">MIN(I20,f1julblk1)*f1juls1</f>
        <v>1312.02225</v>
      </c>
      <c r="J21">
        <f t="shared" si="8"/>
        <v>1312.02225</v>
      </c>
      <c r="K21">
        <f t="shared" si="8"/>
        <v>1312.02225</v>
      </c>
      <c r="L21">
        <f t="shared" si="8"/>
        <v>1312.02225</v>
      </c>
      <c r="M21">
        <f t="shared" si="8"/>
        <v>1312.02225</v>
      </c>
      <c r="N21">
        <f t="shared" si="8"/>
        <v>1312.02225</v>
      </c>
      <c r="O21">
        <f t="shared" si="8"/>
        <v>1312.02225</v>
      </c>
      <c r="P21">
        <f>MIN(P20,f1julblk1)*f1julw1</f>
        <v>1408.3912500000001</v>
      </c>
      <c r="Q21">
        <f>MIN(Q20,f1julblk1)*f1julw1</f>
        <v>1408.3912500000001</v>
      </c>
    </row>
    <row r="22" spans="5:17" ht="14.25">
      <c r="E22" t="s">
        <v>38</v>
      </c>
      <c r="F22">
        <f>MIN(MAX(0,F20-f1julblk1),f1julblk2)*f1julw2</f>
        <v>5596.43</v>
      </c>
      <c r="G22">
        <f>MIN(MAX(0,G20-f1julblk1),f1julblk2)*f1julw2</f>
        <v>5596.43</v>
      </c>
      <c r="H22">
        <f>MIN(MAX(0,H20-f1julblk1),f1julblk2)*f1julw2</f>
        <v>5596.43</v>
      </c>
      <c r="I22">
        <f aca="true" t="shared" si="9" ref="I22:O22">MIN(MAX(0,I20-f1julblk1),f1julblk2)*f1juls2</f>
        <v>5207.839</v>
      </c>
      <c r="J22">
        <f t="shared" si="9"/>
        <v>5207.839</v>
      </c>
      <c r="K22">
        <f t="shared" si="9"/>
        <v>5207.839</v>
      </c>
      <c r="L22">
        <f t="shared" si="9"/>
        <v>5207.839</v>
      </c>
      <c r="M22">
        <f t="shared" si="9"/>
        <v>5207.839</v>
      </c>
      <c r="N22">
        <f t="shared" si="9"/>
        <v>5207.839</v>
      </c>
      <c r="O22">
        <f t="shared" si="9"/>
        <v>5207.839</v>
      </c>
      <c r="P22">
        <f>MIN(MAX(0,P20-f1julblk1),f1julblk2)*f1julw2</f>
        <v>5596.43</v>
      </c>
      <c r="Q22">
        <f>MIN(MAX(0,Q20-f1julblk1),f1julblk2)*f1julw2</f>
        <v>5596.43</v>
      </c>
    </row>
    <row r="23" spans="5:17" ht="14.25">
      <c r="E23" t="s">
        <v>39</v>
      </c>
      <c r="F23" s="4">
        <f>MAX(0,(F20-f1julblk1-f1julblk2))*f1julw3</f>
        <v>84959.01075716328</v>
      </c>
      <c r="G23" s="4">
        <f>MAX(0,(G20-f1julblk1-f1julblk2))*f1julw3</f>
        <v>81936.57026323596</v>
      </c>
      <c r="H23" s="4">
        <f>MAX(0,(H20-f1julblk1-f1julblk2))*f1julw3</f>
        <v>68830.00773341715</v>
      </c>
      <c r="I23" s="4">
        <f aca="true" t="shared" si="10" ref="I23:O23">MAX(0,(I20-f1julblk1-f1julblk2))*f1juls3</f>
        <v>57308.69643258262</v>
      </c>
      <c r="J23" s="4">
        <f t="shared" si="10"/>
        <v>52370.714265857016</v>
      </c>
      <c r="K23" s="4">
        <f t="shared" si="10"/>
        <v>45944.80165483412</v>
      </c>
      <c r="L23" s="4">
        <f t="shared" si="10"/>
        <v>36870.842001029654</v>
      </c>
      <c r="M23" s="4">
        <f t="shared" si="10"/>
        <v>36614.48445259381</v>
      </c>
      <c r="N23" s="4">
        <f t="shared" si="10"/>
        <v>41231.20514638581</v>
      </c>
      <c r="O23" s="4">
        <f t="shared" si="10"/>
        <v>45309.8605341487</v>
      </c>
      <c r="P23" s="4">
        <f>MAX(0,(P20-f1julblk1-f1julblk2))*f1julw3</f>
        <v>61966.65533868101</v>
      </c>
      <c r="Q23" s="4">
        <f>MAX(0,(Q20-f1julblk1-f1julblk2))*f1julw3</f>
        <v>71238.64227595259</v>
      </c>
    </row>
    <row r="24" spans="6:18" ht="14.25">
      <c r="F24" s="4">
        <f aca="true" t="shared" si="11" ref="F24:Q24">SUM(F21:F23)</f>
        <v>91963.83200716329</v>
      </c>
      <c r="G24" s="4">
        <f t="shared" si="11"/>
        <v>88941.39151323595</v>
      </c>
      <c r="H24">
        <f t="shared" si="11"/>
        <v>75834.82898341716</v>
      </c>
      <c r="I24">
        <f t="shared" si="11"/>
        <v>63828.55768258262</v>
      </c>
      <c r="J24">
        <f t="shared" si="11"/>
        <v>58890.57551585702</v>
      </c>
      <c r="K24">
        <f t="shared" si="11"/>
        <v>52464.66290483412</v>
      </c>
      <c r="L24">
        <f t="shared" si="11"/>
        <v>43390.703251029656</v>
      </c>
      <c r="M24">
        <f t="shared" si="11"/>
        <v>43134.34570259381</v>
      </c>
      <c r="N24">
        <f t="shared" si="11"/>
        <v>47751.06639638581</v>
      </c>
      <c r="O24">
        <f t="shared" si="11"/>
        <v>51829.7217841487</v>
      </c>
      <c r="P24">
        <f t="shared" si="11"/>
        <v>68971.47658868102</v>
      </c>
      <c r="Q24">
        <f t="shared" si="11"/>
        <v>78243.4635259526</v>
      </c>
      <c r="R24" s="72">
        <f>SUM(F24:Q24)+12*G25</f>
        <v>768172.6258558817</v>
      </c>
    </row>
    <row r="25" spans="6:7" ht="15">
      <c r="F25" t="s">
        <v>51</v>
      </c>
      <c r="G25" s="25">
        <v>244</v>
      </c>
    </row>
    <row r="28" spans="7:15" ht="15.75">
      <c r="G28" s="2" t="s">
        <v>28</v>
      </c>
      <c r="H28" s="2" t="s">
        <v>29</v>
      </c>
      <c r="I28" s="2" t="s">
        <v>30</v>
      </c>
      <c r="J28" s="2" t="s">
        <v>31</v>
      </c>
      <c r="K28" s="2" t="s">
        <v>32</v>
      </c>
      <c r="L28" s="2" t="s">
        <v>33</v>
      </c>
      <c r="M28" s="2" t="s">
        <v>34</v>
      </c>
      <c r="N28" s="2" t="s">
        <v>35</v>
      </c>
      <c r="O28" s="2" t="s">
        <v>36</v>
      </c>
    </row>
    <row r="29" spans="5:15" ht="14.25">
      <c r="E29" s="40">
        <v>39630</v>
      </c>
      <c r="G29">
        <v>175</v>
      </c>
      <c r="H29">
        <v>700</v>
      </c>
      <c r="I29">
        <v>875</v>
      </c>
      <c r="J29">
        <v>8.04795</v>
      </c>
      <c r="K29">
        <v>7.9949</v>
      </c>
      <c r="L29">
        <v>7.91643</v>
      </c>
      <c r="M29">
        <v>7.49727</v>
      </c>
      <c r="N29">
        <v>7.43977</v>
      </c>
      <c r="O29">
        <v>7.35837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29"/>
  <sheetViews>
    <sheetView zoomScalePageLayoutView="0" workbookViewId="0" topLeftCell="A7">
      <selection activeCell="F4" sqref="F4:Q4"/>
    </sheetView>
  </sheetViews>
  <sheetFormatPr defaultColWidth="9.140625" defaultRowHeight="15"/>
  <cols>
    <col min="1" max="1" width="12.00390625" style="0" customWidth="1"/>
    <col min="2" max="2" width="15.00390625" style="0" customWidth="1"/>
    <col min="3" max="3" width="0" style="0" hidden="1" customWidth="1"/>
    <col min="4" max="4" width="7.7109375" style="0" customWidth="1"/>
    <col min="5" max="5" width="9.8515625" style="0" customWidth="1"/>
    <col min="6" max="6" width="10.28125" style="0" customWidth="1"/>
    <col min="7" max="7" width="10.8515625" style="0" customWidth="1"/>
    <col min="8" max="8" width="11.421875" style="0" customWidth="1"/>
    <col min="9" max="9" width="10.57421875" style="0" customWidth="1"/>
    <col min="10" max="10" width="12.7109375" style="0" customWidth="1"/>
    <col min="11" max="11" width="12.421875" style="0" customWidth="1"/>
    <col min="12" max="12" width="11.140625" style="0" customWidth="1"/>
    <col min="13" max="13" width="11.421875" style="0" customWidth="1"/>
    <col min="14" max="17" width="12.00390625" style="0" bestFit="1" customWidth="1"/>
    <col min="18" max="18" width="12.7109375" style="0" customWidth="1"/>
    <col min="21" max="22" width="9.57421875" style="0" bestFit="1" customWidth="1"/>
    <col min="23" max="23" width="9.421875" style="0" bestFit="1" customWidth="1"/>
    <col min="24" max="28" width="9.7109375" style="0" bestFit="1" customWidth="1"/>
  </cols>
  <sheetData>
    <row r="1" spans="1:18" ht="15.75">
      <c r="A1" s="1" t="s">
        <v>77</v>
      </c>
      <c r="B1" s="1" t="s">
        <v>77</v>
      </c>
      <c r="C1" s="1"/>
      <c r="D1" s="1"/>
      <c r="E1" s="2"/>
      <c r="F1" s="2" t="s">
        <v>61</v>
      </c>
      <c r="G1" s="2" t="s">
        <v>62</v>
      </c>
      <c r="H1" s="2" t="s">
        <v>63</v>
      </c>
      <c r="I1" s="2" t="s">
        <v>64</v>
      </c>
      <c r="J1" s="2" t="s">
        <v>65</v>
      </c>
      <c r="K1" s="2" t="s">
        <v>66</v>
      </c>
      <c r="L1" s="2" t="s">
        <v>67</v>
      </c>
      <c r="M1" s="2" t="s">
        <v>68</v>
      </c>
      <c r="N1" s="2" t="s">
        <v>69</v>
      </c>
      <c r="O1" s="2" t="s">
        <v>70</v>
      </c>
      <c r="P1" s="2" t="s">
        <v>71</v>
      </c>
      <c r="Q1" s="2" t="s">
        <v>72</v>
      </c>
      <c r="R1" s="2" t="s">
        <v>73</v>
      </c>
    </row>
    <row r="2" spans="1:18" ht="15.75">
      <c r="A2" s="1"/>
      <c r="B2" s="1"/>
      <c r="C2" s="1" t="s">
        <v>74</v>
      </c>
      <c r="D2" s="1"/>
      <c r="E2" s="20"/>
      <c r="F2" s="20">
        <f>SUBTOTAL(101,'F1 Data'!$I$4:$I$654)</f>
        <v>1299.2250408226084</v>
      </c>
      <c r="G2" s="20">
        <f>SUBTOTAL(101,'F1 Data'!$J$4:$J$654)</f>
        <v>1256.489094073784</v>
      </c>
      <c r="H2" s="20">
        <f>SUBTOTAL(101,'F1 Data'!$K$4:$K$654)</f>
        <v>1071.168205388012</v>
      </c>
      <c r="I2" s="20">
        <f>SUBTOTAL(101,'F1 Data'!$L$4:$L$654)</f>
        <v>969.7167930771647</v>
      </c>
      <c r="J2" s="20">
        <f>SUBTOTAL(101,'F1 Data'!$M$4:$M$654)</f>
        <v>894.6007258750006</v>
      </c>
      <c r="K2" s="20">
        <f>SUBTOTAL(101,'F1 Data'!$N$4:$N$654)</f>
        <v>796.8504166945804</v>
      </c>
      <c r="L2" s="20">
        <f>SUBTOTAL(101,'F1 Data'!$C$4:$C$654)</f>
        <v>658.8182934241003</v>
      </c>
      <c r="M2" s="20">
        <f>SUBTOTAL(101,'F1 Data'!$D$4:$D$654)</f>
        <v>654.9186092644757</v>
      </c>
      <c r="N2" s="20">
        <f>SUBTOTAL(101,'F1 Data'!$E$4:$E$654)</f>
        <v>725.1476806097169</v>
      </c>
      <c r="O2" s="20">
        <f>SUBTOTAL(101,'F1 Data'!$F$4:$F$654)</f>
        <v>787.1917589107978</v>
      </c>
      <c r="P2" s="20">
        <f>SUBTOTAL(101,'F1 Data'!$G$4:$G$654)</f>
        <v>974.1234949795916</v>
      </c>
      <c r="Q2" s="20">
        <f>SUBTOTAL(101,'F1 Data'!$H$4:$H$654)</f>
        <v>1105.2252125496057</v>
      </c>
      <c r="R2" s="2">
        <f>SUM(E2:Q2)</f>
        <v>11193.475325669437</v>
      </c>
    </row>
    <row r="3" spans="1:28" ht="15.75">
      <c r="A3" s="1" t="s">
        <v>78</v>
      </c>
      <c r="B3" s="1" t="s">
        <v>12</v>
      </c>
      <c r="C3" s="1"/>
      <c r="D3" s="1"/>
      <c r="E3" s="2" t="s">
        <v>75</v>
      </c>
      <c r="F3" s="24">
        <f>F2/R2</f>
        <v>0.1160698534657204</v>
      </c>
      <c r="G3" s="24">
        <f>G2/R2</f>
        <v>0.11225191975832031</v>
      </c>
      <c r="H3" s="24">
        <f>H2/R2</f>
        <v>0.0956957668840843</v>
      </c>
      <c r="I3" s="24">
        <f>I2/R2</f>
        <v>0.08663232507006664</v>
      </c>
      <c r="J3" s="24">
        <f>J2/R2</f>
        <v>0.07992162396815737</v>
      </c>
      <c r="K3" s="24">
        <f>K2/R2</f>
        <v>0.07118883041330365</v>
      </c>
      <c r="L3" s="24">
        <f>L2/R2</f>
        <v>0.05885734986284959</v>
      </c>
      <c r="M3" s="24">
        <f>M2/R2</f>
        <v>0.058508960819575274</v>
      </c>
      <c r="N3" s="24">
        <f>N2/R2</f>
        <v>0.06478306866382882</v>
      </c>
      <c r="O3" s="24">
        <f>O2/R2</f>
        <v>0.07032594757283026</v>
      </c>
      <c r="P3" s="24">
        <f>P2/R2</f>
        <v>0.08702600994221008</v>
      </c>
      <c r="Q3" s="24">
        <f>Q2/R2</f>
        <v>0.09873834357905341</v>
      </c>
      <c r="R3" s="23"/>
      <c r="T3" s="2"/>
      <c r="U3" s="2"/>
      <c r="V3" s="2"/>
      <c r="W3" s="2"/>
      <c r="X3" s="2"/>
      <c r="Y3" s="2"/>
      <c r="Z3" s="2"/>
      <c r="AA3" s="2"/>
      <c r="AB3" s="2"/>
    </row>
    <row r="4" spans="1:18" ht="15.75">
      <c r="A4" s="1" t="s">
        <v>49</v>
      </c>
      <c r="B4" s="8">
        <v>2100</v>
      </c>
      <c r="D4" s="1"/>
      <c r="E4" s="2" t="s">
        <v>76</v>
      </c>
      <c r="F4" s="9">
        <f>F3*B4</f>
        <v>243.74669227801283</v>
      </c>
      <c r="G4" s="9">
        <f>G3*B4</f>
        <v>235.72903149247267</v>
      </c>
      <c r="H4" s="9">
        <f>H3*B4</f>
        <v>200.96111045657702</v>
      </c>
      <c r="I4" s="9">
        <f>B4*I3</f>
        <v>181.92788264713994</v>
      </c>
      <c r="J4" s="9">
        <f>J3*B4</f>
        <v>167.83541033313048</v>
      </c>
      <c r="K4" s="9">
        <f>K3*B4</f>
        <v>149.49654386793767</v>
      </c>
      <c r="L4" s="9">
        <f>L3*B4</f>
        <v>123.60043471198414</v>
      </c>
      <c r="M4" s="9">
        <f>M3*B4</f>
        <v>122.86881772110807</v>
      </c>
      <c r="N4" s="9">
        <f>N3*B4</f>
        <v>136.04444419404052</v>
      </c>
      <c r="O4" s="9">
        <f>O3*B4</f>
        <v>147.68448990294354</v>
      </c>
      <c r="P4" s="9">
        <f>B4*P3</f>
        <v>182.75462087864116</v>
      </c>
      <c r="Q4" s="9">
        <f>Q3*B4</f>
        <v>207.35052151601215</v>
      </c>
      <c r="R4" s="12">
        <f>SUM(F4:Q4)</f>
        <v>2100.0000000000005</v>
      </c>
    </row>
    <row r="5" spans="2:17" ht="14.25">
      <c r="B5" s="8"/>
      <c r="E5" t="s">
        <v>37</v>
      </c>
      <c r="F5" s="4">
        <f>MIN(F4,f1blk1)*f1w1</f>
        <v>1414.2450000000001</v>
      </c>
      <c r="G5" s="4">
        <f>MIN(G4,f1blk1)*f1w1</f>
        <v>1414.2450000000001</v>
      </c>
      <c r="H5">
        <f>MIN(H4,f1blk1)*f1w1</f>
        <v>1414.2450000000001</v>
      </c>
      <c r="I5">
        <f aca="true" t="shared" si="0" ref="I5:O5">MIN(I4,f1blk1)*f1s1</f>
        <v>1317.25825</v>
      </c>
      <c r="J5">
        <f t="shared" si="0"/>
        <v>1263.3290223054364</v>
      </c>
      <c r="K5">
        <f t="shared" si="0"/>
        <v>1125.2888900373018</v>
      </c>
      <c r="L5">
        <f t="shared" si="0"/>
        <v>930.3639561596999</v>
      </c>
      <c r="M5">
        <f t="shared" si="0"/>
        <v>924.8569360621475</v>
      </c>
      <c r="N5">
        <f t="shared" si="0"/>
        <v>1024.0323798929398</v>
      </c>
      <c r="O5">
        <f t="shared" si="0"/>
        <v>1111.6492155525375</v>
      </c>
      <c r="P5">
        <f>MIN(P4,f1blk1)*f1w1</f>
        <v>1414.2450000000001</v>
      </c>
      <c r="Q5">
        <f>MIN(Q4,f1blk1)*f1w1</f>
        <v>1414.2450000000001</v>
      </c>
    </row>
    <row r="6" spans="5:17" ht="14.25">
      <c r="E6" t="s">
        <v>38</v>
      </c>
      <c r="F6">
        <f>MIN(MAX(0,F4-f1blk1),f1blk2)*f1w2</f>
        <v>551.7032050018174</v>
      </c>
      <c r="G6">
        <f>MIN(MAX(0,G4-f1blk1),f1blk2)*f1w2</f>
        <v>487.36019437213196</v>
      </c>
      <c r="H6">
        <f>MIN(MAX(0,H4-f1blk1),f1blk2)*f1w2</f>
        <v>208.3420651917036</v>
      </c>
      <c r="I6">
        <f aca="true" t="shared" si="1" ref="I6:O6">MIN(MAX(0,I4-f1blk1),f1blk2)*f1s2</f>
        <v>51.72509597772915</v>
      </c>
      <c r="J6">
        <f t="shared" si="1"/>
        <v>0</v>
      </c>
      <c r="K6">
        <f t="shared" si="1"/>
        <v>0</v>
      </c>
      <c r="L6">
        <f t="shared" si="1"/>
        <v>0</v>
      </c>
      <c r="M6">
        <f t="shared" si="1"/>
        <v>0</v>
      </c>
      <c r="N6">
        <f t="shared" si="1"/>
        <v>0</v>
      </c>
      <c r="O6">
        <f t="shared" si="1"/>
        <v>0</v>
      </c>
      <c r="P6">
        <f>MIN(MAX(0,P4-f1blk1),f1blk2)*f1w2</f>
        <v>62.232073290435906</v>
      </c>
      <c r="Q6">
        <f>MIN(MAX(0,Q4-f1blk1),f1blk2)*f1w2</f>
        <v>259.61811124944006</v>
      </c>
    </row>
    <row r="7" spans="5:17" ht="14.25">
      <c r="E7" t="s">
        <v>39</v>
      </c>
      <c r="F7" s="4">
        <f>MAX(0,(F4-f1blk1-f1blk2))*f1w3</f>
        <v>0</v>
      </c>
      <c r="G7" s="4">
        <f>MAX(0,(G4-f1blk1-f1blk2))*f1w3</f>
        <v>0</v>
      </c>
      <c r="H7" s="4">
        <f>MAX(0,(H4-f1blk1-f1blk2))*f1w3</f>
        <v>0</v>
      </c>
      <c r="I7" s="4">
        <f aca="true" t="shared" si="2" ref="I7:O7">MAX(0,(I4-f1blk1-f1blk2))*f1s3</f>
        <v>0</v>
      </c>
      <c r="J7" s="4">
        <f t="shared" si="2"/>
        <v>0</v>
      </c>
      <c r="K7" s="4">
        <f t="shared" si="2"/>
        <v>0</v>
      </c>
      <c r="L7" s="4">
        <f t="shared" si="2"/>
        <v>0</v>
      </c>
      <c r="M7" s="4">
        <f t="shared" si="2"/>
        <v>0</v>
      </c>
      <c r="N7" s="4">
        <f t="shared" si="2"/>
        <v>0</v>
      </c>
      <c r="O7" s="4">
        <f t="shared" si="2"/>
        <v>0</v>
      </c>
      <c r="P7" s="4">
        <f>MAX(0,(P4-f1blk1-f1blk2))*f1w3</f>
        <v>0</v>
      </c>
      <c r="Q7" s="4">
        <f>MAX(0,(Q4-f1blk1-f1blk2))*f1w3</f>
        <v>0</v>
      </c>
    </row>
    <row r="8" spans="5:18" ht="14.25">
      <c r="E8" t="s">
        <v>52</v>
      </c>
      <c r="F8" s="4">
        <f aca="true" t="shared" si="3" ref="F8:Q8">SUM(F5:F7)</f>
        <v>1965.9482050018175</v>
      </c>
      <c r="G8" s="4">
        <f t="shared" si="3"/>
        <v>1901.605194372132</v>
      </c>
      <c r="H8">
        <f t="shared" si="3"/>
        <v>1622.5870651917037</v>
      </c>
      <c r="I8">
        <f t="shared" si="3"/>
        <v>1368.9833459777292</v>
      </c>
      <c r="J8">
        <f t="shared" si="3"/>
        <v>1263.3290223054364</v>
      </c>
      <c r="K8">
        <f t="shared" si="3"/>
        <v>1125.2888900373018</v>
      </c>
      <c r="L8">
        <f t="shared" si="3"/>
        <v>930.3639561596999</v>
      </c>
      <c r="M8">
        <f t="shared" si="3"/>
        <v>924.8569360621475</v>
      </c>
      <c r="N8">
        <f t="shared" si="3"/>
        <v>1024.0323798929398</v>
      </c>
      <c r="O8">
        <f t="shared" si="3"/>
        <v>1111.6492155525375</v>
      </c>
      <c r="P8">
        <f t="shared" si="3"/>
        <v>1476.477073290436</v>
      </c>
      <c r="Q8">
        <f t="shared" si="3"/>
        <v>1673.8631112494402</v>
      </c>
      <c r="R8" s="5">
        <f>SUM(F8:Q8)+12*G9</f>
        <v>16640.98439509332</v>
      </c>
    </row>
    <row r="9" spans="6:7" ht="15">
      <c r="F9" t="s">
        <v>51</v>
      </c>
      <c r="G9" s="25">
        <v>21</v>
      </c>
    </row>
    <row r="11" spans="1:28" ht="15.75">
      <c r="A11" s="1" t="s">
        <v>79</v>
      </c>
      <c r="B11" s="1"/>
      <c r="C11" s="1"/>
      <c r="D11" s="1" t="s">
        <v>145</v>
      </c>
      <c r="E11" s="2"/>
      <c r="F11" s="2" t="s">
        <v>11</v>
      </c>
      <c r="G11" s="2" t="s">
        <v>62</v>
      </c>
      <c r="H11" s="2" t="s">
        <v>63</v>
      </c>
      <c r="I11" s="2" t="s">
        <v>64</v>
      </c>
      <c r="J11" s="2" t="s">
        <v>65</v>
      </c>
      <c r="K11" s="2" t="s">
        <v>66</v>
      </c>
      <c r="L11" s="2" t="s">
        <v>67</v>
      </c>
      <c r="M11" s="2" t="s">
        <v>68</v>
      </c>
      <c r="N11" s="2" t="s">
        <v>69</v>
      </c>
      <c r="O11" s="2" t="s">
        <v>70</v>
      </c>
      <c r="P11" s="2" t="s">
        <v>71</v>
      </c>
      <c r="Q11" s="2" t="s">
        <v>72</v>
      </c>
      <c r="R11" s="2" t="s">
        <v>158</v>
      </c>
      <c r="T11" s="2"/>
      <c r="U11" s="2"/>
      <c r="V11" s="2"/>
      <c r="W11" s="2"/>
      <c r="X11" s="2"/>
      <c r="Y11" s="2"/>
      <c r="Z11" s="2"/>
      <c r="AA11" s="2"/>
      <c r="AB11" s="2"/>
    </row>
    <row r="12" spans="1:28" ht="15.75">
      <c r="A12" t="s">
        <v>49</v>
      </c>
      <c r="B12" s="8">
        <v>5000</v>
      </c>
      <c r="D12" s="1"/>
      <c r="E12" t="s">
        <v>76</v>
      </c>
      <c r="F12" s="9">
        <f>F3*B12</f>
        <v>580.349267328602</v>
      </c>
      <c r="G12" s="9">
        <f>G3*B12</f>
        <v>561.2595987916015</v>
      </c>
      <c r="H12" s="9">
        <f>H3*B12</f>
        <v>478.4788344204215</v>
      </c>
      <c r="I12" s="9">
        <f>I3*B12</f>
        <v>433.1616253503332</v>
      </c>
      <c r="J12" s="9">
        <f>J3*B12</f>
        <v>399.60811984078686</v>
      </c>
      <c r="K12" s="9">
        <f>K3*B12</f>
        <v>355.94415206651826</v>
      </c>
      <c r="L12" s="9">
        <f>L3*B12</f>
        <v>294.2867493142479</v>
      </c>
      <c r="M12" s="9">
        <f>M3*B12</f>
        <v>292.54480409787635</v>
      </c>
      <c r="N12" s="9">
        <f>N3*B12</f>
        <v>323.91534331914414</v>
      </c>
      <c r="O12" s="9">
        <f>O3*B12</f>
        <v>351.62973786415125</v>
      </c>
      <c r="P12" s="9">
        <f>P3*B12</f>
        <v>435.1300497110504</v>
      </c>
      <c r="Q12" s="9">
        <f>Q3*B12</f>
        <v>493.69171789526706</v>
      </c>
      <c r="R12" s="12">
        <f>SUM(F12:Q12)</f>
        <v>5000</v>
      </c>
      <c r="T12" s="2"/>
      <c r="U12" s="2"/>
      <c r="V12" s="2"/>
      <c r="W12" s="2"/>
      <c r="X12" s="2"/>
      <c r="Y12" s="2"/>
      <c r="Z12" s="2"/>
      <c r="AA12" s="2"/>
      <c r="AB12" s="2"/>
    </row>
    <row r="13" spans="5:17" ht="14.25">
      <c r="E13" t="s">
        <v>37</v>
      </c>
      <c r="F13" s="4">
        <f>MIN(F12,f1blk1)*f1w1</f>
        <v>1414.2450000000001</v>
      </c>
      <c r="G13" s="4">
        <f>MIN(G12,f1blk1)*f1w1</f>
        <v>1414.2450000000001</v>
      </c>
      <c r="H13">
        <f>MIN(H12,f1blk1)*f1w1</f>
        <v>1414.2450000000001</v>
      </c>
      <c r="I13">
        <f aca="true" t="shared" si="4" ref="I13:O13">MIN(I12,f1blk1)*f1s1</f>
        <v>1317.25825</v>
      </c>
      <c r="J13">
        <f t="shared" si="4"/>
        <v>1317.25825</v>
      </c>
      <c r="K13">
        <f t="shared" si="4"/>
        <v>1317.25825</v>
      </c>
      <c r="L13">
        <f t="shared" si="4"/>
        <v>1317.25825</v>
      </c>
      <c r="M13">
        <f t="shared" si="4"/>
        <v>1317.25825</v>
      </c>
      <c r="N13">
        <f t="shared" si="4"/>
        <v>1317.25825</v>
      </c>
      <c r="O13">
        <f t="shared" si="4"/>
        <v>1317.25825</v>
      </c>
      <c r="P13">
        <f>MIN(P12,f1blk1)*f1w1</f>
        <v>1414.2450000000001</v>
      </c>
      <c r="Q13">
        <f>MIN(Q12,f1blk1)*f1w1</f>
        <v>1414.2450000000001</v>
      </c>
    </row>
    <row r="14" spans="5:17" ht="14.25">
      <c r="E14" t="s">
        <v>38</v>
      </c>
      <c r="F14">
        <f>MIN(MAX(0,F12-f1blk1),f1blk2)*f1w2</f>
        <v>3252.9927261948033</v>
      </c>
      <c r="G14">
        <f>MIN(MAX(0,G12-f1blk1),f1blk2)*f1w2</f>
        <v>3099.795081838409</v>
      </c>
      <c r="H14">
        <f>MIN(MAX(0,H12-f1blk1),f1blk2)*f1w2</f>
        <v>2435.4662028373896</v>
      </c>
      <c r="I14">
        <f aca="true" t="shared" si="5" ref="I14:O14">MIN(MAX(0,I12-f1blk1),f1blk2)*f1s2</f>
        <v>1927.4914904231648</v>
      </c>
      <c r="J14">
        <f t="shared" si="5"/>
        <v>1676.9736365176796</v>
      </c>
      <c r="K14">
        <f t="shared" si="5"/>
        <v>1350.96884704208</v>
      </c>
      <c r="L14">
        <f t="shared" si="5"/>
        <v>890.621113465024</v>
      </c>
      <c r="M14">
        <f t="shared" si="5"/>
        <v>877.6153672516464</v>
      </c>
      <c r="N14">
        <f t="shared" si="5"/>
        <v>1111.8347145962603</v>
      </c>
      <c r="O14">
        <f t="shared" si="5"/>
        <v>1318.7564814360833</v>
      </c>
      <c r="P14">
        <f>MIN(MAX(0,P12-f1blk1),f1blk2)*f1w2</f>
        <v>2087.585269739133</v>
      </c>
      <c r="Q14">
        <f>MIN(MAX(0,Q12-f1blk1),f1blk2)*f1w2</f>
        <v>2557.5520267843813</v>
      </c>
    </row>
    <row r="15" spans="5:17" ht="14.25">
      <c r="E15" t="s">
        <v>39</v>
      </c>
      <c r="F15" s="4">
        <f>MAX(0,(F12-f1blk1-f1blk2))*f1w3</f>
        <v>0</v>
      </c>
      <c r="G15" s="4">
        <f>MAX(0,(G12-f1blk1-f1blk2))*f1w3</f>
        <v>0</v>
      </c>
      <c r="H15" s="4">
        <f>MAX(0,(H12-f1blk1-f1blk2))*f1w3</f>
        <v>0</v>
      </c>
      <c r="I15" s="4">
        <f aca="true" t="shared" si="6" ref="I15:O15">MAX(0,(I12-f1blk1-f1blk2))*f1s3</f>
        <v>0</v>
      </c>
      <c r="J15" s="4">
        <f t="shared" si="6"/>
        <v>0</v>
      </c>
      <c r="K15" s="4">
        <f t="shared" si="6"/>
        <v>0</v>
      </c>
      <c r="L15" s="4">
        <f t="shared" si="6"/>
        <v>0</v>
      </c>
      <c r="M15" s="4">
        <f t="shared" si="6"/>
        <v>0</v>
      </c>
      <c r="N15" s="4">
        <f t="shared" si="6"/>
        <v>0</v>
      </c>
      <c r="O15" s="4">
        <f t="shared" si="6"/>
        <v>0</v>
      </c>
      <c r="P15" s="4">
        <f>MAX(0,(P12-f1blk1-f1blk2))*f1w3</f>
        <v>0</v>
      </c>
      <c r="Q15" s="4">
        <f>MAX(0,(Q12-f1blk1-f1blk2))*f1w3</f>
        <v>0</v>
      </c>
    </row>
    <row r="16" spans="5:18" ht="14.25">
      <c r="E16" t="s">
        <v>52</v>
      </c>
      <c r="F16" s="4">
        <f aca="true" t="shared" si="7" ref="F16:Q16">SUM(F13:F15)</f>
        <v>4667.237726194803</v>
      </c>
      <c r="G16" s="4">
        <f t="shared" si="7"/>
        <v>4514.040081838409</v>
      </c>
      <c r="H16">
        <f t="shared" si="7"/>
        <v>3849.7112028373895</v>
      </c>
      <c r="I16">
        <f t="shared" si="7"/>
        <v>3244.749740423165</v>
      </c>
      <c r="J16">
        <f t="shared" si="7"/>
        <v>2994.2318865176794</v>
      </c>
      <c r="K16">
        <f t="shared" si="7"/>
        <v>2668.22709704208</v>
      </c>
      <c r="L16">
        <f t="shared" si="7"/>
        <v>2207.879363465024</v>
      </c>
      <c r="M16">
        <f t="shared" si="7"/>
        <v>2194.8736172516465</v>
      </c>
      <c r="N16">
        <f t="shared" si="7"/>
        <v>2429.0929645962606</v>
      </c>
      <c r="O16">
        <f t="shared" si="7"/>
        <v>2636.0147314360834</v>
      </c>
      <c r="P16">
        <f t="shared" si="7"/>
        <v>3501.8302697391327</v>
      </c>
      <c r="Q16">
        <f t="shared" si="7"/>
        <v>3971.797026784381</v>
      </c>
      <c r="R16" s="5">
        <f>SUM(F16:Q16)+G17*12</f>
        <v>39539.68570812605</v>
      </c>
    </row>
    <row r="17" spans="6:7" ht="15">
      <c r="F17" t="s">
        <v>51</v>
      </c>
      <c r="G17" s="25">
        <v>55</v>
      </c>
    </row>
    <row r="19" spans="1:28" ht="15.75">
      <c r="A19" s="1" t="s">
        <v>80</v>
      </c>
      <c r="B19" s="1"/>
      <c r="C19" s="1"/>
      <c r="D19" s="1" t="s">
        <v>145</v>
      </c>
      <c r="E19" s="2" t="s">
        <v>141</v>
      </c>
      <c r="F19" s="2" t="s">
        <v>61</v>
      </c>
      <c r="G19" s="2" t="s">
        <v>62</v>
      </c>
      <c r="H19" s="2" t="s">
        <v>63</v>
      </c>
      <c r="I19" s="2" t="s">
        <v>64</v>
      </c>
      <c r="J19" s="2" t="s">
        <v>65</v>
      </c>
      <c r="K19" s="2" t="s">
        <v>66</v>
      </c>
      <c r="L19" s="2" t="s">
        <v>67</v>
      </c>
      <c r="M19" s="2" t="s">
        <v>68</v>
      </c>
      <c r="N19" s="2" t="s">
        <v>69</v>
      </c>
      <c r="O19" s="2" t="s">
        <v>70</v>
      </c>
      <c r="P19" s="2" t="s">
        <v>71</v>
      </c>
      <c r="Q19" s="2" t="s">
        <v>72</v>
      </c>
      <c r="R19" s="2" t="s">
        <v>158</v>
      </c>
      <c r="T19" s="2"/>
      <c r="U19" s="2"/>
      <c r="V19" s="2"/>
      <c r="W19" s="2"/>
      <c r="X19" s="2"/>
      <c r="Y19" s="2"/>
      <c r="Z19" s="2"/>
      <c r="AA19" s="2"/>
      <c r="AB19" s="2"/>
    </row>
    <row r="20" spans="1:28" ht="15.75">
      <c r="A20" s="1" t="s">
        <v>49</v>
      </c>
      <c r="B20" s="3">
        <v>100000</v>
      </c>
      <c r="D20" s="1" t="s">
        <v>144</v>
      </c>
      <c r="E20" s="2"/>
      <c r="F20" s="9">
        <f>F3*B20</f>
        <v>11606.985346572039</v>
      </c>
      <c r="G20" s="9">
        <f>G3*B20</f>
        <v>11225.191975832031</v>
      </c>
      <c r="H20" s="9">
        <f>H3*B20</f>
        <v>9569.57668840843</v>
      </c>
      <c r="I20" s="9">
        <f>I3*B20</f>
        <v>8663.232507006664</v>
      </c>
      <c r="J20" s="9">
        <f>J3*B20</f>
        <v>7992.162396815737</v>
      </c>
      <c r="K20" s="9">
        <f>K3*B20</f>
        <v>7118.883041330365</v>
      </c>
      <c r="L20" s="9">
        <f>L3*B20</f>
        <v>5885.734986284959</v>
      </c>
      <c r="M20" s="9">
        <f>M3*B20</f>
        <v>5850.896081957528</v>
      </c>
      <c r="N20" s="9">
        <f>N3*B20</f>
        <v>6478.306866382883</v>
      </c>
      <c r="O20" s="9">
        <f>O3*B20</f>
        <v>7032.5947572830255</v>
      </c>
      <c r="P20" s="9">
        <f>P3*B20</f>
        <v>8702.600994221008</v>
      </c>
      <c r="Q20" s="9">
        <f>Q3*B20</f>
        <v>9873.834357905342</v>
      </c>
      <c r="R20" s="12">
        <f>SUM(F20:Q20)</f>
        <v>100000.00000000001</v>
      </c>
      <c r="T20" s="2"/>
      <c r="U20" s="2"/>
      <c r="V20" s="2"/>
      <c r="W20" s="2"/>
      <c r="X20" s="2"/>
      <c r="Y20" s="2"/>
      <c r="Z20" s="2"/>
      <c r="AA20" s="2"/>
      <c r="AB20" s="2"/>
    </row>
    <row r="21" spans="5:17" ht="14.25">
      <c r="E21" t="s">
        <v>37</v>
      </c>
      <c r="F21" s="4">
        <f>MIN(F20,f1blk1)*f1w1</f>
        <v>1414.2450000000001</v>
      </c>
      <c r="G21" s="4">
        <f>MIN(G20,f1blk1)*f1w1</f>
        <v>1414.2450000000001</v>
      </c>
      <c r="H21">
        <f>MIN(H20,f1blk1)*f1w1</f>
        <v>1414.2450000000001</v>
      </c>
      <c r="I21">
        <f aca="true" t="shared" si="8" ref="I21:O21">MIN(I20,f1blk1)*f1s1</f>
        <v>1317.25825</v>
      </c>
      <c r="J21">
        <f t="shared" si="8"/>
        <v>1317.25825</v>
      </c>
      <c r="K21">
        <f t="shared" si="8"/>
        <v>1317.25825</v>
      </c>
      <c r="L21">
        <f t="shared" si="8"/>
        <v>1317.25825</v>
      </c>
      <c r="M21">
        <f t="shared" si="8"/>
        <v>1317.25825</v>
      </c>
      <c r="N21">
        <f t="shared" si="8"/>
        <v>1317.25825</v>
      </c>
      <c r="O21">
        <f t="shared" si="8"/>
        <v>1317.25825</v>
      </c>
      <c r="P21">
        <f>MIN(P20,f1blk1)*f1w1</f>
        <v>1414.2450000000001</v>
      </c>
      <c r="Q21">
        <f>MIN(Q20,f1blk1)*f1w1</f>
        <v>1414.2450000000001</v>
      </c>
    </row>
    <row r="22" spans="5:17" ht="14.25">
      <c r="E22" t="s">
        <v>38</v>
      </c>
      <c r="F22">
        <f>MIN(MAX(0,F20-f1blk1),f1blk2)*f1w2</f>
        <v>5617.612</v>
      </c>
      <c r="G22">
        <f>MIN(MAX(0,G20-f1blk1),f1blk2)*f1w2</f>
        <v>5617.612</v>
      </c>
      <c r="H22">
        <f>MIN(MAX(0,H20-f1blk1),f1blk2)*f1w2</f>
        <v>5617.612</v>
      </c>
      <c r="I22">
        <f aca="true" t="shared" si="9" ref="I22:O22">MIN(MAX(0,I20-f1blk1),f1blk2)*f1s2</f>
        <v>5226.354</v>
      </c>
      <c r="J22">
        <f t="shared" si="9"/>
        <v>5226.354</v>
      </c>
      <c r="K22">
        <f t="shared" si="9"/>
        <v>5226.354</v>
      </c>
      <c r="L22">
        <f t="shared" si="9"/>
        <v>5226.354</v>
      </c>
      <c r="M22">
        <f t="shared" si="9"/>
        <v>5226.354</v>
      </c>
      <c r="N22">
        <f t="shared" si="9"/>
        <v>5226.354</v>
      </c>
      <c r="O22">
        <f t="shared" si="9"/>
        <v>5226.354</v>
      </c>
      <c r="P22">
        <f>MIN(MAX(0,P20-f1blk1),f1blk2)*f1w2</f>
        <v>5617.612</v>
      </c>
      <c r="Q22">
        <f>MIN(MAX(0,Q20-f1blk1),f1blk2)*f1w2</f>
        <v>5617.612</v>
      </c>
    </row>
    <row r="23" spans="5:17" ht="14.25">
      <c r="E23" t="s">
        <v>39</v>
      </c>
      <c r="F23" s="4">
        <f>MAX(0,(F20-f1blk1-f1blk2))*f1w3</f>
        <v>85232.99834306126</v>
      </c>
      <c r="G23" s="4">
        <f>MAX(0,(G20-f1blk1-f1blk2))*f1w3</f>
        <v>82200.81066437895</v>
      </c>
      <c r="H23" s="4">
        <f>MAX(0,(H20-f1blk1-f1blk2))*f1w3</f>
        <v>69051.98027627221</v>
      </c>
      <c r="I23" s="4">
        <f aca="true" t="shared" si="10" ref="I23:O23">MAX(0,(I20-f1blk1-f1blk2))*f1s3</f>
        <v>57476.532843108616</v>
      </c>
      <c r="J23" s="4">
        <f t="shared" si="10"/>
        <v>52524.089115508395</v>
      </c>
      <c r="K23" s="4">
        <f t="shared" si="10"/>
        <v>46079.357334374785</v>
      </c>
      <c r="L23" s="4">
        <f t="shared" si="10"/>
        <v>36978.8233399841</v>
      </c>
      <c r="M23" s="4">
        <f t="shared" si="10"/>
        <v>36721.71501316</v>
      </c>
      <c r="N23" s="4">
        <f t="shared" si="10"/>
        <v>41351.95640935637</v>
      </c>
      <c r="O23" s="4">
        <f t="shared" si="10"/>
        <v>45442.55670116815</v>
      </c>
      <c r="P23" s="4">
        <f>MAX(0,(P20-f1blk1-f1blk2))*f1w3</f>
        <v>62166.49399206347</v>
      </c>
      <c r="Q23" s="4">
        <f>MAX(0,(Q20-f1blk1-f1blk2))*f1w3</f>
        <v>71468.3825171099</v>
      </c>
    </row>
    <row r="24" spans="6:18" ht="14.25">
      <c r="F24" s="4">
        <f aca="true" t="shared" si="11" ref="F24:Q24">SUM(F21:F23)</f>
        <v>92264.85534306127</v>
      </c>
      <c r="G24" s="4">
        <f t="shared" si="11"/>
        <v>89232.66766437895</v>
      </c>
      <c r="H24">
        <f t="shared" si="11"/>
        <v>76083.83727627221</v>
      </c>
      <c r="I24">
        <f t="shared" si="11"/>
        <v>64020.145093108615</v>
      </c>
      <c r="J24">
        <f t="shared" si="11"/>
        <v>59067.701365508394</v>
      </c>
      <c r="K24">
        <f t="shared" si="11"/>
        <v>52622.96958437478</v>
      </c>
      <c r="L24">
        <f t="shared" si="11"/>
        <v>43522.435589984096</v>
      </c>
      <c r="M24">
        <f t="shared" si="11"/>
        <v>43265.32726316</v>
      </c>
      <c r="N24">
        <f t="shared" si="11"/>
        <v>47895.568659356366</v>
      </c>
      <c r="O24">
        <f t="shared" si="11"/>
        <v>51986.16895116815</v>
      </c>
      <c r="P24">
        <f t="shared" si="11"/>
        <v>69198.35099206347</v>
      </c>
      <c r="Q24">
        <f t="shared" si="11"/>
        <v>78500.2395171099</v>
      </c>
      <c r="R24" s="5">
        <f>SUM(F24:Q24)+12*G25</f>
        <v>770588.2672995462</v>
      </c>
    </row>
    <row r="25" spans="6:7" ht="15">
      <c r="F25" t="s">
        <v>51</v>
      </c>
      <c r="G25" s="25">
        <v>244</v>
      </c>
    </row>
    <row r="28" spans="4:12" ht="15.75">
      <c r="D28" s="2" t="s">
        <v>28</v>
      </c>
      <c r="E28" s="2" t="s">
        <v>29</v>
      </c>
      <c r="F28" s="2" t="s">
        <v>30</v>
      </c>
      <c r="G28" s="2" t="s">
        <v>31</v>
      </c>
      <c r="H28" s="2" t="s">
        <v>32</v>
      </c>
      <c r="I28" s="2" t="s">
        <v>33</v>
      </c>
      <c r="J28" s="2" t="s">
        <v>34</v>
      </c>
      <c r="K28" s="2" t="s">
        <v>35</v>
      </c>
      <c r="L28" s="2" t="s">
        <v>36</v>
      </c>
    </row>
    <row r="29" spans="2:12" ht="15.75">
      <c r="B29" s="40">
        <v>39675</v>
      </c>
      <c r="D29" s="2">
        <v>175</v>
      </c>
      <c r="E29" s="2">
        <v>700</v>
      </c>
      <c r="F29" s="2">
        <v>875</v>
      </c>
      <c r="G29" s="6">
        <v>8.0814</v>
      </c>
      <c r="H29" s="6">
        <v>8.02516</v>
      </c>
      <c r="I29" s="6">
        <v>7.94196</v>
      </c>
      <c r="J29" s="6">
        <v>7.52719</v>
      </c>
      <c r="K29" s="6">
        <v>7.46622</v>
      </c>
      <c r="L29" s="6">
        <v>7.37992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33"/>
  <sheetViews>
    <sheetView zoomScalePageLayoutView="0" workbookViewId="0" topLeftCell="A11">
      <selection activeCell="K29" sqref="K29"/>
    </sheetView>
  </sheetViews>
  <sheetFormatPr defaultColWidth="9.140625" defaultRowHeight="15"/>
  <cols>
    <col min="2" max="2" width="10.28125" style="0" customWidth="1"/>
    <col min="4" max="4" width="10.8515625" style="0" customWidth="1"/>
    <col min="5" max="5" width="14.00390625" style="0" customWidth="1"/>
    <col min="6" max="16" width="12.00390625" style="0" bestFit="1" customWidth="1"/>
    <col min="17" max="17" width="12.8515625" style="0" bestFit="1" customWidth="1"/>
  </cols>
  <sheetData>
    <row r="1" spans="1:17" ht="15.75">
      <c r="A1" s="1" t="s">
        <v>171</v>
      </c>
      <c r="B1" s="52"/>
      <c r="C1" s="52"/>
      <c r="D1" s="53"/>
      <c r="E1" s="2" t="s">
        <v>61</v>
      </c>
      <c r="F1" s="2" t="s">
        <v>62</v>
      </c>
      <c r="G1" s="2" t="s">
        <v>63</v>
      </c>
      <c r="H1" s="2" t="s">
        <v>64</v>
      </c>
      <c r="I1" s="2" t="s">
        <v>65</v>
      </c>
      <c r="J1" s="2" t="s">
        <v>66</v>
      </c>
      <c r="K1" s="2" t="s">
        <v>67</v>
      </c>
      <c r="L1" s="2" t="s">
        <v>68</v>
      </c>
      <c r="M1" s="2" t="s">
        <v>69</v>
      </c>
      <c r="N1" s="2" t="s">
        <v>70</v>
      </c>
      <c r="O1" s="2" t="s">
        <v>71</v>
      </c>
      <c r="P1" s="2" t="s">
        <v>72</v>
      </c>
      <c r="Q1" s="53" t="s">
        <v>158</v>
      </c>
    </row>
    <row r="2" spans="1:17" ht="15.75">
      <c r="A2" s="52"/>
      <c r="B2" s="52"/>
      <c r="C2" s="52"/>
      <c r="D2" s="54"/>
      <c r="E2" s="54">
        <f>SUBTOTAL(101,'F1 Data'!$I$4:$I$654)</f>
        <v>1299.2250408226084</v>
      </c>
      <c r="F2" s="54">
        <f>SUBTOTAL(101,'F1 Data'!$J$4:$J$654)</f>
        <v>1256.489094073784</v>
      </c>
      <c r="G2" s="54">
        <f>SUBTOTAL(101,'F1 Data'!$K$4:$K$654)</f>
        <v>1071.168205388012</v>
      </c>
      <c r="H2" s="54">
        <f>SUBTOTAL(101,'F1 Data'!$L$4:$L$654)</f>
        <v>969.7167930771647</v>
      </c>
      <c r="I2" s="54">
        <f>SUBTOTAL(101,'F1 Data'!$M$4:$M$654)</f>
        <v>894.6007258750006</v>
      </c>
      <c r="J2" s="54">
        <f>SUBTOTAL(101,'F1 Data'!$N$4:$N$654)</f>
        <v>796.8504166945804</v>
      </c>
      <c r="K2" s="54">
        <f>SUBTOTAL(101,'F1 Data'!$C$4:$C$654)</f>
        <v>658.8182934241003</v>
      </c>
      <c r="L2" s="54">
        <f>SUBTOTAL(101,'F1 Data'!$D$4:$D$654)</f>
        <v>654.9186092644757</v>
      </c>
      <c r="M2" s="54">
        <f>SUBTOTAL(101,'F1 Data'!$E$4:$E$654)</f>
        <v>725.1476806097169</v>
      </c>
      <c r="N2" s="54">
        <f>SUBTOTAL(101,'F1 Data'!$F$4:$F$654)</f>
        <v>787.1917589107978</v>
      </c>
      <c r="O2" s="54">
        <f>SUBTOTAL(101,'F1 Data'!$G$4:$G$654)</f>
        <v>974.1234949795916</v>
      </c>
      <c r="P2" s="54">
        <f>SUBTOTAL(101,'F1 Data'!$H$4:$H$654)</f>
        <v>1105.2252125496057</v>
      </c>
      <c r="Q2" s="53">
        <f>SUM(D2:P2)</f>
        <v>11193.475325669437</v>
      </c>
    </row>
    <row r="3" spans="1:27" ht="15.75">
      <c r="A3" s="52" t="s">
        <v>78</v>
      </c>
      <c r="B3" s="52"/>
      <c r="C3" s="52"/>
      <c r="D3" s="53" t="s">
        <v>75</v>
      </c>
      <c r="E3" s="55">
        <f>E2/Q2</f>
        <v>0.1160698534657204</v>
      </c>
      <c r="F3" s="55">
        <f>F2/Q2</f>
        <v>0.11225191975832031</v>
      </c>
      <c r="G3" s="55">
        <f>G2/Q2</f>
        <v>0.0956957668840843</v>
      </c>
      <c r="H3" s="55">
        <f>H2/Q2</f>
        <v>0.08663232507006664</v>
      </c>
      <c r="I3" s="55">
        <f>I2/Q2</f>
        <v>0.07992162396815737</v>
      </c>
      <c r="J3" s="55">
        <f>J2/Q2</f>
        <v>0.07118883041330365</v>
      </c>
      <c r="K3" s="55">
        <f>K2/Q2</f>
        <v>0.05885734986284959</v>
      </c>
      <c r="L3" s="55">
        <f>L2/Q2</f>
        <v>0.058508960819575274</v>
      </c>
      <c r="M3" s="55">
        <f>M2/Q2</f>
        <v>0.06478306866382882</v>
      </c>
      <c r="N3" s="55">
        <f>N2/Q2</f>
        <v>0.07032594757283026</v>
      </c>
      <c r="O3" s="55">
        <f>O2/Q2</f>
        <v>0.08702600994221008</v>
      </c>
      <c r="P3" s="55">
        <f>P2/Q2</f>
        <v>0.09873834357905341</v>
      </c>
      <c r="Q3" s="56"/>
      <c r="S3" s="53"/>
      <c r="T3" s="53"/>
      <c r="U3" s="53"/>
      <c r="V3" s="53"/>
      <c r="W3" s="53"/>
      <c r="X3" s="53"/>
      <c r="Y3" s="53"/>
      <c r="Z3" s="53"/>
      <c r="AA3" s="53"/>
    </row>
    <row r="4" spans="1:17" ht="15.75">
      <c r="A4" s="52" t="s">
        <v>49</v>
      </c>
      <c r="B4" s="8">
        <v>2100</v>
      </c>
      <c r="C4" s="52"/>
      <c r="D4" s="53" t="s">
        <v>76</v>
      </c>
      <c r="E4" s="9">
        <f>E3*B4</f>
        <v>243.74669227801283</v>
      </c>
      <c r="F4" s="9">
        <f>F3*B4</f>
        <v>235.72903149247267</v>
      </c>
      <c r="G4" s="9">
        <f>G3*B4</f>
        <v>200.96111045657702</v>
      </c>
      <c r="H4" s="9">
        <f>B4*H3</f>
        <v>181.92788264713994</v>
      </c>
      <c r="I4" s="9">
        <f>I3*B4</f>
        <v>167.83541033313048</v>
      </c>
      <c r="J4" s="9">
        <f>J3*B4</f>
        <v>149.49654386793767</v>
      </c>
      <c r="K4" s="9">
        <f>K3*B4</f>
        <v>123.60043471198414</v>
      </c>
      <c r="L4" s="9">
        <f>L3*B4</f>
        <v>122.86881772110807</v>
      </c>
      <c r="M4" s="9">
        <f>M3*B4</f>
        <v>136.04444419404052</v>
      </c>
      <c r="N4" s="9">
        <f>N3*B4</f>
        <v>147.68448990294354</v>
      </c>
      <c r="O4" s="9">
        <f>B4*O3</f>
        <v>182.75462087864116</v>
      </c>
      <c r="P4" s="9">
        <f>P3*B4</f>
        <v>207.35052151601215</v>
      </c>
      <c r="Q4" s="57">
        <f>SUM(E4:P4)</f>
        <v>2100.0000000000005</v>
      </c>
    </row>
    <row r="5" spans="2:16" ht="14.25">
      <c r="B5" s="8"/>
      <c r="D5" t="s">
        <v>37</v>
      </c>
      <c r="E5" s="4">
        <f>MIN(E4,proposedf1blk1)*proposedf1w1</f>
        <v>1670.6119999999999</v>
      </c>
      <c r="F5" s="4">
        <f>MIN(F4,proposedf1blk1)*proposedf1w1</f>
        <v>1670.6119999999999</v>
      </c>
      <c r="G5">
        <f>MIN(G4,proposedf1blk1)*proposedf1w1</f>
        <v>1670.6119999999999</v>
      </c>
      <c r="H5">
        <f aca="true" t="shared" si="0" ref="H5:N5">MIN(H4,proposedf1blk1)*proposedf1s1</f>
        <v>1381.8696182228807</v>
      </c>
      <c r="I5">
        <f t="shared" si="0"/>
        <v>1274.8274262673592</v>
      </c>
      <c r="J5">
        <f t="shared" si="0"/>
        <v>1135.5308982576942</v>
      </c>
      <c r="K5">
        <f t="shared" si="0"/>
        <v>938.8318219418179</v>
      </c>
      <c r="L5">
        <f t="shared" si="0"/>
        <v>933.2746787642205</v>
      </c>
      <c r="M5">
        <f t="shared" si="0"/>
        <v>1033.3527847646735</v>
      </c>
      <c r="N5">
        <f t="shared" si="0"/>
        <v>1121.7670799557882</v>
      </c>
      <c r="O5">
        <f>MIN(O4,proposedf1blk1)*proposedf1w1</f>
        <v>1526.5603134765422</v>
      </c>
      <c r="P5">
        <f>MIN(P4,proposedf1blk1)*proposedf1w1</f>
        <v>1670.6119999999999</v>
      </c>
    </row>
    <row r="6" spans="4:16" ht="14.25">
      <c r="D6" t="s">
        <v>38</v>
      </c>
      <c r="E6">
        <f>MIN(MAX(0,E4-proposedf1blk1),proposedf1blk2)*proposedf1w2</f>
        <v>357.8886272579635</v>
      </c>
      <c r="F6">
        <f>MIN(MAX(0,F4-proposedf1blk1),proposedf1blk2)*proposedf1w2</f>
        <v>292.29670560771444</v>
      </c>
      <c r="G6">
        <f>MIN(MAX(0,G4-proposedf1blk1),proposedf1blk2)*proposedf1w2</f>
        <v>7.862777367524621</v>
      </c>
      <c r="H6">
        <f aca="true" t="shared" si="1" ref="H6:N6">MIN(MAX(0,H4-proposedf1blk1),proposedf1blk2)*proposedf1s2</f>
        <v>0</v>
      </c>
      <c r="I6">
        <f t="shared" si="1"/>
        <v>0</v>
      </c>
      <c r="J6">
        <f t="shared" si="1"/>
        <v>0</v>
      </c>
      <c r="K6">
        <f t="shared" si="1"/>
        <v>0</v>
      </c>
      <c r="L6">
        <f t="shared" si="1"/>
        <v>0</v>
      </c>
      <c r="M6">
        <f t="shared" si="1"/>
        <v>0</v>
      </c>
      <c r="N6">
        <f t="shared" si="1"/>
        <v>0</v>
      </c>
      <c r="O6">
        <f>MIN(MAX(0,O4-proposedf1blk1),proposedf1blk2)*proposedf1w2</f>
        <v>0</v>
      </c>
      <c r="P6">
        <f>MIN(MAX(0,P4-proposedf1blk1),proposedf1blk2)*proposedf1w2</f>
        <v>60.13410198598928</v>
      </c>
    </row>
    <row r="7" spans="4:16" ht="14.25">
      <c r="D7" t="s">
        <v>39</v>
      </c>
      <c r="E7" s="4">
        <f>MAX(0,(E4-proposedf1blk1-proposedf1blk2))*proposedf1w3</f>
        <v>0</v>
      </c>
      <c r="F7" s="4">
        <f>MAX(0,(F4-proposedf1blk1-proposedf1blk2))*proposedf1w3</f>
        <v>0</v>
      </c>
      <c r="G7" s="4">
        <f>MAX(0,(G4-proposedf1blk1-proposedf1blk2))*proposedf1w3</f>
        <v>0</v>
      </c>
      <c r="H7" s="4">
        <f aca="true" t="shared" si="2" ref="H7:N7">MAX(0,(H4-proposedf1blk1-proposedf1blk2))*proposedf1s3</f>
        <v>0</v>
      </c>
      <c r="I7" s="4">
        <f t="shared" si="2"/>
        <v>0</v>
      </c>
      <c r="J7" s="4">
        <f t="shared" si="2"/>
        <v>0</v>
      </c>
      <c r="K7" s="4">
        <f t="shared" si="2"/>
        <v>0</v>
      </c>
      <c r="L7" s="4">
        <f t="shared" si="2"/>
        <v>0</v>
      </c>
      <c r="M7" s="4">
        <f t="shared" si="2"/>
        <v>0</v>
      </c>
      <c r="N7" s="4">
        <f t="shared" si="2"/>
        <v>0</v>
      </c>
      <c r="O7" s="4">
        <f>MAX(0,(O4-proposedf1blk1-proposedf1blk2))*proposedf1w3</f>
        <v>0</v>
      </c>
      <c r="P7" s="4">
        <f>MAX(0,(P4-proposedf1blk1-proposedf1blk2))*proposedf1w3</f>
        <v>0</v>
      </c>
    </row>
    <row r="8" spans="4:17" ht="14.25">
      <c r="D8" t="s">
        <v>52</v>
      </c>
      <c r="E8" s="4">
        <f aca="true" t="shared" si="3" ref="E8:P8">SUM(E5:E7)</f>
        <v>2028.5006272579633</v>
      </c>
      <c r="F8" s="4">
        <f t="shared" si="3"/>
        <v>1962.9087056077142</v>
      </c>
      <c r="G8">
        <f t="shared" si="3"/>
        <v>1678.4747773675244</v>
      </c>
      <c r="H8">
        <f t="shared" si="3"/>
        <v>1381.8696182228807</v>
      </c>
      <c r="I8">
        <f t="shared" si="3"/>
        <v>1274.8274262673592</v>
      </c>
      <c r="J8">
        <f t="shared" si="3"/>
        <v>1135.5308982576942</v>
      </c>
      <c r="K8">
        <f t="shared" si="3"/>
        <v>938.8318219418179</v>
      </c>
      <c r="L8">
        <f t="shared" si="3"/>
        <v>933.2746787642205</v>
      </c>
      <c r="M8">
        <f t="shared" si="3"/>
        <v>1033.3527847646735</v>
      </c>
      <c r="N8">
        <f t="shared" si="3"/>
        <v>1121.7670799557882</v>
      </c>
      <c r="O8">
        <f t="shared" si="3"/>
        <v>1526.5603134765422</v>
      </c>
      <c r="P8">
        <f t="shared" si="3"/>
        <v>1730.746101985989</v>
      </c>
      <c r="Q8" s="58">
        <f>SUM(E8:P8)+12*F9</f>
        <v>17142.644833870167</v>
      </c>
    </row>
    <row r="9" spans="5:6" ht="15">
      <c r="E9" t="s">
        <v>51</v>
      </c>
      <c r="F9" s="59">
        <v>33</v>
      </c>
    </row>
    <row r="11" spans="1:27" ht="15.75">
      <c r="A11" s="52" t="s">
        <v>79</v>
      </c>
      <c r="B11" s="52"/>
      <c r="C11" s="52" t="s">
        <v>145</v>
      </c>
      <c r="D11" s="53" t="s">
        <v>141</v>
      </c>
      <c r="E11" s="2" t="s">
        <v>61</v>
      </c>
      <c r="F11" s="2" t="s">
        <v>62</v>
      </c>
      <c r="G11" s="2" t="s">
        <v>63</v>
      </c>
      <c r="H11" s="2" t="s">
        <v>64</v>
      </c>
      <c r="I11" s="2" t="s">
        <v>65</v>
      </c>
      <c r="J11" s="2" t="s">
        <v>66</v>
      </c>
      <c r="K11" s="2" t="s">
        <v>67</v>
      </c>
      <c r="L11" s="2" t="s">
        <v>68</v>
      </c>
      <c r="M11" s="2" t="s">
        <v>69</v>
      </c>
      <c r="N11" s="2" t="s">
        <v>70</v>
      </c>
      <c r="O11" s="2" t="s">
        <v>71</v>
      </c>
      <c r="P11" s="2" t="s">
        <v>72</v>
      </c>
      <c r="Q11" s="53" t="s">
        <v>158</v>
      </c>
      <c r="S11" s="53"/>
      <c r="T11" s="53"/>
      <c r="U11" s="53"/>
      <c r="V11" s="53"/>
      <c r="W11" s="53"/>
      <c r="X11" s="53"/>
      <c r="Y11" s="53"/>
      <c r="Z11" s="53"/>
      <c r="AA11" s="53"/>
    </row>
    <row r="12" spans="1:27" ht="15.75">
      <c r="A12" t="s">
        <v>49</v>
      </c>
      <c r="B12" s="8">
        <v>5000</v>
      </c>
      <c r="C12" s="52"/>
      <c r="D12" t="s">
        <v>76</v>
      </c>
      <c r="E12" s="9">
        <f>E3*B12</f>
        <v>580.349267328602</v>
      </c>
      <c r="F12" s="9">
        <f>F3*B12</f>
        <v>561.2595987916015</v>
      </c>
      <c r="G12" s="9">
        <f>G3*B12</f>
        <v>478.4788344204215</v>
      </c>
      <c r="H12" s="9">
        <f>H3*B12</f>
        <v>433.1616253503332</v>
      </c>
      <c r="I12" s="9">
        <f>I3*B12</f>
        <v>399.60811984078686</v>
      </c>
      <c r="J12" s="9">
        <f>J3*B12</f>
        <v>355.94415206651826</v>
      </c>
      <c r="K12" s="9">
        <f>K3*B12</f>
        <v>294.2867493142479</v>
      </c>
      <c r="L12" s="9">
        <f>L3*B12</f>
        <v>292.54480409787635</v>
      </c>
      <c r="M12" s="9">
        <f>M3*B12</f>
        <v>323.91534331914414</v>
      </c>
      <c r="N12" s="9">
        <f>N3*B12</f>
        <v>351.62973786415125</v>
      </c>
      <c r="O12" s="9">
        <f>O3*B12</f>
        <v>435.1300497110504</v>
      </c>
      <c r="P12" s="9">
        <f>P3*B12</f>
        <v>493.69171789526706</v>
      </c>
      <c r="Q12" s="57">
        <f>SUM(E12:P12)</f>
        <v>5000</v>
      </c>
      <c r="S12" s="53"/>
      <c r="T12" s="53"/>
      <c r="U12" s="53"/>
      <c r="V12" s="53"/>
      <c r="W12" s="53"/>
      <c r="X12" s="53"/>
      <c r="Y12" s="53"/>
      <c r="Z12" s="53"/>
      <c r="AA12" s="53"/>
    </row>
    <row r="13" spans="4:16" ht="14.25">
      <c r="D13" t="s">
        <v>37</v>
      </c>
      <c r="E13" s="4">
        <f>MIN(E12,proposedf1blk1)*proposedf1w1</f>
        <v>1670.6119999999999</v>
      </c>
      <c r="F13" s="4">
        <f>MIN(F12,proposedf1blk1)*proposedf1w1</f>
        <v>1670.6119999999999</v>
      </c>
      <c r="G13">
        <f>MIN(G12,proposedf1blk1)*proposedf1w1</f>
        <v>1670.6119999999999</v>
      </c>
      <c r="H13">
        <f aca="true" t="shared" si="4" ref="H13:N13">MIN(H12,proposedf1blk1)*proposedf1s1</f>
        <v>1519.1399999999999</v>
      </c>
      <c r="I13">
        <f t="shared" si="4"/>
        <v>1519.1399999999999</v>
      </c>
      <c r="J13">
        <f t="shared" si="4"/>
        <v>1519.1399999999999</v>
      </c>
      <c r="K13">
        <f t="shared" si="4"/>
        <v>1519.1399999999999</v>
      </c>
      <c r="L13">
        <f t="shared" si="4"/>
        <v>1519.1399999999999</v>
      </c>
      <c r="M13">
        <f t="shared" si="4"/>
        <v>1519.1399999999999</v>
      </c>
      <c r="N13">
        <f t="shared" si="4"/>
        <v>1519.1399999999999</v>
      </c>
      <c r="O13">
        <f>MIN(O12,proposedf1blk1)*proposedf1w1</f>
        <v>1670.6119999999999</v>
      </c>
      <c r="P13">
        <f>MIN(P12,proposedf1blk1)*proposedf1w1</f>
        <v>1670.6119999999999</v>
      </c>
    </row>
    <row r="14" spans="4:16" ht="14.25">
      <c r="D14" t="s">
        <v>38</v>
      </c>
      <c r="E14">
        <f>MIN(MAX(0,E12-proposedf1blk1),proposedf1blk2)*proposedf1w2</f>
        <v>3111.6107315665795</v>
      </c>
      <c r="F14">
        <f>MIN(MAX(0,F12-proposedf1blk1),proposedf1blk2)*proposedf1w2</f>
        <v>2955.439489542177</v>
      </c>
      <c r="G14">
        <f>MIN(MAX(0,G12-proposedf1blk1),proposedf1blk2)*proposedf1w2</f>
        <v>2278.215850875059</v>
      </c>
      <c r="H14">
        <f aca="true" t="shared" si="5" ref="H14:N14">MIN(MAX(0,H12-proposedf1blk1),proposedf1blk2)*proposedf1s2</f>
        <v>1730.8916471019731</v>
      </c>
      <c r="I14">
        <f t="shared" si="5"/>
        <v>1481.80485020647</v>
      </c>
      <c r="J14">
        <f t="shared" si="5"/>
        <v>1157.662328956443</v>
      </c>
      <c r="K14">
        <f t="shared" si="5"/>
        <v>699.9442836067714</v>
      </c>
      <c r="L14">
        <f t="shared" si="5"/>
        <v>687.012831356872</v>
      </c>
      <c r="M14">
        <f t="shared" si="5"/>
        <v>919.8942252036989</v>
      </c>
      <c r="N14">
        <f t="shared" si="5"/>
        <v>1125.6339731161772</v>
      </c>
      <c r="O14">
        <f>MIN(MAX(0,O12-proposedf1blk1),proposedf1blk2)*proposedf1w2</f>
        <v>1923.5824775826234</v>
      </c>
      <c r="P14">
        <f>MIN(MAX(0,P12-proposedf1blk1),proposedf1blk2)*proposedf1w2</f>
        <v>2402.671385680927</v>
      </c>
    </row>
    <row r="15" spans="4:16" ht="14.25">
      <c r="D15" t="s">
        <v>39</v>
      </c>
      <c r="E15" s="4">
        <f>MAX(0,(E12-proposedf1blk1-proposedf1blk2))*proposedf1w3</f>
        <v>0</v>
      </c>
      <c r="F15" s="4">
        <f>MAX(0,(F12-proposedf1blk1-proposedf1blk2))*proposedf1w3</f>
        <v>0</v>
      </c>
      <c r="G15" s="4">
        <f>MAX(0,(G12-proposedf1blk1-proposedf1blk2))*proposedf1w3</f>
        <v>0</v>
      </c>
      <c r="H15" s="4">
        <f aca="true" t="shared" si="6" ref="H15:N15">MAX(0,(H12-proposedf1blk1-proposedf1blk2))*proposedf1s3</f>
        <v>0</v>
      </c>
      <c r="I15" s="4">
        <f t="shared" si="6"/>
        <v>0</v>
      </c>
      <c r="J15" s="4">
        <f t="shared" si="6"/>
        <v>0</v>
      </c>
      <c r="K15" s="4">
        <f t="shared" si="6"/>
        <v>0</v>
      </c>
      <c r="L15" s="4">
        <f t="shared" si="6"/>
        <v>0</v>
      </c>
      <c r="M15" s="4">
        <f t="shared" si="6"/>
        <v>0</v>
      </c>
      <c r="N15" s="4">
        <f t="shared" si="6"/>
        <v>0</v>
      </c>
      <c r="O15" s="4">
        <f>MAX(0,(O12-proposedf1blk1-proposedf1blk2))*proposedf1w3</f>
        <v>0</v>
      </c>
      <c r="P15" s="4">
        <f>MAX(0,(P12-proposedf1blk1-proposedf1blk2))*proposedf1w3</f>
        <v>0</v>
      </c>
    </row>
    <row r="16" spans="4:17" ht="14.25">
      <c r="D16" t="s">
        <v>52</v>
      </c>
      <c r="E16" s="4">
        <f aca="true" t="shared" si="7" ref="E16:P16">SUM(E13:E15)</f>
        <v>4782.22273156658</v>
      </c>
      <c r="F16" s="4">
        <f t="shared" si="7"/>
        <v>4626.051489542177</v>
      </c>
      <c r="G16">
        <f t="shared" si="7"/>
        <v>3948.827850875059</v>
      </c>
      <c r="H16">
        <f t="shared" si="7"/>
        <v>3250.0316471019732</v>
      </c>
      <c r="I16">
        <f t="shared" si="7"/>
        <v>3000.9448502064697</v>
      </c>
      <c r="J16">
        <f t="shared" si="7"/>
        <v>2676.8023289564426</v>
      </c>
      <c r="K16">
        <f t="shared" si="7"/>
        <v>2219.0842836067714</v>
      </c>
      <c r="L16">
        <f t="shared" si="7"/>
        <v>2206.152831356872</v>
      </c>
      <c r="M16">
        <f t="shared" si="7"/>
        <v>2439.034225203699</v>
      </c>
      <c r="N16">
        <f t="shared" si="7"/>
        <v>2644.7739731161773</v>
      </c>
      <c r="O16">
        <f t="shared" si="7"/>
        <v>3594.194477582623</v>
      </c>
      <c r="P16">
        <f t="shared" si="7"/>
        <v>4073.2833856809266</v>
      </c>
      <c r="Q16" s="58">
        <f>SUM(E16:P16)+F17*12</f>
        <v>40961.40407479578</v>
      </c>
    </row>
    <row r="17" spans="5:6" ht="15">
      <c r="E17" t="s">
        <v>51</v>
      </c>
      <c r="F17" s="59">
        <v>125</v>
      </c>
    </row>
    <row r="19" spans="1:27" ht="15.75">
      <c r="A19" s="52" t="s">
        <v>80</v>
      </c>
      <c r="B19" s="52"/>
      <c r="C19" s="52" t="s">
        <v>145</v>
      </c>
      <c r="D19" s="53" t="s">
        <v>141</v>
      </c>
      <c r="E19" s="2" t="s">
        <v>61</v>
      </c>
      <c r="F19" s="2" t="s">
        <v>62</v>
      </c>
      <c r="G19" s="2" t="s">
        <v>63</v>
      </c>
      <c r="H19" s="2" t="s">
        <v>64</v>
      </c>
      <c r="I19" s="2" t="s">
        <v>65</v>
      </c>
      <c r="J19" s="2" t="s">
        <v>66</v>
      </c>
      <c r="K19" s="2" t="s">
        <v>67</v>
      </c>
      <c r="L19" s="2" t="s">
        <v>68</v>
      </c>
      <c r="M19" s="2" t="s">
        <v>69</v>
      </c>
      <c r="N19" s="2" t="s">
        <v>70</v>
      </c>
      <c r="O19" s="2" t="s">
        <v>71</v>
      </c>
      <c r="P19" s="2" t="s">
        <v>72</v>
      </c>
      <c r="Q19" s="53" t="s">
        <v>158</v>
      </c>
      <c r="S19" s="53"/>
      <c r="T19" s="53"/>
      <c r="U19" s="53"/>
      <c r="V19" s="53"/>
      <c r="W19" s="53"/>
      <c r="X19" s="53"/>
      <c r="Y19" s="53"/>
      <c r="Z19" s="53"/>
      <c r="AA19" s="53"/>
    </row>
    <row r="20" spans="1:27" ht="15.75">
      <c r="A20" s="52" t="s">
        <v>49</v>
      </c>
      <c r="B20" s="60">
        <v>100000</v>
      </c>
      <c r="C20" s="52" t="s">
        <v>144</v>
      </c>
      <c r="D20" s="53"/>
      <c r="E20" s="9">
        <f>E3*B20</f>
        <v>11606.985346572039</v>
      </c>
      <c r="F20" s="9">
        <f>F3*B20</f>
        <v>11225.191975832031</v>
      </c>
      <c r="G20" s="9">
        <f>G3*B20</f>
        <v>9569.57668840843</v>
      </c>
      <c r="H20" s="9">
        <f>H3*B20</f>
        <v>8663.232507006664</v>
      </c>
      <c r="I20" s="9">
        <f>I3*B20</f>
        <v>7992.162396815737</v>
      </c>
      <c r="J20" s="9">
        <f>J3*B20</f>
        <v>7118.883041330365</v>
      </c>
      <c r="K20" s="9">
        <f>K3*B20</f>
        <v>5885.734986284959</v>
      </c>
      <c r="L20" s="9">
        <f>L3*B20</f>
        <v>5850.896081957528</v>
      </c>
      <c r="M20" s="9">
        <f>M3*B20</f>
        <v>6478.306866382883</v>
      </c>
      <c r="N20" s="9">
        <f>N3*B20</f>
        <v>7032.5947572830255</v>
      </c>
      <c r="O20" s="9">
        <f>O3*B20</f>
        <v>8702.600994221008</v>
      </c>
      <c r="P20" s="9">
        <f>P3*B20</f>
        <v>9873.834357905342</v>
      </c>
      <c r="Q20" s="57">
        <f>SUM(E20:P20)</f>
        <v>100000.00000000001</v>
      </c>
      <c r="S20" s="53"/>
      <c r="T20" s="53"/>
      <c r="U20" s="53"/>
      <c r="V20" s="53"/>
      <c r="W20" s="53"/>
      <c r="X20" s="53"/>
      <c r="Y20" s="53"/>
      <c r="Z20" s="53"/>
      <c r="AA20" s="53"/>
    </row>
    <row r="21" spans="4:16" ht="14.25">
      <c r="D21" t="s">
        <v>37</v>
      </c>
      <c r="E21" s="4">
        <f>MIN(E20,proposedf1blk1)*proposedf1w1</f>
        <v>1670.6119999999999</v>
      </c>
      <c r="F21" s="4">
        <f>MIN(F20,proposedf1blk1)*proposedf1w1</f>
        <v>1670.6119999999999</v>
      </c>
      <c r="G21">
        <f>MIN(G20,proposedf1blk1)*proposedf1w1</f>
        <v>1670.6119999999999</v>
      </c>
      <c r="H21">
        <f aca="true" t="shared" si="8" ref="H21:N21">MIN(H20,proposedf1blk1)*proposedf1s1</f>
        <v>1519.1399999999999</v>
      </c>
      <c r="I21">
        <f t="shared" si="8"/>
        <v>1519.1399999999999</v>
      </c>
      <c r="J21">
        <f t="shared" si="8"/>
        <v>1519.1399999999999</v>
      </c>
      <c r="K21">
        <f t="shared" si="8"/>
        <v>1519.1399999999999</v>
      </c>
      <c r="L21">
        <f t="shared" si="8"/>
        <v>1519.1399999999999</v>
      </c>
      <c r="M21">
        <f t="shared" si="8"/>
        <v>1519.1399999999999</v>
      </c>
      <c r="N21">
        <f t="shared" si="8"/>
        <v>1519.1399999999999</v>
      </c>
      <c r="O21">
        <f>MIN(O20,proposedf1blk1)*proposedf1w1</f>
        <v>1670.6119999999999</v>
      </c>
      <c r="P21">
        <f>MIN(P20,proposedf1blk1)*proposedf1w1</f>
        <v>1670.6119999999999</v>
      </c>
    </row>
    <row r="22" spans="4:16" ht="14.25">
      <c r="D22" t="s">
        <v>38</v>
      </c>
      <c r="E22">
        <f>MIN(MAX(0,E20-proposedf1blk1),proposedf1blk2)*proposedf1w2</f>
        <v>14725.674</v>
      </c>
      <c r="F22">
        <f>MIN(MAX(0,F20-proposedf1blk1),proposedf1blk2)*proposedf1w2</f>
        <v>14725.674</v>
      </c>
      <c r="G22">
        <f>MIN(MAX(0,G20-proposedf1blk1),proposedf1blk2)*proposedf1w2</f>
        <v>14725.674</v>
      </c>
      <c r="H22">
        <f aca="true" t="shared" si="9" ref="H22:N22">MIN(MAX(0,H20-proposedf1blk1),proposedf1blk2)*proposedf1s2</f>
        <v>13362.426</v>
      </c>
      <c r="I22">
        <f t="shared" si="9"/>
        <v>13362.426</v>
      </c>
      <c r="J22">
        <f t="shared" si="9"/>
        <v>13362.426</v>
      </c>
      <c r="K22">
        <f t="shared" si="9"/>
        <v>13362.426</v>
      </c>
      <c r="L22">
        <f t="shared" si="9"/>
        <v>13362.426</v>
      </c>
      <c r="M22">
        <f t="shared" si="9"/>
        <v>13362.426</v>
      </c>
      <c r="N22">
        <f t="shared" si="9"/>
        <v>13362.426</v>
      </c>
      <c r="O22">
        <f>MIN(MAX(0,O20-proposedf1blk1),proposedf1blk2)*proposedf1w2</f>
        <v>14725.674</v>
      </c>
      <c r="P22">
        <f>MIN(MAX(0,P20-proposedf1blk1),proposedf1blk2)*proposedf1w2</f>
        <v>14725.674</v>
      </c>
    </row>
    <row r="23" spans="4:16" ht="14.25">
      <c r="D23" t="s">
        <v>39</v>
      </c>
      <c r="E23" s="4">
        <f>MAX(0,(E20-proposedf1blk1-proposedf1blk2))*proposedf1w3</f>
        <v>77932.6336902201</v>
      </c>
      <c r="F23" s="4">
        <f>MAX(0,(F20-proposedf1blk1-proposedf1blk2))*proposedf1w3</f>
        <v>74835.49532330749</v>
      </c>
      <c r="G23" s="4">
        <f>MAX(0,(G20-proposedf1blk1-proposedf1blk2))*proposedf1w3</f>
        <v>61405.01166250424</v>
      </c>
      <c r="H23" s="4">
        <f aca="true" t="shared" si="10" ref="H23:N23">MAX(0,(H20-proposedf1blk1-proposedf1blk2))*proposedf1s3</f>
        <v>49006.209383932044</v>
      </c>
      <c r="I23" s="4">
        <f t="shared" si="10"/>
        <v>44070.67662310864</v>
      </c>
      <c r="J23" s="4">
        <f t="shared" si="10"/>
        <v>37647.95148173326</v>
      </c>
      <c r="K23" s="4">
        <f t="shared" si="10"/>
        <v>28578.49281832971</v>
      </c>
      <c r="L23" s="4">
        <f t="shared" si="10"/>
        <v>28322.262431894665</v>
      </c>
      <c r="M23" s="4">
        <f t="shared" si="10"/>
        <v>32936.693076323514</v>
      </c>
      <c r="N23" s="4">
        <f t="shared" si="10"/>
        <v>37013.32531328461</v>
      </c>
      <c r="O23" s="4">
        <f>MAX(0,(O20-proposedf1blk1-proposedf1blk2))*proposedf1w3</f>
        <v>54372.03547320034</v>
      </c>
      <c r="P23" s="4">
        <f>MAX(0,(P20-proposedf1blk1-proposedf1blk2))*proposedf1w3</f>
        <v>63873.174218076754</v>
      </c>
    </row>
    <row r="24" spans="5:17" ht="14.25">
      <c r="E24" s="4">
        <f aca="true" t="shared" si="11" ref="E24:P24">SUM(E21:E23)</f>
        <v>94328.9196902201</v>
      </c>
      <c r="F24" s="4">
        <f t="shared" si="11"/>
        <v>91231.78132330748</v>
      </c>
      <c r="G24">
        <f t="shared" si="11"/>
        <v>77801.29766250425</v>
      </c>
      <c r="H24">
        <f t="shared" si="11"/>
        <v>63887.77538393204</v>
      </c>
      <c r="I24">
        <f t="shared" si="11"/>
        <v>58952.242623108636</v>
      </c>
      <c r="J24">
        <f t="shared" si="11"/>
        <v>52529.51748173326</v>
      </c>
      <c r="K24">
        <f t="shared" si="11"/>
        <v>43460.05881832971</v>
      </c>
      <c r="L24">
        <f t="shared" si="11"/>
        <v>43203.82843189467</v>
      </c>
      <c r="M24">
        <f t="shared" si="11"/>
        <v>47818.25907632351</v>
      </c>
      <c r="N24">
        <f t="shared" si="11"/>
        <v>51894.89131328461</v>
      </c>
      <c r="O24">
        <f t="shared" si="11"/>
        <v>70768.32147320034</v>
      </c>
      <c r="P24">
        <f t="shared" si="11"/>
        <v>80269.46021807675</v>
      </c>
      <c r="Q24" s="58">
        <f>SUM(E24:P24)+12*F25</f>
        <v>780742.3534959153</v>
      </c>
    </row>
    <row r="25" spans="5:6" ht="15">
      <c r="E25" t="s">
        <v>51</v>
      </c>
      <c r="F25" s="59">
        <v>383</v>
      </c>
    </row>
    <row r="28" spans="3:11" ht="15.75">
      <c r="C28" s="53" t="s">
        <v>28</v>
      </c>
      <c r="D28" s="53" t="s">
        <v>29</v>
      </c>
      <c r="E28" s="53" t="s">
        <v>30</v>
      </c>
      <c r="F28" s="53" t="s">
        <v>31</v>
      </c>
      <c r="G28" s="53" t="s">
        <v>32</v>
      </c>
      <c r="H28" s="53" t="s">
        <v>33</v>
      </c>
      <c r="I28" s="53" t="s">
        <v>34</v>
      </c>
      <c r="J28" s="53" t="s">
        <v>35</v>
      </c>
      <c r="K28" s="53" t="s">
        <v>36</v>
      </c>
    </row>
    <row r="29" spans="2:11" ht="15.75">
      <c r="B29" s="40" t="s">
        <v>86</v>
      </c>
      <c r="C29" s="53">
        <v>200</v>
      </c>
      <c r="D29" s="53">
        <v>1800</v>
      </c>
      <c r="E29" s="53">
        <v>2000</v>
      </c>
      <c r="F29" s="61">
        <f>0.86063+0.94977+6.54266</f>
        <v>8.35306</v>
      </c>
      <c r="G29" s="61">
        <f>0.6885+0.94977+6.54266</f>
        <v>8.18093</v>
      </c>
      <c r="H29" s="61">
        <f>0.61965+0.94977+6.54266</f>
        <v>8.112079999999999</v>
      </c>
      <c r="I29" s="61">
        <f>0.5952+0.45784+6.54266</f>
        <v>7.5957</v>
      </c>
      <c r="J29" s="61">
        <f>0.42307+0.45784+6.54266</f>
        <v>7.42357</v>
      </c>
      <c r="K29" s="61">
        <f>0.35422+0.45784+6.54266</f>
        <v>7.3547199999999995</v>
      </c>
    </row>
    <row r="30" ht="14.25">
      <c r="B30" s="40"/>
    </row>
    <row r="33" ht="14.25">
      <c r="E33" s="72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24"/>
  <sheetViews>
    <sheetView zoomScalePageLayoutView="0" workbookViewId="0" topLeftCell="A4">
      <selection activeCell="F23" sqref="F23"/>
    </sheetView>
  </sheetViews>
  <sheetFormatPr defaultColWidth="9.140625" defaultRowHeight="15"/>
  <cols>
    <col min="1" max="1" width="7.00390625" style="0" customWidth="1"/>
    <col min="2" max="2" width="7.57421875" style="0" customWidth="1"/>
    <col min="3" max="3" width="10.00390625" style="0" customWidth="1"/>
    <col min="4" max="4" width="10.57421875" style="0" customWidth="1"/>
    <col min="5" max="5" width="10.7109375" style="0" customWidth="1"/>
    <col min="6" max="7" width="10.28125" style="0" customWidth="1"/>
    <col min="8" max="8" width="10.57421875" style="0" bestFit="1" customWidth="1"/>
    <col min="9" max="9" width="10.28125" style="0" customWidth="1"/>
    <col min="10" max="11" width="10.57421875" style="0" bestFit="1" customWidth="1"/>
    <col min="12" max="12" width="10.57421875" style="0" customWidth="1"/>
    <col min="13" max="15" width="10.57421875" style="0" bestFit="1" customWidth="1"/>
    <col min="16" max="16" width="14.28125" style="0" bestFit="1" customWidth="1"/>
    <col min="18" max="18" width="9.28125" style="0" bestFit="1" customWidth="1"/>
    <col min="19" max="19" width="9.57421875" style="0" bestFit="1" customWidth="1"/>
    <col min="20" max="21" width="9.7109375" style="0" bestFit="1" customWidth="1"/>
  </cols>
  <sheetData>
    <row r="1" spans="1:16" ht="15.75" thickBot="1">
      <c r="A1" t="s">
        <v>46</v>
      </c>
      <c r="D1" s="15" t="s">
        <v>61</v>
      </c>
      <c r="E1" s="15" t="s">
        <v>62</v>
      </c>
      <c r="F1" s="15" t="s">
        <v>63</v>
      </c>
      <c r="G1" s="15" t="s">
        <v>64</v>
      </c>
      <c r="H1" s="15" t="s">
        <v>65</v>
      </c>
      <c r="I1" s="15" t="s">
        <v>66</v>
      </c>
      <c r="J1" s="14" t="s">
        <v>67</v>
      </c>
      <c r="K1" s="15" t="s">
        <v>68</v>
      </c>
      <c r="L1" s="15" t="s">
        <v>69</v>
      </c>
      <c r="M1" s="15" t="s">
        <v>70</v>
      </c>
      <c r="N1" s="15" t="s">
        <v>71</v>
      </c>
      <c r="O1" s="15" t="s">
        <v>72</v>
      </c>
      <c r="P1" s="16" t="s">
        <v>58</v>
      </c>
    </row>
    <row r="2" spans="1:16" ht="15.75" thickBot="1">
      <c r="A2" s="10" t="s">
        <v>53</v>
      </c>
      <c r="D2" s="13">
        <f>SUBTOTAL(101,'I4 Data'!$H$4:$H$74)</f>
        <v>3360.3818585507247</v>
      </c>
      <c r="E2" s="13">
        <f>SUBTOTAL(101,'I4 Data'!$I$4:$I$74)</f>
        <v>2832.8933155797104</v>
      </c>
      <c r="F2" s="13">
        <f>SUBTOTAL(101,'I4 Data'!$J$4:$J$74)</f>
        <v>2768.0466541285705</v>
      </c>
      <c r="G2" s="13">
        <f>SUBTOTAL(101,'I4 Data'!$K$4:$K$74)</f>
        <v>2398.801906855073</v>
      </c>
      <c r="H2" s="13">
        <f>SUBTOTAL(101,'I4 Data'!$L$4:$L$74)</f>
        <v>2577.501539242857</v>
      </c>
      <c r="I2" s="13">
        <f>SUBTOTAL(101,'I4 Data'!$M$4:$M$74)</f>
        <v>2296.530346900001</v>
      </c>
      <c r="J2" s="13">
        <f>SUBTOTAL(101,'I4 Data'!$B$4:$B$74)</f>
        <v>2630.814512671428</v>
      </c>
      <c r="K2" s="13">
        <f>SUBTOTAL(101,'I4 Data'!$C$4:$C$74)</f>
        <v>2474.4097022857154</v>
      </c>
      <c r="L2" s="13">
        <f>SUBTOTAL(101,'I4 Data'!$D$4:$D$74)</f>
        <v>2207.5593907</v>
      </c>
      <c r="M2" s="13">
        <f>SUBTOTAL(101,'I4 Data'!$E$4:$E$74)</f>
        <v>2475.7963821159415</v>
      </c>
      <c r="N2" s="13">
        <f>SUBTOTAL(101,'I4 Data'!$F$4:$F$74)</f>
        <v>3457.2777012318843</v>
      </c>
      <c r="O2" s="13">
        <f>SUBTOTAL(101,'I4 Data'!$G$4:$G$74)</f>
        <v>3237.423970710143</v>
      </c>
      <c r="P2" s="15">
        <f>SUM(D2:O2)</f>
        <v>32717.43728097205</v>
      </c>
    </row>
    <row r="3" spans="1:15" ht="15">
      <c r="A3" s="10" t="s">
        <v>50</v>
      </c>
      <c r="B3">
        <v>7000</v>
      </c>
      <c r="D3">
        <f>D2/P2</f>
        <v>0.10270920150903964</v>
      </c>
      <c r="E3">
        <f>E2/P2</f>
        <v>0.08658665075908242</v>
      </c>
      <c r="F3">
        <f>F2/P2</f>
        <v>0.0846046293405267</v>
      </c>
      <c r="G3">
        <f>G2/P2</f>
        <v>0.07331875923699496</v>
      </c>
      <c r="H3">
        <f>H2/P2</f>
        <v>0.0787806672358746</v>
      </c>
      <c r="I3">
        <f>I2/P2</f>
        <v>0.07019285548491376</v>
      </c>
      <c r="J3">
        <f>J2/P2</f>
        <v>0.08041016446607413</v>
      </c>
      <c r="K3">
        <f>K2/P2</f>
        <v>0.07562969192959355</v>
      </c>
      <c r="L3">
        <f>L2/P2</f>
        <v>0.06747348124310097</v>
      </c>
      <c r="M3">
        <f>M2/P2</f>
        <v>0.0756720754395952</v>
      </c>
      <c r="N3">
        <f>N2/P2</f>
        <v>0.10567079785440844</v>
      </c>
      <c r="O3">
        <f>O2/P2</f>
        <v>0.0989510255007955</v>
      </c>
    </row>
    <row r="4" spans="1:15" ht="15">
      <c r="A4" s="10"/>
      <c r="C4" t="s">
        <v>57</v>
      </c>
      <c r="D4">
        <f>B3*D3</f>
        <v>718.9644105632775</v>
      </c>
      <c r="E4">
        <f>B3*E3</f>
        <v>606.1065553135769</v>
      </c>
      <c r="F4">
        <f>F3*B3</f>
        <v>592.2324053836869</v>
      </c>
      <c r="G4">
        <f>G3*B3</f>
        <v>513.2313146589647</v>
      </c>
      <c r="H4">
        <f>H3*B3</f>
        <v>551.4646706511222</v>
      </c>
      <c r="I4">
        <f>I3*B3</f>
        <v>491.34998839439635</v>
      </c>
      <c r="J4">
        <f>J3*B3</f>
        <v>562.8711512625189</v>
      </c>
      <c r="K4">
        <f>K3*B3</f>
        <v>529.4078435071549</v>
      </c>
      <c r="L4">
        <f>L3*B3</f>
        <v>472.3143687017068</v>
      </c>
      <c r="M4">
        <f>M3*B3</f>
        <v>529.7045280771664</v>
      </c>
      <c r="N4">
        <f>N3*B3</f>
        <v>739.695584980859</v>
      </c>
      <c r="O4">
        <f>O3*B3</f>
        <v>692.6571785055685</v>
      </c>
    </row>
    <row r="5" spans="3:24" ht="15.75">
      <c r="C5" t="s">
        <v>37</v>
      </c>
      <c r="D5" s="4">
        <f aca="true" t="shared" si="0" ref="D5:O5">MIN(D4,I4julblk1)*I4julblk1cost</f>
        <v>4939.1201387552865</v>
      </c>
      <c r="E5" s="4">
        <f t="shared" si="0"/>
        <v>4163.812630496551</v>
      </c>
      <c r="F5" s="4">
        <f t="shared" si="0"/>
        <v>4068.5004115326906</v>
      </c>
      <c r="G5" s="4">
        <f t="shared" si="0"/>
        <v>3525.781088504716</v>
      </c>
      <c r="H5" s="4">
        <f t="shared" si="0"/>
        <v>3788.4354504989597</v>
      </c>
      <c r="I5" s="4">
        <f t="shared" si="0"/>
        <v>3375.4614097721724</v>
      </c>
      <c r="J5" s="4">
        <f t="shared" si="0"/>
        <v>3866.795348808714</v>
      </c>
      <c r="K5" s="4">
        <f t="shared" si="0"/>
        <v>3636.9101210901476</v>
      </c>
      <c r="L5" s="4">
        <f t="shared" si="0"/>
        <v>3244.6910806759247</v>
      </c>
      <c r="M5" s="4">
        <f t="shared" si="0"/>
        <v>3638.948275848675</v>
      </c>
      <c r="N5" s="4">
        <f t="shared" si="0"/>
        <v>5081.538538833956</v>
      </c>
      <c r="O5" s="4">
        <f t="shared" si="0"/>
        <v>4758.3955051821995</v>
      </c>
      <c r="P5" s="2"/>
      <c r="X5" s="2"/>
    </row>
    <row r="6" spans="3:24" ht="15.75">
      <c r="C6" t="s">
        <v>38</v>
      </c>
      <c r="D6" s="8">
        <f>MIN(MAX(0,D4-I4julblk1)*I4julblk2cost)</f>
        <v>0</v>
      </c>
      <c r="E6" s="8">
        <f aca="true" t="shared" si="1" ref="E6:O6">MIN(MAX(0,E4-I4julblk1)*I4julblk2cost)</f>
        <v>0</v>
      </c>
      <c r="F6" s="8">
        <f t="shared" si="1"/>
        <v>0</v>
      </c>
      <c r="G6" s="8">
        <f t="shared" si="1"/>
        <v>0</v>
      </c>
      <c r="H6" s="8">
        <f t="shared" si="1"/>
        <v>0</v>
      </c>
      <c r="I6" s="8">
        <f t="shared" si="1"/>
        <v>0</v>
      </c>
      <c r="J6" s="8">
        <f t="shared" si="1"/>
        <v>0</v>
      </c>
      <c r="K6" s="8">
        <f t="shared" si="1"/>
        <v>0</v>
      </c>
      <c r="L6" s="8">
        <f t="shared" si="1"/>
        <v>0</v>
      </c>
      <c r="M6" s="8">
        <f t="shared" si="1"/>
        <v>0</v>
      </c>
      <c r="N6" s="8">
        <f t="shared" si="1"/>
        <v>0</v>
      </c>
      <c r="O6" s="8">
        <f t="shared" si="1"/>
        <v>0</v>
      </c>
      <c r="X6" s="2"/>
    </row>
    <row r="7" spans="3:15" ht="14.25">
      <c r="C7" t="s">
        <v>39</v>
      </c>
      <c r="D7" s="8">
        <f aca="true" t="shared" si="2" ref="D7:O7">MAX(0,D4-(I4julblk1+I4julblk2))*I4julblk3cost</f>
        <v>0</v>
      </c>
      <c r="E7" s="8">
        <f t="shared" si="2"/>
        <v>0</v>
      </c>
      <c r="F7" s="8">
        <f t="shared" si="2"/>
        <v>0</v>
      </c>
      <c r="G7" s="8">
        <f t="shared" si="2"/>
        <v>0</v>
      </c>
      <c r="H7" s="8">
        <f t="shared" si="2"/>
        <v>0</v>
      </c>
      <c r="I7" s="8">
        <f t="shared" si="2"/>
        <v>0</v>
      </c>
      <c r="J7" s="8">
        <f t="shared" si="2"/>
        <v>0</v>
      </c>
      <c r="K7" s="8">
        <f t="shared" si="2"/>
        <v>0</v>
      </c>
      <c r="L7" s="8">
        <f t="shared" si="2"/>
        <v>0</v>
      </c>
      <c r="M7" s="8">
        <f t="shared" si="2"/>
        <v>0</v>
      </c>
      <c r="N7" s="8">
        <f t="shared" si="2"/>
        <v>0</v>
      </c>
      <c r="O7" s="8">
        <f t="shared" si="2"/>
        <v>0</v>
      </c>
    </row>
    <row r="8" spans="3:16" ht="14.25">
      <c r="C8" t="s">
        <v>44</v>
      </c>
      <c r="D8" s="4">
        <f aca="true" t="shared" si="3" ref="D8:O8">SUM(D5:D6)</f>
        <v>4939.1201387552865</v>
      </c>
      <c r="E8" s="4">
        <f t="shared" si="3"/>
        <v>4163.812630496551</v>
      </c>
      <c r="F8">
        <f t="shared" si="3"/>
        <v>4068.5004115326906</v>
      </c>
      <c r="G8">
        <f t="shared" si="3"/>
        <v>3525.781088504716</v>
      </c>
      <c r="H8">
        <f t="shared" si="3"/>
        <v>3788.4354504989597</v>
      </c>
      <c r="I8">
        <f t="shared" si="3"/>
        <v>3375.4614097721724</v>
      </c>
      <c r="J8">
        <f t="shared" si="3"/>
        <v>3866.795348808714</v>
      </c>
      <c r="K8">
        <f t="shared" si="3"/>
        <v>3636.9101210901476</v>
      </c>
      <c r="L8">
        <f t="shared" si="3"/>
        <v>3244.6910806759247</v>
      </c>
      <c r="M8">
        <f t="shared" si="3"/>
        <v>3638.948275848675</v>
      </c>
      <c r="N8">
        <f t="shared" si="3"/>
        <v>5081.538538833956</v>
      </c>
      <c r="O8">
        <f t="shared" si="3"/>
        <v>4758.3955051821995</v>
      </c>
      <c r="P8" s="72">
        <f>SUM(D8:O8)+E9*12</f>
        <v>48892.38999999999</v>
      </c>
    </row>
    <row r="9" spans="1:16" ht="15">
      <c r="A9" s="10" t="s">
        <v>50</v>
      </c>
      <c r="B9" s="8">
        <v>25000</v>
      </c>
      <c r="D9" t="s">
        <v>141</v>
      </c>
      <c r="E9">
        <v>67</v>
      </c>
      <c r="P9" s="72"/>
    </row>
    <row r="10" spans="3:16" ht="14.25">
      <c r="C10" t="s">
        <v>57</v>
      </c>
      <c r="D10">
        <f>B9*D3</f>
        <v>2567.730037725991</v>
      </c>
      <c r="E10">
        <f>B9*E3</f>
        <v>2164.6662689770606</v>
      </c>
      <c r="F10">
        <f>F3*B9</f>
        <v>2115.1157335131675</v>
      </c>
      <c r="G10">
        <f>G3*B9</f>
        <v>1832.9689809248741</v>
      </c>
      <c r="H10">
        <f>H3*B9</f>
        <v>1969.516680896865</v>
      </c>
      <c r="I10">
        <f>I3*B9</f>
        <v>1754.821387122844</v>
      </c>
      <c r="J10">
        <f>J3*B9</f>
        <v>2010.2541116518532</v>
      </c>
      <c r="K10">
        <f>K3*B9</f>
        <v>1890.7422982398389</v>
      </c>
      <c r="L10">
        <f>L3*B9</f>
        <v>1686.8370310775242</v>
      </c>
      <c r="M10">
        <f>M3*B9</f>
        <v>1891.80188598988</v>
      </c>
      <c r="N10">
        <f>N3*B9</f>
        <v>2641.769946360211</v>
      </c>
      <c r="O10">
        <f>O3*B9</f>
        <v>2473.7756375198874</v>
      </c>
      <c r="P10" s="101"/>
    </row>
    <row r="11" spans="3:16" ht="14.25">
      <c r="C11" t="s">
        <v>37</v>
      </c>
      <c r="D11" s="4">
        <f aca="true" t="shared" si="4" ref="D11:O11">MIN(D10,I4julblk1)*I4julblk1cost</f>
        <v>6011.04875</v>
      </c>
      <c r="E11" s="4">
        <f t="shared" si="4"/>
        <v>6011.04875</v>
      </c>
      <c r="F11" s="4">
        <f t="shared" si="4"/>
        <v>6011.04875</v>
      </c>
      <c r="G11" s="4">
        <f t="shared" si="4"/>
        <v>6011.04875</v>
      </c>
      <c r="H11" s="4">
        <f t="shared" si="4"/>
        <v>6011.04875</v>
      </c>
      <c r="I11" s="4">
        <f t="shared" si="4"/>
        <v>6011.04875</v>
      </c>
      <c r="J11" s="4">
        <f t="shared" si="4"/>
        <v>6011.04875</v>
      </c>
      <c r="K11" s="4">
        <f t="shared" si="4"/>
        <v>6011.04875</v>
      </c>
      <c r="L11" s="4">
        <f t="shared" si="4"/>
        <v>6011.04875</v>
      </c>
      <c r="M11" s="4">
        <f t="shared" si="4"/>
        <v>6011.04875</v>
      </c>
      <c r="N11" s="4">
        <f t="shared" si="4"/>
        <v>6011.04875</v>
      </c>
      <c r="O11" s="4">
        <f t="shared" si="4"/>
        <v>6011.04875</v>
      </c>
      <c r="P11" s="72"/>
    </row>
    <row r="12" spans="3:16" ht="14.25">
      <c r="C12" t="s">
        <v>38</v>
      </c>
      <c r="D12" s="8">
        <f aca="true" t="shared" si="5" ref="D12:O12">MIN(MAX(0,D10-I4julblk1))*I4julblk2cost</f>
        <v>11604.578482832041</v>
      </c>
      <c r="E12" s="8">
        <f t="shared" si="5"/>
        <v>8841.358693622997</v>
      </c>
      <c r="F12" s="8">
        <f t="shared" si="5"/>
        <v>8501.66301572886</v>
      </c>
      <c r="G12" s="8">
        <f t="shared" si="5"/>
        <v>6567.3946674897115</v>
      </c>
      <c r="H12" s="8">
        <f t="shared" si="5"/>
        <v>7503.502886555693</v>
      </c>
      <c r="I12" s="8">
        <f t="shared" si="5"/>
        <v>6031.650712276142</v>
      </c>
      <c r="J12" s="8">
        <f t="shared" si="5"/>
        <v>7782.779972593746</v>
      </c>
      <c r="K12" s="8">
        <f t="shared" si="5"/>
        <v>6963.461955275145</v>
      </c>
      <c r="L12" s="8">
        <f t="shared" si="5"/>
        <v>5565.58124003321</v>
      </c>
      <c r="M12" s="8">
        <f t="shared" si="5"/>
        <v>6970.726001479062</v>
      </c>
      <c r="N12" s="8">
        <f t="shared" si="5"/>
        <v>12112.16203807028</v>
      </c>
      <c r="O12" s="8">
        <f t="shared" si="5"/>
        <v>10960.470334043088</v>
      </c>
      <c r="P12" s="72"/>
    </row>
    <row r="13" spans="3:16" ht="14.25">
      <c r="C13" t="s">
        <v>39</v>
      </c>
      <c r="D13" s="8">
        <f aca="true" t="shared" si="6" ref="D13:O13">MAX(0,D10-(I4julblk1+I4julblk2))*I4julblk3cost</f>
        <v>0</v>
      </c>
      <c r="E13" s="8">
        <f t="shared" si="6"/>
        <v>0</v>
      </c>
      <c r="F13" s="8">
        <f t="shared" si="6"/>
        <v>0</v>
      </c>
      <c r="G13" s="8">
        <f t="shared" si="6"/>
        <v>0</v>
      </c>
      <c r="H13" s="8">
        <f t="shared" si="6"/>
        <v>0</v>
      </c>
      <c r="I13" s="8">
        <f t="shared" si="6"/>
        <v>0</v>
      </c>
      <c r="J13" s="8">
        <f t="shared" si="6"/>
        <v>0</v>
      </c>
      <c r="K13" s="8">
        <f t="shared" si="6"/>
        <v>0</v>
      </c>
      <c r="L13" s="8">
        <f t="shared" si="6"/>
        <v>0</v>
      </c>
      <c r="M13" s="8">
        <f t="shared" si="6"/>
        <v>0</v>
      </c>
      <c r="N13" s="8">
        <f t="shared" si="6"/>
        <v>0</v>
      </c>
      <c r="O13" s="8">
        <f t="shared" si="6"/>
        <v>0</v>
      </c>
      <c r="P13" s="72"/>
    </row>
    <row r="14" spans="3:16" ht="14.25">
      <c r="C14" t="s">
        <v>44</v>
      </c>
      <c r="D14" s="4">
        <f aca="true" t="shared" si="7" ref="D14:O14">SUM(D11:D12)</f>
        <v>17615.62723283204</v>
      </c>
      <c r="E14" s="4">
        <f t="shared" si="7"/>
        <v>14852.407443622997</v>
      </c>
      <c r="F14">
        <f t="shared" si="7"/>
        <v>14512.71176572886</v>
      </c>
      <c r="G14">
        <f t="shared" si="7"/>
        <v>12578.44341748971</v>
      </c>
      <c r="H14">
        <f t="shared" si="7"/>
        <v>13514.551636555694</v>
      </c>
      <c r="I14">
        <f t="shared" si="7"/>
        <v>12042.699462276141</v>
      </c>
      <c r="J14">
        <f t="shared" si="7"/>
        <v>13793.828722593746</v>
      </c>
      <c r="K14">
        <f t="shared" si="7"/>
        <v>12974.510705275145</v>
      </c>
      <c r="L14">
        <f t="shared" si="7"/>
        <v>11576.629990033209</v>
      </c>
      <c r="M14">
        <f t="shared" si="7"/>
        <v>12981.77475147906</v>
      </c>
      <c r="N14">
        <f t="shared" si="7"/>
        <v>18123.210788070282</v>
      </c>
      <c r="O14">
        <f t="shared" si="7"/>
        <v>16971.519084043088</v>
      </c>
      <c r="P14" s="72">
        <f>SUM(D14:O14)+E15*12</f>
        <v>172341.91499999998</v>
      </c>
    </row>
    <row r="15" spans="1:16" ht="15">
      <c r="A15" s="10" t="s">
        <v>50</v>
      </c>
      <c r="B15" s="8">
        <v>150000</v>
      </c>
      <c r="D15" t="s">
        <v>141</v>
      </c>
      <c r="E15">
        <v>67</v>
      </c>
      <c r="P15" s="72"/>
    </row>
    <row r="16" spans="3:16" ht="14.25">
      <c r="C16" t="s">
        <v>57</v>
      </c>
      <c r="D16" s="123">
        <f>B15*D3</f>
        <v>15406.380226355946</v>
      </c>
      <c r="E16" s="123">
        <f>E3*B15</f>
        <v>12987.997613862364</v>
      </c>
      <c r="F16" s="123">
        <f>B15*F3</f>
        <v>12690.694401079005</v>
      </c>
      <c r="G16" s="123">
        <f>B15*G3</f>
        <v>10997.813885549245</v>
      </c>
      <c r="H16" s="123">
        <f>B15*H3</f>
        <v>11817.10008538119</v>
      </c>
      <c r="I16" s="124">
        <f>B15*I3</f>
        <v>10528.928322737063</v>
      </c>
      <c r="J16" s="123">
        <f>B15*J3</f>
        <v>12061.52466991112</v>
      </c>
      <c r="K16" s="123">
        <f>B15*K3</f>
        <v>11344.453789439032</v>
      </c>
      <c r="L16" s="123">
        <f>L3*B15</f>
        <v>10121.022186465147</v>
      </c>
      <c r="M16" s="123">
        <f>B15*M3</f>
        <v>11350.81131593928</v>
      </c>
      <c r="N16" s="123">
        <f>B15*N3</f>
        <v>15850.619678161267</v>
      </c>
      <c r="O16" s="123">
        <f>O3*B15</f>
        <v>14842.653825119325</v>
      </c>
      <c r="P16" s="72"/>
    </row>
    <row r="17" spans="3:16" ht="14.25">
      <c r="C17" t="s">
        <v>37</v>
      </c>
      <c r="D17" s="4">
        <f aca="true" t="shared" si="8" ref="D17:O17">MIN(D16,I4julblk1)*I4julblk1cost</f>
        <v>6011.04875</v>
      </c>
      <c r="E17" s="4">
        <f t="shared" si="8"/>
        <v>6011.04875</v>
      </c>
      <c r="F17" s="4">
        <f t="shared" si="8"/>
        <v>6011.04875</v>
      </c>
      <c r="G17" s="4">
        <f t="shared" si="8"/>
        <v>6011.04875</v>
      </c>
      <c r="H17" s="4">
        <f t="shared" si="8"/>
        <v>6011.04875</v>
      </c>
      <c r="I17" s="4">
        <f t="shared" si="8"/>
        <v>6011.04875</v>
      </c>
      <c r="J17" s="4">
        <f t="shared" si="8"/>
        <v>6011.04875</v>
      </c>
      <c r="K17" s="4">
        <f t="shared" si="8"/>
        <v>6011.04875</v>
      </c>
      <c r="L17" s="4">
        <f t="shared" si="8"/>
        <v>6011.04875</v>
      </c>
      <c r="M17" s="4">
        <f t="shared" si="8"/>
        <v>6011.04875</v>
      </c>
      <c r="N17" s="4">
        <f t="shared" si="8"/>
        <v>6011.04875</v>
      </c>
      <c r="O17" s="4">
        <f t="shared" si="8"/>
        <v>6011.04875</v>
      </c>
      <c r="P17" s="72"/>
    </row>
    <row r="18" spans="3:16" ht="14.25">
      <c r="C18" t="s">
        <v>38</v>
      </c>
      <c r="D18" s="8">
        <f aca="true" t="shared" si="9" ref="D18:O18">MIN(MAX(0,D16-I4julblk1))*I4julblk2cost</f>
        <v>99620.45839699224</v>
      </c>
      <c r="E18" s="8">
        <f t="shared" si="9"/>
        <v>83041.13966173798</v>
      </c>
      <c r="F18" s="8">
        <f t="shared" si="9"/>
        <v>81002.96559437315</v>
      </c>
      <c r="G18" s="8">
        <f t="shared" si="9"/>
        <v>69397.35550493827</v>
      </c>
      <c r="H18" s="8">
        <f t="shared" si="9"/>
        <v>75014.00481933415</v>
      </c>
      <c r="I18" s="8">
        <f t="shared" si="9"/>
        <v>66182.89177365684</v>
      </c>
      <c r="J18" s="8">
        <f t="shared" si="9"/>
        <v>76689.66733556247</v>
      </c>
      <c r="K18" s="8">
        <f t="shared" si="9"/>
        <v>71773.75923165085</v>
      </c>
      <c r="L18" s="8">
        <f t="shared" si="9"/>
        <v>63386.47494019927</v>
      </c>
      <c r="M18" s="8">
        <f t="shared" si="9"/>
        <v>71817.34350887436</v>
      </c>
      <c r="N18" s="8">
        <f t="shared" si="9"/>
        <v>102665.95972842169</v>
      </c>
      <c r="O18" s="8">
        <f t="shared" si="9"/>
        <v>95755.80950425853</v>
      </c>
      <c r="P18" s="72"/>
    </row>
    <row r="19" spans="3:16" ht="14.25">
      <c r="C19" t="s">
        <v>39</v>
      </c>
      <c r="D19" s="8">
        <f aca="true" t="shared" si="10" ref="D19:O19">MAX(0,D16-(I4julblk1+I4julblk2))*I4julblk3cost</f>
        <v>0</v>
      </c>
      <c r="E19" s="8">
        <f t="shared" si="10"/>
        <v>0</v>
      </c>
      <c r="F19" s="8">
        <f t="shared" si="10"/>
        <v>0</v>
      </c>
      <c r="G19" s="8">
        <f t="shared" si="10"/>
        <v>0</v>
      </c>
      <c r="H19" s="8">
        <f t="shared" si="10"/>
        <v>0</v>
      </c>
      <c r="I19" s="8">
        <f t="shared" si="10"/>
        <v>0</v>
      </c>
      <c r="J19" s="8">
        <f t="shared" si="10"/>
        <v>0</v>
      </c>
      <c r="K19" s="8">
        <f t="shared" si="10"/>
        <v>0</v>
      </c>
      <c r="L19" s="8">
        <f t="shared" si="10"/>
        <v>0</v>
      </c>
      <c r="M19" s="8">
        <f t="shared" si="10"/>
        <v>0</v>
      </c>
      <c r="N19" s="8">
        <f t="shared" si="10"/>
        <v>0</v>
      </c>
      <c r="O19" s="8">
        <f t="shared" si="10"/>
        <v>0</v>
      </c>
      <c r="P19" s="72"/>
    </row>
    <row r="20" spans="3:16" ht="14.25">
      <c r="C20" t="s">
        <v>44</v>
      </c>
      <c r="D20" s="4">
        <f aca="true" t="shared" si="11" ref="D20:O20">SUM(D17:D18)</f>
        <v>105631.50714699224</v>
      </c>
      <c r="E20" s="4">
        <f>SUM(E15:E19)</f>
        <v>102107.18602560034</v>
      </c>
      <c r="F20">
        <f t="shared" si="11"/>
        <v>87014.01434437315</v>
      </c>
      <c r="G20">
        <f t="shared" si="11"/>
        <v>75408.40425493827</v>
      </c>
      <c r="H20">
        <f t="shared" si="11"/>
        <v>81025.05356933415</v>
      </c>
      <c r="I20">
        <f t="shared" si="11"/>
        <v>72193.94052365684</v>
      </c>
      <c r="J20">
        <f t="shared" si="11"/>
        <v>82700.71608556247</v>
      </c>
      <c r="K20">
        <f t="shared" si="11"/>
        <v>77784.80798165085</v>
      </c>
      <c r="L20">
        <f t="shared" si="11"/>
        <v>69397.52369019926</v>
      </c>
      <c r="M20">
        <f t="shared" si="11"/>
        <v>77828.39225887436</v>
      </c>
      <c r="N20">
        <f t="shared" si="11"/>
        <v>108677.00847842169</v>
      </c>
      <c r="O20">
        <f t="shared" si="11"/>
        <v>101766.85825425854</v>
      </c>
      <c r="P20" s="72">
        <f>SUM(D20:O20)+E21*12</f>
        <v>1044823.4126138622</v>
      </c>
    </row>
    <row r="21" spans="4:5" ht="14.25">
      <c r="D21" t="s">
        <v>141</v>
      </c>
      <c r="E21">
        <v>274</v>
      </c>
    </row>
    <row r="22" spans="3:8" ht="15.75">
      <c r="C22" s="2" t="s">
        <v>28</v>
      </c>
      <c r="D22" s="2" t="s">
        <v>29</v>
      </c>
      <c r="E22" s="2" t="s">
        <v>30</v>
      </c>
      <c r="F22" s="2" t="s">
        <v>54</v>
      </c>
      <c r="G22" s="2" t="s">
        <v>55</v>
      </c>
      <c r="H22" s="2" t="s">
        <v>56</v>
      </c>
    </row>
    <row r="23" spans="2:8" ht="14.25">
      <c r="B23" s="42">
        <v>39630</v>
      </c>
      <c r="C23">
        <v>875</v>
      </c>
      <c r="D23" s="8">
        <v>121625</v>
      </c>
      <c r="E23" s="8">
        <v>122500</v>
      </c>
      <c r="F23">
        <f>0.14506+0.18205+6.54266</f>
        <v>6.86977</v>
      </c>
      <c r="G23">
        <f>0.13083+0.18205+6.54266</f>
        <v>6.8555399999999995</v>
      </c>
      <c r="H23">
        <f>0.12053+0.18205+6.54266</f>
        <v>6.8452399999999995</v>
      </c>
    </row>
    <row r="24" ht="14.25">
      <c r="D24" t="s">
        <v>193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B1">
      <selection activeCell="D13" sqref="D13"/>
    </sheetView>
  </sheetViews>
  <sheetFormatPr defaultColWidth="9.140625" defaultRowHeight="15"/>
  <cols>
    <col min="1" max="1" width="7.00390625" style="0" customWidth="1"/>
    <col min="2" max="2" width="7.57421875" style="0" customWidth="1"/>
    <col min="3" max="3" width="10.00390625" style="0" customWidth="1"/>
    <col min="4" max="4" width="10.57421875" style="0" customWidth="1"/>
    <col min="5" max="5" width="10.7109375" style="0" customWidth="1"/>
    <col min="6" max="7" width="10.28125" style="0" customWidth="1"/>
    <col min="8" max="8" width="10.57421875" style="0" bestFit="1" customWidth="1"/>
    <col min="9" max="9" width="10.28125" style="0" customWidth="1"/>
    <col min="10" max="11" width="10.57421875" style="0" bestFit="1" customWidth="1"/>
    <col min="12" max="12" width="10.57421875" style="0" customWidth="1"/>
    <col min="13" max="15" width="10.57421875" style="0" bestFit="1" customWidth="1"/>
    <col min="16" max="16" width="14.28125" style="0" bestFit="1" customWidth="1"/>
    <col min="18" max="18" width="9.28125" style="0" bestFit="1" customWidth="1"/>
    <col min="19" max="19" width="9.57421875" style="0" bestFit="1" customWidth="1"/>
    <col min="20" max="21" width="9.7109375" style="0" bestFit="1" customWidth="1"/>
  </cols>
  <sheetData>
    <row r="1" spans="1:16" ht="15.75" thickBot="1">
      <c r="A1" t="s">
        <v>46</v>
      </c>
      <c r="D1" s="15" t="s">
        <v>61</v>
      </c>
      <c r="E1" s="15" t="s">
        <v>62</v>
      </c>
      <c r="F1" s="15" t="s">
        <v>63</v>
      </c>
      <c r="G1" s="15" t="s">
        <v>64</v>
      </c>
      <c r="H1" s="15" t="s">
        <v>65</v>
      </c>
      <c r="I1" s="15" t="s">
        <v>66</v>
      </c>
      <c r="J1" s="14" t="s">
        <v>67</v>
      </c>
      <c r="K1" s="15" t="s">
        <v>68</v>
      </c>
      <c r="L1" s="15" t="s">
        <v>69</v>
      </c>
      <c r="M1" s="15" t="s">
        <v>70</v>
      </c>
      <c r="N1" s="15" t="s">
        <v>71</v>
      </c>
      <c r="O1" s="15" t="s">
        <v>72</v>
      </c>
      <c r="P1" s="16" t="s">
        <v>73</v>
      </c>
    </row>
    <row r="2" spans="1:16" ht="15.75" thickBot="1">
      <c r="A2" s="10" t="s">
        <v>53</v>
      </c>
      <c r="D2" s="13">
        <f>SUBTOTAL(101,'I4 Data'!$H$4:$H$74)</f>
        <v>3360.3818585507247</v>
      </c>
      <c r="E2" s="13">
        <f>SUBTOTAL(101,'I4 Data'!$I$4:$I$74)</f>
        <v>2832.8933155797104</v>
      </c>
      <c r="F2" s="13">
        <f>SUBTOTAL(101,'I4 Data'!$J$4:$J$74)</f>
        <v>2768.0466541285705</v>
      </c>
      <c r="G2" s="13">
        <f>SUBTOTAL(101,'I4 Data'!$K$4:$K$74)</f>
        <v>2398.801906855073</v>
      </c>
      <c r="H2" s="13">
        <f>SUBTOTAL(101,'I4 Data'!$L$4:$L$74)</f>
        <v>2577.501539242857</v>
      </c>
      <c r="I2" s="13">
        <f>SUBTOTAL(101,'I4 Data'!$M$4:$M$74)</f>
        <v>2296.530346900001</v>
      </c>
      <c r="J2" s="13">
        <f>SUBTOTAL(101,'I4 Data'!$B$4:$B$74)</f>
        <v>2630.814512671428</v>
      </c>
      <c r="K2" s="13">
        <f>SUBTOTAL(101,'I4 Data'!$C$4:$C$74)</f>
        <v>2474.4097022857154</v>
      </c>
      <c r="L2" s="13">
        <f>SUBTOTAL(101,'I4 Data'!$D$4:$D$74)</f>
        <v>2207.5593907</v>
      </c>
      <c r="M2" s="13">
        <f>SUBTOTAL(101,'I4 Data'!$E$4:$E$74)</f>
        <v>2475.7963821159415</v>
      </c>
      <c r="N2" s="13">
        <f>SUBTOTAL(101,'I4 Data'!$F$4:$F$74)</f>
        <v>3457.2777012318843</v>
      </c>
      <c r="O2" s="13">
        <f>SUBTOTAL(101,'I4 Data'!$G$4:$G$74)</f>
        <v>3237.423970710143</v>
      </c>
      <c r="P2" s="15">
        <f>SUM(D2:O2)</f>
        <v>32717.43728097205</v>
      </c>
    </row>
    <row r="3" spans="1:15" ht="15">
      <c r="A3" s="10" t="s">
        <v>50</v>
      </c>
      <c r="B3">
        <v>7000</v>
      </c>
      <c r="D3">
        <f>D2/P2</f>
        <v>0.10270920150903964</v>
      </c>
      <c r="E3">
        <f>E2/P2</f>
        <v>0.08658665075908242</v>
      </c>
      <c r="F3">
        <f>F2/P2</f>
        <v>0.0846046293405267</v>
      </c>
      <c r="G3">
        <f>G2/P2</f>
        <v>0.07331875923699496</v>
      </c>
      <c r="H3">
        <f>H2/P2</f>
        <v>0.0787806672358746</v>
      </c>
      <c r="I3">
        <f>I2/P2</f>
        <v>0.07019285548491376</v>
      </c>
      <c r="J3">
        <f>J2/P2</f>
        <v>0.08041016446607413</v>
      </c>
      <c r="K3">
        <f>K2/P2</f>
        <v>0.07562969192959355</v>
      </c>
      <c r="L3">
        <f>L2/P2</f>
        <v>0.06747348124310097</v>
      </c>
      <c r="M3">
        <f>M2/P2</f>
        <v>0.0756720754395952</v>
      </c>
      <c r="N3">
        <f>N2/P2</f>
        <v>0.10567079785440844</v>
      </c>
      <c r="O3">
        <f>O2/P2</f>
        <v>0.0989510255007955</v>
      </c>
    </row>
    <row r="4" spans="1:15" ht="15">
      <c r="A4" s="10"/>
      <c r="C4" t="s">
        <v>57</v>
      </c>
      <c r="D4">
        <f>B3*D3</f>
        <v>718.9644105632775</v>
      </c>
      <c r="E4">
        <f>B3*E3</f>
        <v>606.1065553135769</v>
      </c>
      <c r="F4">
        <f>F3*B3</f>
        <v>592.2324053836869</v>
      </c>
      <c r="G4">
        <f>G3*B3</f>
        <v>513.2313146589647</v>
      </c>
      <c r="H4">
        <f>H3*B3</f>
        <v>551.4646706511222</v>
      </c>
      <c r="I4">
        <f>I3*B3</f>
        <v>491.34998839439635</v>
      </c>
      <c r="J4">
        <f>J3*B3</f>
        <v>562.8711512625189</v>
      </c>
      <c r="K4">
        <f>K3*B3</f>
        <v>529.4078435071549</v>
      </c>
      <c r="L4">
        <f>L3*B3</f>
        <v>472.3143687017068</v>
      </c>
      <c r="M4">
        <f>M3*B3</f>
        <v>529.7045280771664</v>
      </c>
      <c r="N4">
        <f>N3*B3</f>
        <v>739.695584980859</v>
      </c>
      <c r="O4">
        <f>O3*B3</f>
        <v>692.6571785055685</v>
      </c>
    </row>
    <row r="5" spans="3:24" ht="15.75">
      <c r="C5" t="s">
        <v>37</v>
      </c>
      <c r="D5" s="4">
        <f aca="true" t="shared" si="0" ref="D5:O5">MIN(D4,I4blk1)*I4blk1cost</f>
        <v>4948.236607481229</v>
      </c>
      <c r="E5" s="4">
        <f t="shared" si="0"/>
        <v>4171.498061617927</v>
      </c>
      <c r="F5" s="4">
        <f t="shared" si="0"/>
        <v>4076.0099184329556</v>
      </c>
      <c r="G5" s="4">
        <f t="shared" si="0"/>
        <v>3532.2888615745915</v>
      </c>
      <c r="H5" s="4">
        <f t="shared" si="0"/>
        <v>3795.428022522816</v>
      </c>
      <c r="I5" s="4">
        <f t="shared" si="0"/>
        <v>3381.691727625013</v>
      </c>
      <c r="J5" s="4">
        <f t="shared" si="0"/>
        <v>3873.932555006723</v>
      </c>
      <c r="K5" s="4">
        <f t="shared" si="0"/>
        <v>3643.623012545818</v>
      </c>
      <c r="L5" s="4">
        <f t="shared" si="0"/>
        <v>3250.6800268710617</v>
      </c>
      <c r="M5" s="4">
        <f t="shared" si="0"/>
        <v>3645.6649292646935</v>
      </c>
      <c r="N5" s="4">
        <f t="shared" si="0"/>
        <v>5090.917878851513</v>
      </c>
      <c r="O5" s="4">
        <f t="shared" si="0"/>
        <v>4767.1783982056495</v>
      </c>
      <c r="P5" s="2"/>
      <c r="X5" s="2"/>
    </row>
    <row r="6" spans="3:24" ht="15.75">
      <c r="C6" t="s">
        <v>38</v>
      </c>
      <c r="D6" s="8">
        <f>MIN(MAX(0,D4-I4blk1)*I4blk2cost)</f>
        <v>0</v>
      </c>
      <c r="E6" s="8">
        <f aca="true" t="shared" si="1" ref="E6:O6">MIN(MAX(0,E4-I4blk1)*I4blk2cost)</f>
        <v>0</v>
      </c>
      <c r="F6" s="8">
        <f t="shared" si="1"/>
        <v>0</v>
      </c>
      <c r="G6" s="8">
        <f t="shared" si="1"/>
        <v>0</v>
      </c>
      <c r="H6" s="8">
        <f t="shared" si="1"/>
        <v>0</v>
      </c>
      <c r="I6" s="8">
        <f t="shared" si="1"/>
        <v>0</v>
      </c>
      <c r="J6" s="8">
        <f t="shared" si="1"/>
        <v>0</v>
      </c>
      <c r="K6" s="8">
        <f t="shared" si="1"/>
        <v>0</v>
      </c>
      <c r="L6" s="8">
        <f t="shared" si="1"/>
        <v>0</v>
      </c>
      <c r="M6" s="8">
        <f t="shared" si="1"/>
        <v>0</v>
      </c>
      <c r="N6" s="8">
        <f t="shared" si="1"/>
        <v>0</v>
      </c>
      <c r="O6" s="8">
        <f t="shared" si="1"/>
        <v>0</v>
      </c>
      <c r="X6" s="2"/>
    </row>
    <row r="7" spans="3:15" ht="14.25">
      <c r="C7" t="s">
        <v>39</v>
      </c>
      <c r="D7" s="8">
        <f aca="true" t="shared" si="2" ref="D7:O7">MAX(0,D4-(I4blk1+I4blk2))*I4blk3cost</f>
        <v>0</v>
      </c>
      <c r="E7" s="8">
        <f t="shared" si="2"/>
        <v>0</v>
      </c>
      <c r="F7" s="8">
        <f t="shared" si="2"/>
        <v>0</v>
      </c>
      <c r="G7" s="8">
        <f t="shared" si="2"/>
        <v>0</v>
      </c>
      <c r="H7" s="8">
        <f t="shared" si="2"/>
        <v>0</v>
      </c>
      <c r="I7" s="8">
        <f t="shared" si="2"/>
        <v>0</v>
      </c>
      <c r="J7" s="8">
        <f t="shared" si="2"/>
        <v>0</v>
      </c>
      <c r="K7" s="8">
        <f t="shared" si="2"/>
        <v>0</v>
      </c>
      <c r="L7" s="8">
        <f t="shared" si="2"/>
        <v>0</v>
      </c>
      <c r="M7" s="8">
        <f t="shared" si="2"/>
        <v>0</v>
      </c>
      <c r="N7" s="8">
        <f t="shared" si="2"/>
        <v>0</v>
      </c>
      <c r="O7" s="8">
        <f t="shared" si="2"/>
        <v>0</v>
      </c>
    </row>
    <row r="8" spans="3:16" ht="14.25">
      <c r="C8" t="s">
        <v>44</v>
      </c>
      <c r="D8" s="4">
        <f aca="true" t="shared" si="3" ref="D8:O8">SUM(D5:D6)</f>
        <v>4948.236607481229</v>
      </c>
      <c r="E8" s="4">
        <f t="shared" si="3"/>
        <v>4171.498061617927</v>
      </c>
      <c r="F8">
        <f t="shared" si="3"/>
        <v>4076.0099184329556</v>
      </c>
      <c r="G8">
        <f t="shared" si="3"/>
        <v>3532.2888615745915</v>
      </c>
      <c r="H8">
        <f t="shared" si="3"/>
        <v>3795.428022522816</v>
      </c>
      <c r="I8">
        <f t="shared" si="3"/>
        <v>3381.691727625013</v>
      </c>
      <c r="J8">
        <f t="shared" si="3"/>
        <v>3873.932555006723</v>
      </c>
      <c r="K8">
        <f t="shared" si="3"/>
        <v>3643.623012545818</v>
      </c>
      <c r="L8">
        <f t="shared" si="3"/>
        <v>3250.6800268710617</v>
      </c>
      <c r="M8">
        <f t="shared" si="3"/>
        <v>3645.6649292646935</v>
      </c>
      <c r="N8">
        <f t="shared" si="3"/>
        <v>5090.917878851513</v>
      </c>
      <c r="O8">
        <f t="shared" si="3"/>
        <v>4767.1783982056495</v>
      </c>
      <c r="P8" s="18">
        <f>SUM(D8:O8)+E9*12</f>
        <v>48981.14999999999</v>
      </c>
    </row>
    <row r="9" spans="1:16" ht="15">
      <c r="A9" s="10" t="s">
        <v>50</v>
      </c>
      <c r="B9" s="8">
        <v>25000</v>
      </c>
      <c r="D9" t="s">
        <v>141</v>
      </c>
      <c r="E9">
        <v>67</v>
      </c>
      <c r="P9" s="18"/>
    </row>
    <row r="10" spans="3:16" ht="14.25">
      <c r="C10" t="s">
        <v>57</v>
      </c>
      <c r="D10">
        <f>B9*D3</f>
        <v>2567.730037725991</v>
      </c>
      <c r="E10">
        <f>B9*E3</f>
        <v>2164.6662689770606</v>
      </c>
      <c r="F10">
        <f>F3*B9</f>
        <v>2115.1157335131675</v>
      </c>
      <c r="G10">
        <f>G3*B9</f>
        <v>1832.9689809248741</v>
      </c>
      <c r="H10">
        <f>H3*B9</f>
        <v>1969.516680896865</v>
      </c>
      <c r="I10">
        <f>I3*B9</f>
        <v>1754.821387122844</v>
      </c>
      <c r="J10">
        <f>J3*B9</f>
        <v>2010.2541116518532</v>
      </c>
      <c r="K10">
        <f>K3*B9</f>
        <v>1890.7422982398389</v>
      </c>
      <c r="L10">
        <f>L3*B9</f>
        <v>1686.8370310775242</v>
      </c>
      <c r="M10">
        <f>M3*B9</f>
        <v>1891.80188598988</v>
      </c>
      <c r="N10">
        <f>N3*B9</f>
        <v>2641.769946360211</v>
      </c>
      <c r="O10">
        <f>O3*B9</f>
        <v>2473.7756375198874</v>
      </c>
      <c r="P10" s="19"/>
    </row>
    <row r="11" spans="3:16" ht="14.25">
      <c r="C11" t="s">
        <v>37</v>
      </c>
      <c r="D11" s="4">
        <f aca="true" t="shared" si="4" ref="D11:O11">MIN(D10,I4blk1)*I4blk1cost</f>
        <v>6022.143749999999</v>
      </c>
      <c r="E11" s="4">
        <f t="shared" si="4"/>
        <v>6022.143749999999</v>
      </c>
      <c r="F11" s="4">
        <f t="shared" si="4"/>
        <v>6022.143749999999</v>
      </c>
      <c r="G11" s="4">
        <f t="shared" si="4"/>
        <v>6022.143749999999</v>
      </c>
      <c r="H11" s="4">
        <f t="shared" si="4"/>
        <v>6022.143749999999</v>
      </c>
      <c r="I11" s="4">
        <f t="shared" si="4"/>
        <v>6022.143749999999</v>
      </c>
      <c r="J11" s="4">
        <f t="shared" si="4"/>
        <v>6022.143749999999</v>
      </c>
      <c r="K11" s="4">
        <f t="shared" si="4"/>
        <v>6022.143749999999</v>
      </c>
      <c r="L11" s="4">
        <f t="shared" si="4"/>
        <v>6022.143749999999</v>
      </c>
      <c r="M11" s="4">
        <f t="shared" si="4"/>
        <v>6022.143749999999</v>
      </c>
      <c r="N11" s="4">
        <f t="shared" si="4"/>
        <v>6022.143749999999</v>
      </c>
      <c r="O11" s="4">
        <f t="shared" si="4"/>
        <v>6022.143749999999</v>
      </c>
      <c r="P11" s="18"/>
    </row>
    <row r="12" spans="3:16" ht="14.25">
      <c r="C12" t="s">
        <v>38</v>
      </c>
      <c r="D12" s="8">
        <f aca="true" t="shared" si="5" ref="D12:O12">MIN(MAX(0,D10-I4blk1))*I4blk2cost</f>
        <v>11623.943314463628</v>
      </c>
      <c r="E12" s="8">
        <f t="shared" si="5"/>
        <v>8856.112475740096</v>
      </c>
      <c r="F12" s="8">
        <f t="shared" si="5"/>
        <v>8515.84993972025</v>
      </c>
      <c r="G12" s="8">
        <f t="shared" si="5"/>
        <v>6578.353832631492</v>
      </c>
      <c r="H12" s="8">
        <f t="shared" si="5"/>
        <v>7516.024157385154</v>
      </c>
      <c r="I12" s="8">
        <f t="shared" si="5"/>
        <v>6041.715868944828</v>
      </c>
      <c r="J12" s="8">
        <f t="shared" si="5"/>
        <v>7795.767279631043</v>
      </c>
      <c r="K12" s="8">
        <f t="shared" si="5"/>
        <v>6975.082047167009</v>
      </c>
      <c r="L12" s="8">
        <f t="shared" si="5"/>
        <v>5574.868655668737</v>
      </c>
      <c r="M12" s="8">
        <f t="shared" si="5"/>
        <v>6982.358215054786</v>
      </c>
      <c r="N12" s="8">
        <f t="shared" si="5"/>
        <v>12132.373886256642</v>
      </c>
      <c r="O12" s="8">
        <f t="shared" si="5"/>
        <v>10978.760327336317</v>
      </c>
      <c r="P12" s="18"/>
    </row>
    <row r="13" spans="3:16" ht="14.25">
      <c r="C13" t="s">
        <v>39</v>
      </c>
      <c r="D13" s="8">
        <f aca="true" t="shared" si="6" ref="D13:O13">MAX(0,D10-(I4blk1+I4blk2))*I4blk3cost</f>
        <v>0</v>
      </c>
      <c r="E13" s="8">
        <f t="shared" si="6"/>
        <v>0</v>
      </c>
      <c r="F13" s="8">
        <f t="shared" si="6"/>
        <v>0</v>
      </c>
      <c r="G13" s="8">
        <f t="shared" si="6"/>
        <v>0</v>
      </c>
      <c r="H13" s="8">
        <f t="shared" si="6"/>
        <v>0</v>
      </c>
      <c r="I13" s="8">
        <f t="shared" si="6"/>
        <v>0</v>
      </c>
      <c r="J13" s="8">
        <f t="shared" si="6"/>
        <v>0</v>
      </c>
      <c r="K13" s="8">
        <f t="shared" si="6"/>
        <v>0</v>
      </c>
      <c r="L13" s="8">
        <f t="shared" si="6"/>
        <v>0</v>
      </c>
      <c r="M13" s="8">
        <f t="shared" si="6"/>
        <v>0</v>
      </c>
      <c r="N13" s="8">
        <f t="shared" si="6"/>
        <v>0</v>
      </c>
      <c r="O13" s="8">
        <f t="shared" si="6"/>
        <v>0</v>
      </c>
      <c r="P13" s="18"/>
    </row>
    <row r="14" spans="3:16" ht="14.25">
      <c r="C14" t="s">
        <v>44</v>
      </c>
      <c r="D14" s="4">
        <f aca="true" t="shared" si="7" ref="D14:O14">SUM(D11:D12)</f>
        <v>17646.087064463627</v>
      </c>
      <c r="E14" s="4">
        <f t="shared" si="7"/>
        <v>14878.256225740095</v>
      </c>
      <c r="F14">
        <f t="shared" si="7"/>
        <v>14537.99368972025</v>
      </c>
      <c r="G14">
        <f t="shared" si="7"/>
        <v>12600.497582631491</v>
      </c>
      <c r="H14">
        <f t="shared" si="7"/>
        <v>13538.167907385152</v>
      </c>
      <c r="I14">
        <f t="shared" si="7"/>
        <v>12063.859618944827</v>
      </c>
      <c r="J14">
        <f t="shared" si="7"/>
        <v>13817.911029631043</v>
      </c>
      <c r="K14">
        <f t="shared" si="7"/>
        <v>12997.225797167008</v>
      </c>
      <c r="L14">
        <f t="shared" si="7"/>
        <v>11597.012405668736</v>
      </c>
      <c r="M14">
        <f t="shared" si="7"/>
        <v>13004.501965054786</v>
      </c>
      <c r="N14">
        <f t="shared" si="7"/>
        <v>18154.51763625664</v>
      </c>
      <c r="O14">
        <f t="shared" si="7"/>
        <v>17000.904077336316</v>
      </c>
      <c r="P14" s="18">
        <f>SUM(D14:O14)+E15*12</f>
        <v>172640.93499999997</v>
      </c>
    </row>
    <row r="15" spans="1:16" ht="15">
      <c r="A15" s="10" t="s">
        <v>50</v>
      </c>
      <c r="B15" s="8">
        <v>150000</v>
      </c>
      <c r="D15" t="s">
        <v>141</v>
      </c>
      <c r="E15">
        <v>67</v>
      </c>
      <c r="P15" s="18"/>
    </row>
    <row r="16" spans="3:16" ht="14.25">
      <c r="C16" t="s">
        <v>57</v>
      </c>
      <c r="D16" s="17">
        <f>B15*D3</f>
        <v>15406.380226355946</v>
      </c>
      <c r="E16" s="17">
        <f>E3*B15</f>
        <v>12987.997613862364</v>
      </c>
      <c r="F16" s="17">
        <f>B15*F3</f>
        <v>12690.694401079005</v>
      </c>
      <c r="G16" s="17">
        <f>B15*G3</f>
        <v>10997.813885549245</v>
      </c>
      <c r="H16" s="17">
        <f>B15*H3</f>
        <v>11817.10008538119</v>
      </c>
      <c r="I16" s="32">
        <f>B15*I3</f>
        <v>10528.928322737063</v>
      </c>
      <c r="J16" s="17">
        <f>B15*J3</f>
        <v>12061.52466991112</v>
      </c>
      <c r="K16" s="17">
        <f>B15*K3</f>
        <v>11344.453789439032</v>
      </c>
      <c r="L16" s="17">
        <f>L3*B15</f>
        <v>10121.022186465147</v>
      </c>
      <c r="M16" s="17">
        <f>B15*M3</f>
        <v>11350.81131593928</v>
      </c>
      <c r="N16" s="17">
        <f>B15*N3</f>
        <v>15850.619678161267</v>
      </c>
      <c r="O16" s="17">
        <f>O3*B15</f>
        <v>14842.653825119325</v>
      </c>
      <c r="P16" s="18"/>
    </row>
    <row r="17" spans="3:16" ht="14.25">
      <c r="C17" t="s">
        <v>37</v>
      </c>
      <c r="D17" s="4">
        <f aca="true" t="shared" si="8" ref="D17:O17">MIN(D16,I4blk1)*I4blk1cost</f>
        <v>6022.143749999999</v>
      </c>
      <c r="E17" s="4">
        <f t="shared" si="8"/>
        <v>6022.143749999999</v>
      </c>
      <c r="F17" s="4">
        <f t="shared" si="8"/>
        <v>6022.143749999999</v>
      </c>
      <c r="G17" s="4">
        <f t="shared" si="8"/>
        <v>6022.143749999999</v>
      </c>
      <c r="H17" s="4">
        <f t="shared" si="8"/>
        <v>6022.143749999999</v>
      </c>
      <c r="I17" s="4">
        <f t="shared" si="8"/>
        <v>6022.143749999999</v>
      </c>
      <c r="J17" s="4">
        <f t="shared" si="8"/>
        <v>6022.143749999999</v>
      </c>
      <c r="K17" s="4">
        <f t="shared" si="8"/>
        <v>6022.143749999999</v>
      </c>
      <c r="L17" s="4">
        <f t="shared" si="8"/>
        <v>6022.143749999999</v>
      </c>
      <c r="M17" s="4">
        <f t="shared" si="8"/>
        <v>6022.143749999999</v>
      </c>
      <c r="N17" s="4">
        <f t="shared" si="8"/>
        <v>6022.143749999999</v>
      </c>
      <c r="O17" s="4">
        <f t="shared" si="8"/>
        <v>6022.143749999999</v>
      </c>
      <c r="P17" s="18"/>
    </row>
    <row r="18" spans="3:16" ht="14.25">
      <c r="C18" t="s">
        <v>38</v>
      </c>
      <c r="D18" s="8">
        <f aca="true" t="shared" si="9" ref="D18:O18">MIN(MAX(0,D16-I4blk1))*I4blk2cost</f>
        <v>99786.69738678176</v>
      </c>
      <c r="E18" s="8">
        <f t="shared" si="9"/>
        <v>83179.71235444058</v>
      </c>
      <c r="F18" s="8">
        <f t="shared" si="9"/>
        <v>81138.1371383215</v>
      </c>
      <c r="G18" s="8">
        <f t="shared" si="9"/>
        <v>69513.16049578895</v>
      </c>
      <c r="H18" s="8">
        <f t="shared" si="9"/>
        <v>75139.18244431092</v>
      </c>
      <c r="I18" s="8">
        <f t="shared" si="9"/>
        <v>66293.33271366896</v>
      </c>
      <c r="J18" s="8">
        <f t="shared" si="9"/>
        <v>76817.64117778625</v>
      </c>
      <c r="K18" s="8">
        <f t="shared" si="9"/>
        <v>71893.52978300204</v>
      </c>
      <c r="L18" s="8">
        <f t="shared" si="9"/>
        <v>63492.24943401243</v>
      </c>
      <c r="M18" s="8">
        <f t="shared" si="9"/>
        <v>71937.18679032872</v>
      </c>
      <c r="N18" s="8">
        <f t="shared" si="9"/>
        <v>102837.28081753985</v>
      </c>
      <c r="O18" s="8">
        <f t="shared" si="9"/>
        <v>95915.5994640179</v>
      </c>
      <c r="P18" s="18"/>
    </row>
    <row r="19" spans="3:16" ht="14.25">
      <c r="C19" t="s">
        <v>39</v>
      </c>
      <c r="D19" s="8">
        <f aca="true" t="shared" si="10" ref="D19:O19">MAX(0,D16-(I4blk1+I4blk2))*I4blk3cost</f>
        <v>0</v>
      </c>
      <c r="E19" s="8">
        <f t="shared" si="10"/>
        <v>0</v>
      </c>
      <c r="F19" s="8">
        <f t="shared" si="10"/>
        <v>0</v>
      </c>
      <c r="G19" s="8">
        <f t="shared" si="10"/>
        <v>0</v>
      </c>
      <c r="H19" s="8">
        <f t="shared" si="10"/>
        <v>0</v>
      </c>
      <c r="I19" s="8">
        <f t="shared" si="10"/>
        <v>0</v>
      </c>
      <c r="J19" s="8">
        <f t="shared" si="10"/>
        <v>0</v>
      </c>
      <c r="K19" s="8">
        <f t="shared" si="10"/>
        <v>0</v>
      </c>
      <c r="L19" s="8">
        <f t="shared" si="10"/>
        <v>0</v>
      </c>
      <c r="M19" s="8">
        <f t="shared" si="10"/>
        <v>0</v>
      </c>
      <c r="N19" s="8">
        <f t="shared" si="10"/>
        <v>0</v>
      </c>
      <c r="O19" s="8">
        <f t="shared" si="10"/>
        <v>0</v>
      </c>
      <c r="P19" s="18"/>
    </row>
    <row r="20" spans="3:16" ht="14.25">
      <c r="C20" t="s">
        <v>44</v>
      </c>
      <c r="D20" s="4">
        <f aca="true" t="shared" si="11" ref="D20:O20">SUM(D17:D18)</f>
        <v>105808.84113678176</v>
      </c>
      <c r="E20" s="4">
        <f>SUM(E15:E19)</f>
        <v>102256.85371830294</v>
      </c>
      <c r="F20">
        <f t="shared" si="11"/>
        <v>87160.2808883215</v>
      </c>
      <c r="G20">
        <f t="shared" si="11"/>
        <v>75535.30424578895</v>
      </c>
      <c r="H20">
        <f t="shared" si="11"/>
        <v>81161.32619431092</v>
      </c>
      <c r="I20">
        <f t="shared" si="11"/>
        <v>72315.47646366897</v>
      </c>
      <c r="J20">
        <f t="shared" si="11"/>
        <v>82839.78492778626</v>
      </c>
      <c r="K20">
        <f t="shared" si="11"/>
        <v>77915.67353300205</v>
      </c>
      <c r="L20">
        <f t="shared" si="11"/>
        <v>69514.39318401243</v>
      </c>
      <c r="M20">
        <f t="shared" si="11"/>
        <v>77959.33054032872</v>
      </c>
      <c r="N20">
        <f t="shared" si="11"/>
        <v>108859.42456753986</v>
      </c>
      <c r="O20">
        <f t="shared" si="11"/>
        <v>101937.7432140179</v>
      </c>
      <c r="P20" s="18">
        <f>SUM(D20:O20)+E21*12</f>
        <v>1046552.4326138622</v>
      </c>
    </row>
    <row r="21" spans="4:5" ht="14.25">
      <c r="D21" t="s">
        <v>141</v>
      </c>
      <c r="E21">
        <v>274</v>
      </c>
    </row>
    <row r="22" spans="3:8" ht="15.75">
      <c r="C22" s="2" t="s">
        <v>28</v>
      </c>
      <c r="D22" s="2" t="s">
        <v>29</v>
      </c>
      <c r="E22" s="2" t="s">
        <v>30</v>
      </c>
      <c r="F22" s="2" t="s">
        <v>54</v>
      </c>
      <c r="G22" s="2" t="s">
        <v>55</v>
      </c>
      <c r="H22" s="2" t="s">
        <v>56</v>
      </c>
    </row>
    <row r="23" spans="2:8" ht="15.75">
      <c r="B23" s="42">
        <v>39675</v>
      </c>
      <c r="C23" s="2">
        <v>875</v>
      </c>
      <c r="D23" s="2">
        <v>121625</v>
      </c>
      <c r="E23" s="2">
        <v>122500</v>
      </c>
      <c r="F23" s="6">
        <f>0.15774+0.18205+6.54266</f>
        <v>6.8824499999999995</v>
      </c>
      <c r="G23" s="6">
        <f>0.14227+0.18205+6.54266</f>
        <v>6.86698</v>
      </c>
      <c r="H23" s="6">
        <f>0.13107+0.18205+6.54266</f>
        <v>6.855779999999999</v>
      </c>
    </row>
    <row r="24" spans="2:8" ht="14.25">
      <c r="B24" s="42">
        <v>39630</v>
      </c>
      <c r="C24">
        <v>875</v>
      </c>
      <c r="D24" s="8">
        <v>121625</v>
      </c>
      <c r="E24" s="8">
        <v>122500</v>
      </c>
      <c r="F24">
        <f>0.14506+0.18205+6.54266</f>
        <v>6.86977</v>
      </c>
      <c r="G24">
        <f>0.13083+0.18205+6.54266</f>
        <v>6.8555399999999995</v>
      </c>
      <c r="H24">
        <f>0.12053+0.18205+6.54266</f>
        <v>6.8452399999999995</v>
      </c>
    </row>
    <row r="25" ht="14.25">
      <c r="D25" t="s">
        <v>193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6">
      <selection activeCell="I23" sqref="I23"/>
    </sheetView>
  </sheetViews>
  <sheetFormatPr defaultColWidth="14.7109375" defaultRowHeight="15"/>
  <cols>
    <col min="1" max="1" width="10.421875" style="0" customWidth="1"/>
    <col min="2" max="2" width="9.421875" style="0" bestFit="1" customWidth="1"/>
    <col min="3" max="3" width="8.57421875" style="0" bestFit="1" customWidth="1"/>
  </cols>
  <sheetData>
    <row r="1" spans="1:16" ht="15.75" thickBot="1">
      <c r="A1" t="s">
        <v>46</v>
      </c>
      <c r="D1" s="15" t="s">
        <v>61</v>
      </c>
      <c r="E1" s="15" t="s">
        <v>62</v>
      </c>
      <c r="F1" s="15" t="s">
        <v>63</v>
      </c>
      <c r="G1" s="15" t="s">
        <v>64</v>
      </c>
      <c r="H1" s="15" t="s">
        <v>65</v>
      </c>
      <c r="I1" s="15" t="s">
        <v>66</v>
      </c>
      <c r="J1" s="14" t="s">
        <v>67</v>
      </c>
      <c r="K1" s="15" t="s">
        <v>68</v>
      </c>
      <c r="L1" s="15" t="s">
        <v>69</v>
      </c>
      <c r="M1" s="15" t="s">
        <v>70</v>
      </c>
      <c r="N1" s="15" t="s">
        <v>71</v>
      </c>
      <c r="O1" s="15" t="s">
        <v>72</v>
      </c>
      <c r="P1" s="16" t="s">
        <v>192</v>
      </c>
    </row>
    <row r="2" spans="1:16" ht="15.75" thickBot="1">
      <c r="A2" s="63" t="s">
        <v>53</v>
      </c>
      <c r="D2" s="13">
        <f>SUBTOTAL(101,'I4 Data'!$H$4:$H$74)</f>
        <v>3360.3818585507247</v>
      </c>
      <c r="E2" s="13">
        <f>SUBTOTAL(101,'I4 Data'!$I$4:$I$74)</f>
        <v>2832.8933155797104</v>
      </c>
      <c r="F2" s="13">
        <f>SUBTOTAL(101,'I4 Data'!$J$4:$J$74)</f>
        <v>2768.0466541285705</v>
      </c>
      <c r="G2" s="13">
        <f>SUBTOTAL(101,'I4 Data'!$K$4:$K$74)</f>
        <v>2398.801906855073</v>
      </c>
      <c r="H2" s="13">
        <f>SUBTOTAL(101,'I4 Data'!$L$4:$L$74)</f>
        <v>2577.501539242857</v>
      </c>
      <c r="I2" s="13">
        <f>SUBTOTAL(101,'I4 Data'!$M$4:$M$74)</f>
        <v>2296.530346900001</v>
      </c>
      <c r="J2" s="13">
        <f>SUBTOTAL(101,'I4 Data'!$B$4:$B$74)</f>
        <v>2630.814512671428</v>
      </c>
      <c r="K2" s="13">
        <f>SUBTOTAL(101,'I4 Data'!$C$4:$C$74)</f>
        <v>2474.4097022857154</v>
      </c>
      <c r="L2" s="13">
        <f>SUBTOTAL(101,'I4 Data'!$D$4:$D$74)</f>
        <v>2207.5593907</v>
      </c>
      <c r="M2" s="13">
        <f>SUBTOTAL(101,'I4 Data'!$E$4:$E$74)</f>
        <v>2475.7963821159415</v>
      </c>
      <c r="N2" s="13">
        <f>SUBTOTAL(101,'I4 Data'!$F$4:$F$74)</f>
        <v>3457.2777012318843</v>
      </c>
      <c r="O2" s="13">
        <f>SUBTOTAL(101,'I4 Data'!$G$4:$G$74)</f>
        <v>3237.423970710143</v>
      </c>
      <c r="P2" s="62">
        <f>SUM(D2:O2)</f>
        <v>32717.43728097205</v>
      </c>
    </row>
    <row r="3" spans="1:15" ht="15">
      <c r="A3" s="63" t="s">
        <v>50</v>
      </c>
      <c r="B3">
        <v>7000</v>
      </c>
      <c r="D3">
        <f>D2/P2</f>
        <v>0.10270920150903964</v>
      </c>
      <c r="E3">
        <f>E2/P2</f>
        <v>0.08658665075908242</v>
      </c>
      <c r="F3">
        <f>F2/P2</f>
        <v>0.0846046293405267</v>
      </c>
      <c r="G3">
        <f>G2/P2</f>
        <v>0.07331875923699496</v>
      </c>
      <c r="H3">
        <f>H2/P2</f>
        <v>0.0787806672358746</v>
      </c>
      <c r="I3">
        <f>I2/P2</f>
        <v>0.07019285548491376</v>
      </c>
      <c r="J3">
        <f>J2/P2</f>
        <v>0.08041016446607413</v>
      </c>
      <c r="K3">
        <f>K2/P2</f>
        <v>0.07562969192959355</v>
      </c>
      <c r="L3">
        <f>L2/P2</f>
        <v>0.06747348124310097</v>
      </c>
      <c r="M3">
        <f>M2/P2</f>
        <v>0.0756720754395952</v>
      </c>
      <c r="N3">
        <f>N2/P2</f>
        <v>0.10567079785440844</v>
      </c>
      <c r="O3">
        <f>O2/P2</f>
        <v>0.0989510255007955</v>
      </c>
    </row>
    <row r="4" spans="1:15" ht="15">
      <c r="A4" s="63"/>
      <c r="C4" t="s">
        <v>57</v>
      </c>
      <c r="D4">
        <f>B3*D3</f>
        <v>718.9644105632775</v>
      </c>
      <c r="E4">
        <f>B3*E3</f>
        <v>606.1065553135769</v>
      </c>
      <c r="F4">
        <f>F3*B3</f>
        <v>592.2324053836869</v>
      </c>
      <c r="G4">
        <f>G3*B3</f>
        <v>513.2313146589647</v>
      </c>
      <c r="H4">
        <f>H3*B3</f>
        <v>551.4646706511222</v>
      </c>
      <c r="I4">
        <f>I3*B3</f>
        <v>491.34998839439635</v>
      </c>
      <c r="J4">
        <f>J3*B3</f>
        <v>562.8711512625189</v>
      </c>
      <c r="K4">
        <f>K3*B3</f>
        <v>529.4078435071549</v>
      </c>
      <c r="L4">
        <f>L3*B3</f>
        <v>472.3143687017068</v>
      </c>
      <c r="M4">
        <f>M3*B3</f>
        <v>529.7045280771664</v>
      </c>
      <c r="N4">
        <f>N3*B3</f>
        <v>739.695584980859</v>
      </c>
      <c r="O4">
        <f>O3*B3</f>
        <v>692.6571785055685</v>
      </c>
    </row>
    <row r="5" spans="3:24" ht="15.75">
      <c r="C5" t="s">
        <v>37</v>
      </c>
      <c r="D5" s="4">
        <f aca="true" t="shared" si="0" ref="D5:O5">MIN(D4,pI4blk1)*pI4blk1cost</f>
        <v>5056.476699491531</v>
      </c>
      <c r="E5" s="4">
        <f t="shared" si="0"/>
        <v>4262.747403520386</v>
      </c>
      <c r="F5" s="4">
        <f t="shared" si="0"/>
        <v>4165.17050706347</v>
      </c>
      <c r="G5" s="4">
        <f t="shared" si="0"/>
        <v>3609.5558359964984</v>
      </c>
      <c r="H5" s="4">
        <f t="shared" si="0"/>
        <v>3878.4510286893424</v>
      </c>
      <c r="I5" s="4">
        <f t="shared" si="0"/>
        <v>3455.664468377789</v>
      </c>
      <c r="J5" s="4">
        <f t="shared" si="0"/>
        <v>3958.672806829295</v>
      </c>
      <c r="K5" s="4">
        <f t="shared" si="0"/>
        <v>3723.3253633858203</v>
      </c>
      <c r="L5" s="4">
        <f t="shared" si="0"/>
        <v>3321.786955079104</v>
      </c>
      <c r="M5" s="4">
        <f t="shared" si="0"/>
        <v>3725.411945966711</v>
      </c>
      <c r="N5" s="4">
        <f t="shared" si="0"/>
        <v>5202.279049170382</v>
      </c>
      <c r="O5" s="4">
        <f t="shared" si="0"/>
        <v>4871.457936429662</v>
      </c>
      <c r="P5" s="53"/>
      <c r="X5" s="53"/>
    </row>
    <row r="6" spans="3:24" ht="15.75">
      <c r="C6" t="s">
        <v>38</v>
      </c>
      <c r="D6" s="8">
        <f aca="true" t="shared" si="1" ref="D6:O6">MIN(MAX(0,D4-pI4blk1)*pI4blk2cost)</f>
        <v>0</v>
      </c>
      <c r="E6" s="8">
        <f t="shared" si="1"/>
        <v>0</v>
      </c>
      <c r="F6" s="8">
        <f t="shared" si="1"/>
        <v>0</v>
      </c>
      <c r="G6" s="8">
        <f t="shared" si="1"/>
        <v>0</v>
      </c>
      <c r="H6" s="8">
        <f t="shared" si="1"/>
        <v>0</v>
      </c>
      <c r="I6" s="8">
        <f t="shared" si="1"/>
        <v>0</v>
      </c>
      <c r="J6" s="8">
        <f t="shared" si="1"/>
        <v>0</v>
      </c>
      <c r="K6" s="8">
        <f t="shared" si="1"/>
        <v>0</v>
      </c>
      <c r="L6" s="8">
        <f t="shared" si="1"/>
        <v>0</v>
      </c>
      <c r="M6" s="8">
        <f t="shared" si="1"/>
        <v>0</v>
      </c>
      <c r="N6" s="8">
        <f t="shared" si="1"/>
        <v>0</v>
      </c>
      <c r="O6" s="8">
        <f t="shared" si="1"/>
        <v>0</v>
      </c>
      <c r="X6" s="53"/>
    </row>
    <row r="7" spans="3:15" ht="14.25">
      <c r="C7" t="s">
        <v>39</v>
      </c>
      <c r="D7" s="8">
        <f aca="true" t="shared" si="2" ref="D7:O7">MAX(0,D4-(pI4blk1+pI4blk2))*PI4blk3cost</f>
        <v>0</v>
      </c>
      <c r="E7" s="8">
        <f t="shared" si="2"/>
        <v>0</v>
      </c>
      <c r="F7" s="8">
        <f t="shared" si="2"/>
        <v>0</v>
      </c>
      <c r="G7" s="8">
        <f t="shared" si="2"/>
        <v>0</v>
      </c>
      <c r="H7" s="8">
        <f t="shared" si="2"/>
        <v>0</v>
      </c>
      <c r="I7" s="8">
        <f t="shared" si="2"/>
        <v>0</v>
      </c>
      <c r="J7" s="8">
        <f t="shared" si="2"/>
        <v>0</v>
      </c>
      <c r="K7" s="8">
        <f t="shared" si="2"/>
        <v>0</v>
      </c>
      <c r="L7" s="8">
        <f t="shared" si="2"/>
        <v>0</v>
      </c>
      <c r="M7" s="8">
        <f t="shared" si="2"/>
        <v>0</v>
      </c>
      <c r="N7" s="8">
        <f t="shared" si="2"/>
        <v>0</v>
      </c>
      <c r="O7" s="8">
        <f t="shared" si="2"/>
        <v>0</v>
      </c>
    </row>
    <row r="8" spans="3:16" ht="14.25">
      <c r="C8" t="s">
        <v>44</v>
      </c>
      <c r="D8" s="4">
        <f aca="true" t="shared" si="3" ref="D8:O8">SUM(D5:D6)</f>
        <v>5056.476699491531</v>
      </c>
      <c r="E8" s="4">
        <f t="shared" si="3"/>
        <v>4262.747403520386</v>
      </c>
      <c r="F8">
        <f t="shared" si="3"/>
        <v>4165.17050706347</v>
      </c>
      <c r="G8">
        <f t="shared" si="3"/>
        <v>3609.5558359964984</v>
      </c>
      <c r="H8">
        <f t="shared" si="3"/>
        <v>3878.4510286893424</v>
      </c>
      <c r="I8">
        <f t="shared" si="3"/>
        <v>3455.664468377789</v>
      </c>
      <c r="J8">
        <f t="shared" si="3"/>
        <v>3958.672806829295</v>
      </c>
      <c r="K8">
        <f t="shared" si="3"/>
        <v>3723.3253633858203</v>
      </c>
      <c r="L8">
        <f t="shared" si="3"/>
        <v>3321.786955079104</v>
      </c>
      <c r="M8">
        <f t="shared" si="3"/>
        <v>3725.411945966711</v>
      </c>
      <c r="N8">
        <f t="shared" si="3"/>
        <v>5202.279049170382</v>
      </c>
      <c r="O8">
        <f t="shared" si="3"/>
        <v>4871.457936429662</v>
      </c>
      <c r="P8" s="58">
        <f>SUM(D8:O8)+E9*12</f>
        <v>50730.999999999985</v>
      </c>
    </row>
    <row r="9" spans="1:16" ht="15">
      <c r="A9" s="63" t="s">
        <v>50</v>
      </c>
      <c r="B9" s="8">
        <v>25000</v>
      </c>
      <c r="D9" t="s">
        <v>141</v>
      </c>
      <c r="E9">
        <v>125</v>
      </c>
      <c r="P9" s="58"/>
    </row>
    <row r="10" spans="3:16" ht="14.25">
      <c r="C10" t="s">
        <v>57</v>
      </c>
      <c r="D10">
        <f>B9*D3</f>
        <v>2567.730037725991</v>
      </c>
      <c r="E10">
        <f>B9*E3</f>
        <v>2164.6662689770606</v>
      </c>
      <c r="F10">
        <f>F3*B9</f>
        <v>2115.1157335131675</v>
      </c>
      <c r="G10">
        <f>G3*B9</f>
        <v>1832.9689809248741</v>
      </c>
      <c r="H10">
        <f>H3*B9</f>
        <v>1969.516680896865</v>
      </c>
      <c r="I10">
        <f>I3*B9</f>
        <v>1754.821387122844</v>
      </c>
      <c r="J10">
        <f>J3*B9</f>
        <v>2010.2541116518532</v>
      </c>
      <c r="K10">
        <f>K3*B9</f>
        <v>1890.7422982398389</v>
      </c>
      <c r="L10">
        <f>L3*B9</f>
        <v>1686.8370310775242</v>
      </c>
      <c r="M10">
        <f>M3*B9</f>
        <v>1891.80188598988</v>
      </c>
      <c r="N10">
        <f>N3*B9</f>
        <v>2641.769946360211</v>
      </c>
      <c r="O10">
        <f>O3*B9</f>
        <v>2473.7756375198874</v>
      </c>
      <c r="P10" s="64"/>
    </row>
    <row r="11" spans="3:16" ht="14.25">
      <c r="C11" t="s">
        <v>37</v>
      </c>
      <c r="D11" s="4">
        <f aca="true" t="shared" si="4" ref="D11:O11">MIN(D10,pI4blk1)*pI4blk1cost</f>
        <v>14065.999999999998</v>
      </c>
      <c r="E11" s="4">
        <f t="shared" si="4"/>
        <v>14065.999999999998</v>
      </c>
      <c r="F11" s="4">
        <f t="shared" si="4"/>
        <v>14065.999999999998</v>
      </c>
      <c r="G11" s="4">
        <f t="shared" si="4"/>
        <v>12891.270842844639</v>
      </c>
      <c r="H11" s="4">
        <f t="shared" si="4"/>
        <v>13851.61081674765</v>
      </c>
      <c r="I11" s="4">
        <f t="shared" si="4"/>
        <v>12341.65881563496</v>
      </c>
      <c r="J11" s="4">
        <f t="shared" si="4"/>
        <v>14065.999999999998</v>
      </c>
      <c r="K11" s="4">
        <f t="shared" si="4"/>
        <v>13297.590583520785</v>
      </c>
      <c r="L11" s="4">
        <f t="shared" si="4"/>
        <v>11863.524839568227</v>
      </c>
      <c r="M11" s="4">
        <f t="shared" si="4"/>
        <v>13305.042664166825</v>
      </c>
      <c r="N11" s="4">
        <f t="shared" si="4"/>
        <v>14065.999999999998</v>
      </c>
      <c r="O11" s="4">
        <f t="shared" si="4"/>
        <v>14065.999999999998</v>
      </c>
      <c r="P11" s="58"/>
    </row>
    <row r="12" spans="3:16" ht="14.25">
      <c r="C12" t="s">
        <v>38</v>
      </c>
      <c r="D12" s="8">
        <f aca="true" t="shared" si="5" ref="D12:O12">MIN(MAX(0,D10-pI4blk1))*pI4blk2cost</f>
        <v>3978.839455296196</v>
      </c>
      <c r="E12" s="8">
        <f t="shared" si="5"/>
        <v>1154.0355528600028</v>
      </c>
      <c r="F12" s="8">
        <f t="shared" si="5"/>
        <v>806.769048652337</v>
      </c>
      <c r="G12" s="8">
        <f t="shared" si="5"/>
        <v>0</v>
      </c>
      <c r="H12" s="8">
        <f t="shared" si="5"/>
        <v>0</v>
      </c>
      <c r="I12" s="8">
        <f t="shared" si="5"/>
        <v>0</v>
      </c>
      <c r="J12" s="8">
        <f t="shared" si="5"/>
        <v>71.86419831303259</v>
      </c>
      <c r="K12" s="8">
        <f t="shared" si="5"/>
        <v>0</v>
      </c>
      <c r="L12" s="8">
        <f t="shared" si="5"/>
        <v>0</v>
      </c>
      <c r="M12" s="8">
        <f t="shared" si="5"/>
        <v>0</v>
      </c>
      <c r="N12" s="8">
        <f t="shared" si="5"/>
        <v>4497.7355681746585</v>
      </c>
      <c r="O12" s="8">
        <f t="shared" si="5"/>
        <v>3320.376013699752</v>
      </c>
      <c r="P12" s="58"/>
    </row>
    <row r="13" spans="3:16" ht="14.25">
      <c r="C13" t="s">
        <v>39</v>
      </c>
      <c r="D13" s="8">
        <f aca="true" t="shared" si="6" ref="D13:O13">MAX(0,D10-(pI4blk1+pI4blk2))*PI4blk3cost</f>
        <v>0</v>
      </c>
      <c r="E13" s="8">
        <f t="shared" si="6"/>
        <v>0</v>
      </c>
      <c r="F13" s="8">
        <f t="shared" si="6"/>
        <v>0</v>
      </c>
      <c r="G13" s="8">
        <f t="shared" si="6"/>
        <v>0</v>
      </c>
      <c r="H13" s="8">
        <f t="shared" si="6"/>
        <v>0</v>
      </c>
      <c r="I13" s="8">
        <f t="shared" si="6"/>
        <v>0</v>
      </c>
      <c r="J13" s="8">
        <f t="shared" si="6"/>
        <v>0</v>
      </c>
      <c r="K13" s="8">
        <f t="shared" si="6"/>
        <v>0</v>
      </c>
      <c r="L13" s="8">
        <f t="shared" si="6"/>
        <v>0</v>
      </c>
      <c r="M13" s="8">
        <f t="shared" si="6"/>
        <v>0</v>
      </c>
      <c r="N13" s="8">
        <f t="shared" si="6"/>
        <v>0</v>
      </c>
      <c r="O13" s="8">
        <f t="shared" si="6"/>
        <v>0</v>
      </c>
      <c r="P13" s="58"/>
    </row>
    <row r="14" spans="3:16" ht="14.25">
      <c r="C14" t="s">
        <v>44</v>
      </c>
      <c r="D14" s="4">
        <f aca="true" t="shared" si="7" ref="D14:O14">SUM(D11:D12)</f>
        <v>18044.839455296195</v>
      </c>
      <c r="E14" s="4">
        <f t="shared" si="7"/>
        <v>15220.035552860001</v>
      </c>
      <c r="F14">
        <f t="shared" si="7"/>
        <v>14872.769048652335</v>
      </c>
      <c r="G14">
        <f t="shared" si="7"/>
        <v>12891.270842844639</v>
      </c>
      <c r="H14">
        <f t="shared" si="7"/>
        <v>13851.61081674765</v>
      </c>
      <c r="I14">
        <f t="shared" si="7"/>
        <v>12341.65881563496</v>
      </c>
      <c r="J14">
        <f t="shared" si="7"/>
        <v>14137.864198313031</v>
      </c>
      <c r="K14">
        <f t="shared" si="7"/>
        <v>13297.590583520785</v>
      </c>
      <c r="L14">
        <f t="shared" si="7"/>
        <v>11863.524839568227</v>
      </c>
      <c r="M14">
        <f t="shared" si="7"/>
        <v>13305.042664166825</v>
      </c>
      <c r="N14">
        <f t="shared" si="7"/>
        <v>18563.735568174656</v>
      </c>
      <c r="O14">
        <f t="shared" si="7"/>
        <v>17386.37601369975</v>
      </c>
      <c r="P14" s="58">
        <f>SUM(D14:O14)+E15*12</f>
        <v>177276.31839947906</v>
      </c>
    </row>
    <row r="15" spans="1:16" ht="15">
      <c r="A15" s="63" t="s">
        <v>50</v>
      </c>
      <c r="B15" s="8">
        <v>150000</v>
      </c>
      <c r="D15" t="s">
        <v>141</v>
      </c>
      <c r="E15">
        <v>125</v>
      </c>
      <c r="P15" s="58"/>
    </row>
    <row r="16" spans="3:16" ht="14.25">
      <c r="C16" t="s">
        <v>57</v>
      </c>
      <c r="D16" s="65">
        <f>B15*D3</f>
        <v>15406.380226355946</v>
      </c>
      <c r="E16" s="65">
        <f>E3*B15</f>
        <v>12987.997613862364</v>
      </c>
      <c r="F16" s="65">
        <f>B15*F3</f>
        <v>12690.694401079005</v>
      </c>
      <c r="G16" s="65">
        <f>B15*G3</f>
        <v>10997.813885549245</v>
      </c>
      <c r="H16" s="65">
        <f>B15*H3</f>
        <v>11817.10008538119</v>
      </c>
      <c r="I16" s="66">
        <f>B15*I3</f>
        <v>10528.928322737063</v>
      </c>
      <c r="J16" s="65">
        <f>B15*J3</f>
        <v>12061.52466991112</v>
      </c>
      <c r="K16" s="65">
        <f>B15*K3</f>
        <v>11344.453789439032</v>
      </c>
      <c r="L16" s="65">
        <f>L3*B15</f>
        <v>10121.022186465147</v>
      </c>
      <c r="M16" s="65">
        <f>B15*M3</f>
        <v>11350.81131593928</v>
      </c>
      <c r="N16" s="65">
        <f>B15*N3</f>
        <v>15850.619678161267</v>
      </c>
      <c r="O16" s="65">
        <f>O3*B15</f>
        <v>14842.653825119325</v>
      </c>
      <c r="P16" s="58"/>
    </row>
    <row r="17" spans="3:16" ht="14.25">
      <c r="C17" t="s">
        <v>37</v>
      </c>
      <c r="D17" s="4">
        <f aca="true" t="shared" si="8" ref="D17:O17">MIN(D16,pI4blk1)*pI4blk1cost</f>
        <v>14065.999999999998</v>
      </c>
      <c r="E17" s="4">
        <f t="shared" si="8"/>
        <v>14065.999999999998</v>
      </c>
      <c r="F17" s="4">
        <f t="shared" si="8"/>
        <v>14065.999999999998</v>
      </c>
      <c r="G17" s="4">
        <f t="shared" si="8"/>
        <v>14065.999999999998</v>
      </c>
      <c r="H17" s="4">
        <f t="shared" si="8"/>
        <v>14065.999999999998</v>
      </c>
      <c r="I17" s="4">
        <f t="shared" si="8"/>
        <v>14065.999999999998</v>
      </c>
      <c r="J17" s="4">
        <f t="shared" si="8"/>
        <v>14065.999999999998</v>
      </c>
      <c r="K17" s="4">
        <f t="shared" si="8"/>
        <v>14065.999999999998</v>
      </c>
      <c r="L17" s="4">
        <f t="shared" si="8"/>
        <v>14065.999999999998</v>
      </c>
      <c r="M17" s="4">
        <f t="shared" si="8"/>
        <v>14065.999999999998</v>
      </c>
      <c r="N17" s="4">
        <f t="shared" si="8"/>
        <v>14065.999999999998</v>
      </c>
      <c r="O17" s="4">
        <f t="shared" si="8"/>
        <v>14065.999999999998</v>
      </c>
      <c r="P17" s="58"/>
    </row>
    <row r="18" spans="3:16" ht="14.25">
      <c r="C18" t="s">
        <v>38</v>
      </c>
      <c r="D18" s="8">
        <f aca="true" t="shared" si="9" ref="D18:O18">MIN(MAX(0,D16-pI4blk1))*pI4blk2cost</f>
        <v>93956.33673177716</v>
      </c>
      <c r="E18" s="8">
        <f t="shared" si="9"/>
        <v>77007.51331716002</v>
      </c>
      <c r="F18" s="8">
        <f t="shared" si="9"/>
        <v>74923.91429191401</v>
      </c>
      <c r="G18" s="8">
        <f t="shared" si="9"/>
        <v>63059.64898851134</v>
      </c>
      <c r="H18" s="8">
        <f t="shared" si="9"/>
        <v>68801.47704137955</v>
      </c>
      <c r="I18" s="8">
        <f t="shared" si="9"/>
        <v>59773.54423208784</v>
      </c>
      <c r="J18" s="8">
        <f t="shared" si="9"/>
        <v>70514.48518987819</v>
      </c>
      <c r="K18" s="8">
        <f t="shared" si="9"/>
        <v>65489.01582613925</v>
      </c>
      <c r="L18" s="8">
        <f t="shared" si="9"/>
        <v>56914.80342006928</v>
      </c>
      <c r="M18" s="8">
        <f t="shared" si="9"/>
        <v>65533.57146983673</v>
      </c>
      <c r="N18" s="8">
        <f t="shared" si="9"/>
        <v>97069.71340904795</v>
      </c>
      <c r="O18" s="8">
        <f t="shared" si="9"/>
        <v>90005.55608219851</v>
      </c>
      <c r="P18" s="58"/>
    </row>
    <row r="19" spans="3:16" ht="14.25">
      <c r="C19" t="s">
        <v>39</v>
      </c>
      <c r="D19" s="8">
        <f aca="true" t="shared" si="10" ref="D19:O19">MAX(0,D16-(pI4blk1+pI4blk2))*PI4blk3cost</f>
        <v>0</v>
      </c>
      <c r="E19" s="8">
        <f t="shared" si="10"/>
        <v>0</v>
      </c>
      <c r="F19" s="8">
        <f t="shared" si="10"/>
        <v>0</v>
      </c>
      <c r="G19" s="8">
        <f t="shared" si="10"/>
        <v>0</v>
      </c>
      <c r="H19" s="8">
        <f t="shared" si="10"/>
        <v>0</v>
      </c>
      <c r="I19" s="8">
        <f t="shared" si="10"/>
        <v>0</v>
      </c>
      <c r="J19" s="8">
        <f t="shared" si="10"/>
        <v>0</v>
      </c>
      <c r="K19" s="8">
        <f t="shared" si="10"/>
        <v>0</v>
      </c>
      <c r="L19" s="8">
        <f t="shared" si="10"/>
        <v>0</v>
      </c>
      <c r="M19" s="8">
        <f t="shared" si="10"/>
        <v>0</v>
      </c>
      <c r="N19" s="8">
        <f t="shared" si="10"/>
        <v>0</v>
      </c>
      <c r="O19" s="8">
        <f t="shared" si="10"/>
        <v>0</v>
      </c>
      <c r="P19" s="58"/>
    </row>
    <row r="20" spans="3:16" ht="14.25">
      <c r="C20" t="s">
        <v>44</v>
      </c>
      <c r="D20" s="4">
        <f aca="true" t="shared" si="11" ref="D20:O20">SUM(D17:D18)</f>
        <v>108022.33673177716</v>
      </c>
      <c r="E20" s="4">
        <f>SUM(E15:E19)</f>
        <v>104186.51093102238</v>
      </c>
      <c r="F20">
        <f t="shared" si="11"/>
        <v>88989.91429191401</v>
      </c>
      <c r="G20">
        <f t="shared" si="11"/>
        <v>77125.64898851134</v>
      </c>
      <c r="H20">
        <f t="shared" si="11"/>
        <v>82867.47704137955</v>
      </c>
      <c r="I20">
        <f t="shared" si="11"/>
        <v>73839.54423208784</v>
      </c>
      <c r="J20">
        <f t="shared" si="11"/>
        <v>84580.48518987819</v>
      </c>
      <c r="K20">
        <f t="shared" si="11"/>
        <v>79555.01582613925</v>
      </c>
      <c r="L20">
        <f t="shared" si="11"/>
        <v>70980.80342006928</v>
      </c>
      <c r="M20">
        <f t="shared" si="11"/>
        <v>79599.57146983672</v>
      </c>
      <c r="N20">
        <f t="shared" si="11"/>
        <v>111135.71340904795</v>
      </c>
      <c r="O20">
        <f t="shared" si="11"/>
        <v>104071.55608219851</v>
      </c>
      <c r="P20" s="58">
        <f>SUM(D20:O20)+E21*12</f>
        <v>1069550.5776138622</v>
      </c>
    </row>
    <row r="21" spans="4:5" ht="14.25">
      <c r="D21" t="s">
        <v>141</v>
      </c>
      <c r="E21">
        <v>383</v>
      </c>
    </row>
    <row r="22" spans="3:8" ht="15.75">
      <c r="C22" s="53" t="s">
        <v>28</v>
      </c>
      <c r="D22" s="53" t="s">
        <v>29</v>
      </c>
      <c r="E22" s="53" t="s">
        <v>30</v>
      </c>
      <c r="F22" s="53" t="s">
        <v>54</v>
      </c>
      <c r="G22" s="53" t="s">
        <v>55</v>
      </c>
      <c r="H22" s="53" t="s">
        <v>56</v>
      </c>
    </row>
    <row r="23" spans="2:8" ht="15.75">
      <c r="B23" s="42" t="s">
        <v>86</v>
      </c>
      <c r="C23" s="53">
        <v>2000</v>
      </c>
      <c r="D23" s="53">
        <v>18000</v>
      </c>
      <c r="E23" s="53">
        <v>20000</v>
      </c>
      <c r="F23" s="61">
        <f>0.30829+0.18205+6.54266</f>
        <v>7.0329999999999995</v>
      </c>
      <c r="G23" s="61">
        <f>0.28362+0.18205+6.54266</f>
        <v>7.00833</v>
      </c>
      <c r="H23" s="61">
        <f>0.26092+0.18205+6.54266</f>
        <v>6.98563</v>
      </c>
    </row>
    <row r="24" spans="2:5" ht="14.25">
      <c r="B24" s="42"/>
      <c r="D24" s="8"/>
      <c r="E24" s="8"/>
    </row>
    <row r="25" ht="14.25">
      <c r="D25" t="s">
        <v>193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X31"/>
  <sheetViews>
    <sheetView zoomScalePageLayoutView="0" workbookViewId="0" topLeftCell="A12">
      <selection activeCell="I28" sqref="I28"/>
    </sheetView>
  </sheetViews>
  <sheetFormatPr defaultColWidth="9.140625" defaultRowHeight="15"/>
  <cols>
    <col min="1" max="1" width="7.00390625" style="0" customWidth="1"/>
    <col min="2" max="2" width="9.421875" style="0" customWidth="1"/>
    <col min="3" max="3" width="10.00390625" style="0" customWidth="1"/>
    <col min="4" max="5" width="12.00390625" style="0" bestFit="1" customWidth="1"/>
    <col min="6" max="6" width="11.8515625" style="0" customWidth="1"/>
    <col min="7" max="7" width="11.28125" style="0" customWidth="1"/>
    <col min="8" max="8" width="11.57421875" style="0" customWidth="1"/>
    <col min="9" max="9" width="11.140625" style="0" customWidth="1"/>
    <col min="10" max="10" width="12.140625" style="0" customWidth="1"/>
    <col min="11" max="11" width="12.00390625" style="0" customWidth="1"/>
    <col min="12" max="12" width="11.8515625" style="0" customWidth="1"/>
    <col min="13" max="13" width="11.421875" style="0" customWidth="1"/>
    <col min="14" max="15" width="11.28125" style="0" customWidth="1"/>
    <col min="16" max="16" width="17.421875" style="0" customWidth="1"/>
    <col min="18" max="18" width="9.28125" style="0" bestFit="1" customWidth="1"/>
    <col min="19" max="19" width="9.57421875" style="0" bestFit="1" customWidth="1"/>
    <col min="20" max="21" width="9.7109375" style="0" bestFit="1" customWidth="1"/>
  </cols>
  <sheetData>
    <row r="1" spans="1:16" ht="15.75" thickBot="1">
      <c r="A1" t="s">
        <v>165</v>
      </c>
      <c r="D1" s="15" t="s">
        <v>61</v>
      </c>
      <c r="E1" s="15" t="s">
        <v>62</v>
      </c>
      <c r="F1" s="15" t="s">
        <v>63</v>
      </c>
      <c r="G1" s="15" t="s">
        <v>64</v>
      </c>
      <c r="H1" s="15" t="s">
        <v>65</v>
      </c>
      <c r="I1" s="15" t="s">
        <v>66</v>
      </c>
      <c r="J1" s="14" t="s">
        <v>67</v>
      </c>
      <c r="K1" s="15" t="s">
        <v>68</v>
      </c>
      <c r="L1" s="15" t="s">
        <v>69</v>
      </c>
      <c r="M1" s="15" t="s">
        <v>70</v>
      </c>
      <c r="N1" s="15" t="s">
        <v>71</v>
      </c>
      <c r="O1" s="15" t="s">
        <v>72</v>
      </c>
      <c r="P1" s="16"/>
    </row>
    <row r="2" spans="4:15" ht="14.25">
      <c r="D2">
        <f>'Typical Volumes'!Q25</f>
        <v>0.10270920150903964</v>
      </c>
      <c r="E2">
        <f>'Typical Volumes'!Q26</f>
        <v>0.08658665075908242</v>
      </c>
      <c r="F2">
        <f>'Typical Volumes'!Q27</f>
        <v>0.0846046293405267</v>
      </c>
      <c r="G2">
        <f>'Typical Volumes'!Q28</f>
        <v>0.07331875923699496</v>
      </c>
      <c r="H2">
        <f>'Typical Volumes'!Q29</f>
        <v>0.0787806672358746</v>
      </c>
      <c r="I2">
        <f>'Typical Volumes'!Q30</f>
        <v>0.07019285548491376</v>
      </c>
      <c r="J2">
        <f>'Typical Volumes'!Q31</f>
        <v>0.08041016446607413</v>
      </c>
      <c r="K2">
        <f>'Typical Volumes'!Q32</f>
        <v>0.07562969192959355</v>
      </c>
      <c r="L2">
        <f>'Typical Volumes'!Q33</f>
        <v>0.06747348124310097</v>
      </c>
      <c r="M2">
        <f>'Typical Volumes'!Q34</f>
        <v>0.0756720754395952</v>
      </c>
      <c r="N2">
        <f>'Typical Volumes'!Q35</f>
        <v>0.10567079785440844</v>
      </c>
      <c r="O2">
        <f>'Typical Volumes'!Q36</f>
        <v>0.0989510255007955</v>
      </c>
    </row>
    <row r="4" spans="1:15" ht="15">
      <c r="A4" s="10" t="s">
        <v>50</v>
      </c>
      <c r="B4">
        <v>25000</v>
      </c>
      <c r="C4" t="s">
        <v>57</v>
      </c>
      <c r="D4">
        <f>B4*D2</f>
        <v>2567.730037725991</v>
      </c>
      <c r="E4">
        <f>B4*E2</f>
        <v>2164.6662689770606</v>
      </c>
      <c r="F4">
        <f>F2*B4</f>
        <v>2115.1157335131675</v>
      </c>
      <c r="G4">
        <f>G2*B4</f>
        <v>1832.9689809248741</v>
      </c>
      <c r="H4">
        <f>H2*B4</f>
        <v>1969.516680896865</v>
      </c>
      <c r="I4">
        <f>I2*B4</f>
        <v>1754.821387122844</v>
      </c>
      <c r="J4">
        <f>J2*B4</f>
        <v>2010.2541116518532</v>
      </c>
      <c r="K4">
        <f>K2*B4</f>
        <v>1890.7422982398389</v>
      </c>
      <c r="L4">
        <f>L2*B4</f>
        <v>1686.8370310775242</v>
      </c>
      <c r="M4">
        <f>M2*B4</f>
        <v>1891.80188598988</v>
      </c>
      <c r="N4">
        <f>N2*B4</f>
        <v>2641.769946360211</v>
      </c>
      <c r="O4">
        <f>O2*B4</f>
        <v>2473.7756375198874</v>
      </c>
    </row>
    <row r="5" spans="3:24" ht="15.75">
      <c r="C5" t="s">
        <v>37</v>
      </c>
      <c r="D5" s="4">
        <f aca="true" t="shared" si="0" ref="D5:O5">MIN(D4,jul1blk1)*julblk1</f>
        <v>8301.51</v>
      </c>
      <c r="E5" s="4">
        <f t="shared" si="0"/>
        <v>8301.51</v>
      </c>
      <c r="F5" s="4">
        <f t="shared" si="0"/>
        <v>8301.51</v>
      </c>
      <c r="G5" s="4">
        <f t="shared" si="0"/>
        <v>8301.51</v>
      </c>
      <c r="H5" s="4">
        <f t="shared" si="0"/>
        <v>8301.51</v>
      </c>
      <c r="I5" s="4">
        <f t="shared" si="0"/>
        <v>8301.51</v>
      </c>
      <c r="J5" s="4">
        <f t="shared" si="0"/>
        <v>8301.51</v>
      </c>
      <c r="K5" s="4">
        <f t="shared" si="0"/>
        <v>8301.51</v>
      </c>
      <c r="L5" s="4">
        <f t="shared" si="0"/>
        <v>8301.51</v>
      </c>
      <c r="M5" s="4">
        <f t="shared" si="0"/>
        <v>8301.51</v>
      </c>
      <c r="N5" s="4">
        <f t="shared" si="0"/>
        <v>8301.51</v>
      </c>
      <c r="O5" s="4">
        <f t="shared" si="0"/>
        <v>8301.51</v>
      </c>
      <c r="P5" s="2"/>
      <c r="X5" s="2"/>
    </row>
    <row r="6" spans="1:24" ht="15.75">
      <c r="A6" s="100" t="s">
        <v>102</v>
      </c>
      <c r="C6" t="s">
        <v>38</v>
      </c>
      <c r="D6" s="8">
        <f aca="true" t="shared" si="1" ref="D6:O6">MIN(MAX(0,D4-jul1blk1)*julblk2)</f>
        <v>11617.155467012346</v>
      </c>
      <c r="E6" s="8">
        <f t="shared" si="1"/>
        <v>8850.940914001498</v>
      </c>
      <c r="F6" s="8">
        <f t="shared" si="1"/>
        <v>8510.877075628863</v>
      </c>
      <c r="G6" s="8">
        <f t="shared" si="1"/>
        <v>6574.512377017983</v>
      </c>
      <c r="H6" s="8">
        <f t="shared" si="1"/>
        <v>7511.635145494757</v>
      </c>
      <c r="I6" s="8">
        <f t="shared" si="1"/>
        <v>6038.187785182465</v>
      </c>
      <c r="J6" s="8">
        <f t="shared" si="1"/>
        <v>7791.214910643319</v>
      </c>
      <c r="K6" s="8">
        <f t="shared" si="1"/>
        <v>6971.008920551067</v>
      </c>
      <c r="L6" s="8">
        <f t="shared" si="1"/>
        <v>5571.613189174116</v>
      </c>
      <c r="M6" s="8">
        <f t="shared" si="1"/>
        <v>6978.280839491967</v>
      </c>
      <c r="N6" s="8">
        <f t="shared" si="1"/>
        <v>12125.289138771737</v>
      </c>
      <c r="O6" s="8">
        <f t="shared" si="1"/>
        <v>10972.34923702986</v>
      </c>
      <c r="X6" s="2"/>
    </row>
    <row r="7" spans="3:15" ht="14.25">
      <c r="C7" t="s">
        <v>39</v>
      </c>
      <c r="D7" s="8">
        <f aca="true" t="shared" si="2" ref="D7:O7">MAX(0,D4-(jul1blk1+jul1blk2))*julblk3</f>
        <v>0</v>
      </c>
      <c r="E7" s="8">
        <f t="shared" si="2"/>
        <v>0</v>
      </c>
      <c r="F7" s="8">
        <f t="shared" si="2"/>
        <v>0</v>
      </c>
      <c r="G7" s="8">
        <f t="shared" si="2"/>
        <v>0</v>
      </c>
      <c r="H7" s="8">
        <f t="shared" si="2"/>
        <v>0</v>
      </c>
      <c r="I7" s="8">
        <f t="shared" si="2"/>
        <v>0</v>
      </c>
      <c r="J7" s="8">
        <f t="shared" si="2"/>
        <v>0</v>
      </c>
      <c r="K7" s="8">
        <f t="shared" si="2"/>
        <v>0</v>
      </c>
      <c r="L7" s="8">
        <f t="shared" si="2"/>
        <v>0</v>
      </c>
      <c r="M7" s="8">
        <f t="shared" si="2"/>
        <v>0</v>
      </c>
      <c r="N7" s="8">
        <f t="shared" si="2"/>
        <v>0</v>
      </c>
      <c r="O7" s="8">
        <f t="shared" si="2"/>
        <v>0</v>
      </c>
    </row>
    <row r="8" spans="3:16" ht="14.25">
      <c r="C8" t="s">
        <v>44</v>
      </c>
      <c r="D8" s="4">
        <f aca="true" t="shared" si="3" ref="D8:O8">SUM(D5:D6)</f>
        <v>19918.665467012346</v>
      </c>
      <c r="E8" s="4">
        <f t="shared" si="3"/>
        <v>17152.4509140015</v>
      </c>
      <c r="F8">
        <f t="shared" si="3"/>
        <v>16812.387075628863</v>
      </c>
      <c r="G8">
        <f t="shared" si="3"/>
        <v>14876.022377017984</v>
      </c>
      <c r="H8">
        <f t="shared" si="3"/>
        <v>15813.145145494756</v>
      </c>
      <c r="I8">
        <f t="shared" si="3"/>
        <v>14339.697785182465</v>
      </c>
      <c r="J8">
        <f t="shared" si="3"/>
        <v>16092.72491064332</v>
      </c>
      <c r="K8">
        <f t="shared" si="3"/>
        <v>15272.518920551067</v>
      </c>
      <c r="L8">
        <f t="shared" si="3"/>
        <v>13873.123189174115</v>
      </c>
      <c r="M8">
        <f t="shared" si="3"/>
        <v>15279.790839491967</v>
      </c>
      <c r="N8">
        <f t="shared" si="3"/>
        <v>20426.799138771737</v>
      </c>
      <c r="O8">
        <f t="shared" si="3"/>
        <v>19273.85923702986</v>
      </c>
      <c r="P8" s="72">
        <f>SUM(D8:O8)+E9*12</f>
        <v>199935.18499999997</v>
      </c>
    </row>
    <row r="9" spans="4:16" ht="14.25">
      <c r="D9" t="s">
        <v>141</v>
      </c>
      <c r="E9">
        <v>67</v>
      </c>
      <c r="P9" s="72"/>
    </row>
    <row r="10" spans="1:16" ht="15">
      <c r="A10" s="10"/>
      <c r="B10" s="8"/>
      <c r="P10" s="72"/>
    </row>
    <row r="11" spans="1:16" ht="15">
      <c r="A11" s="10" t="s">
        <v>50</v>
      </c>
      <c r="B11" s="8">
        <v>25000</v>
      </c>
      <c r="P11" s="72"/>
    </row>
    <row r="12" spans="3:16" ht="14.25">
      <c r="C12" t="s">
        <v>57</v>
      </c>
      <c r="D12">
        <f aca="true" t="shared" si="4" ref="D12:O12">$B$11*D2</f>
        <v>2567.730037725991</v>
      </c>
      <c r="E12">
        <f t="shared" si="4"/>
        <v>2164.6662689770606</v>
      </c>
      <c r="F12">
        <f t="shared" si="4"/>
        <v>2115.1157335131675</v>
      </c>
      <c r="G12">
        <f t="shared" si="4"/>
        <v>1832.9689809248741</v>
      </c>
      <c r="H12">
        <f t="shared" si="4"/>
        <v>1969.516680896865</v>
      </c>
      <c r="I12">
        <f t="shared" si="4"/>
        <v>1754.821387122844</v>
      </c>
      <c r="J12">
        <f t="shared" si="4"/>
        <v>2010.2541116518532</v>
      </c>
      <c r="K12">
        <f t="shared" si="4"/>
        <v>1890.7422982398389</v>
      </c>
      <c r="L12">
        <f t="shared" si="4"/>
        <v>1686.8370310775242</v>
      </c>
      <c r="M12">
        <f t="shared" si="4"/>
        <v>1891.80188598988</v>
      </c>
      <c r="N12">
        <f t="shared" si="4"/>
        <v>2641.769946360211</v>
      </c>
      <c r="O12">
        <f t="shared" si="4"/>
        <v>2473.7756375198874</v>
      </c>
      <c r="P12" s="101"/>
    </row>
    <row r="13" spans="1:16" ht="14.25">
      <c r="A13" t="s">
        <v>103</v>
      </c>
      <c r="C13" t="s">
        <v>37</v>
      </c>
      <c r="D13" s="4">
        <f aca="true" t="shared" si="5" ref="D13:O13">MIN(D12,augblk1)*augblk1c</f>
        <v>8430.31875</v>
      </c>
      <c r="E13" s="4">
        <f t="shared" si="5"/>
        <v>8430.31875</v>
      </c>
      <c r="F13" s="4">
        <f t="shared" si="5"/>
        <v>8430.31875</v>
      </c>
      <c r="G13" s="4">
        <f t="shared" si="5"/>
        <v>8430.31875</v>
      </c>
      <c r="H13" s="4">
        <f t="shared" si="5"/>
        <v>8430.31875</v>
      </c>
      <c r="I13" s="4">
        <f t="shared" si="5"/>
        <v>8430.31875</v>
      </c>
      <c r="J13" s="4">
        <f t="shared" si="5"/>
        <v>8430.31875</v>
      </c>
      <c r="K13" s="4">
        <f t="shared" si="5"/>
        <v>8430.31875</v>
      </c>
      <c r="L13" s="4">
        <f t="shared" si="5"/>
        <v>8430.31875</v>
      </c>
      <c r="M13" s="4">
        <f t="shared" si="5"/>
        <v>8430.31875</v>
      </c>
      <c r="N13" s="4">
        <f t="shared" si="5"/>
        <v>8430.31875</v>
      </c>
      <c r="O13" s="4">
        <f t="shared" si="5"/>
        <v>8430.31875</v>
      </c>
      <c r="P13" s="72"/>
    </row>
    <row r="14" spans="3:16" ht="14.25">
      <c r="C14" t="s">
        <v>38</v>
      </c>
      <c r="D14" s="8">
        <f aca="true" t="shared" si="6" ref="D14:O14">MIN(MAX(0,D12-augblk1))*augblk2c</f>
        <v>11629.630887390385</v>
      </c>
      <c r="E14" s="8">
        <f t="shared" si="6"/>
        <v>8860.445754403858</v>
      </c>
      <c r="F14" s="8">
        <f t="shared" si="6"/>
        <v>8520.016728584855</v>
      </c>
      <c r="G14" s="8">
        <f t="shared" si="6"/>
        <v>6581.5726084073995</v>
      </c>
      <c r="H14" s="8">
        <f t="shared" si="6"/>
        <v>7519.701733432967</v>
      </c>
      <c r="I14" s="8">
        <f t="shared" si="6"/>
        <v>6044.67206880556</v>
      </c>
      <c r="J14" s="8">
        <f t="shared" si="6"/>
        <v>7799.581733446193</v>
      </c>
      <c r="K14" s="8">
        <f t="shared" si="6"/>
        <v>6978.494941289095</v>
      </c>
      <c r="L14" s="8">
        <f t="shared" si="6"/>
        <v>5577.596428093158</v>
      </c>
      <c r="M14" s="8">
        <f t="shared" si="6"/>
        <v>6985.7746693917115</v>
      </c>
      <c r="N14" s="8">
        <f t="shared" si="6"/>
        <v>12138.310233276412</v>
      </c>
      <c r="O14" s="8">
        <f t="shared" si="6"/>
        <v>10984.132213478382</v>
      </c>
      <c r="P14" s="72"/>
    </row>
    <row r="15" spans="3:16" ht="14.25">
      <c r="C15" t="s">
        <v>39</v>
      </c>
      <c r="D15" s="8">
        <f>MAX(0,D12-(augblk1+augblk2))*augblk3c</f>
        <v>0</v>
      </c>
      <c r="E15" s="8">
        <f aca="true" t="shared" si="7" ref="E15:O15">MAX(0,E12-(is4blk1+is4blk2))*is4blk3cost</f>
        <v>0</v>
      </c>
      <c r="F15" s="8">
        <f t="shared" si="7"/>
        <v>0</v>
      </c>
      <c r="G15" s="8">
        <f t="shared" si="7"/>
        <v>0</v>
      </c>
      <c r="H15" s="8">
        <f t="shared" si="7"/>
        <v>0</v>
      </c>
      <c r="I15" s="8">
        <f t="shared" si="7"/>
        <v>0</v>
      </c>
      <c r="J15" s="8">
        <f t="shared" si="7"/>
        <v>0</v>
      </c>
      <c r="K15" s="8">
        <f t="shared" si="7"/>
        <v>0</v>
      </c>
      <c r="L15" s="8">
        <f t="shared" si="7"/>
        <v>0</v>
      </c>
      <c r="M15" s="8">
        <f t="shared" si="7"/>
        <v>0</v>
      </c>
      <c r="N15" s="8">
        <f t="shared" si="7"/>
        <v>0</v>
      </c>
      <c r="O15" s="8">
        <f t="shared" si="7"/>
        <v>0</v>
      </c>
      <c r="P15" s="72"/>
    </row>
    <row r="16" spans="3:16" ht="14.25">
      <c r="C16" t="s">
        <v>44</v>
      </c>
      <c r="D16" s="4">
        <f aca="true" t="shared" si="8" ref="D16:O16">SUM(D13:D14)</f>
        <v>20059.949637390386</v>
      </c>
      <c r="E16" s="4">
        <f t="shared" si="8"/>
        <v>17290.764504403858</v>
      </c>
      <c r="F16">
        <f t="shared" si="8"/>
        <v>16950.335478584857</v>
      </c>
      <c r="G16">
        <f t="shared" si="8"/>
        <v>15011.8913584074</v>
      </c>
      <c r="H16">
        <f t="shared" si="8"/>
        <v>15950.020483432967</v>
      </c>
      <c r="I16">
        <f t="shared" si="8"/>
        <v>14474.99081880556</v>
      </c>
      <c r="J16">
        <f t="shared" si="8"/>
        <v>16229.900483446192</v>
      </c>
      <c r="K16">
        <f t="shared" si="8"/>
        <v>15408.813691289095</v>
      </c>
      <c r="L16">
        <f t="shared" si="8"/>
        <v>14007.915178093157</v>
      </c>
      <c r="M16">
        <f t="shared" si="8"/>
        <v>15416.093419391713</v>
      </c>
      <c r="N16">
        <f t="shared" si="8"/>
        <v>20568.628983276412</v>
      </c>
      <c r="O16">
        <f t="shared" si="8"/>
        <v>19414.450963478383</v>
      </c>
      <c r="P16" s="72">
        <f>SUM(D16:O16)+E17*12</f>
        <v>202283.75499999998</v>
      </c>
    </row>
    <row r="17" spans="1:16" ht="15">
      <c r="A17" s="10"/>
      <c r="B17" s="8"/>
      <c r="D17" t="s">
        <v>141</v>
      </c>
      <c r="E17">
        <v>125</v>
      </c>
      <c r="P17" s="72"/>
    </row>
    <row r="18" spans="1:16" ht="15">
      <c r="A18" s="10"/>
      <c r="B18" s="8"/>
      <c r="P18" s="72"/>
    </row>
    <row r="19" spans="1:16" ht="15">
      <c r="A19" s="10" t="s">
        <v>50</v>
      </c>
      <c r="B19" s="8">
        <v>25000</v>
      </c>
      <c r="P19" s="72"/>
    </row>
    <row r="20" spans="3:16" ht="14.25">
      <c r="C20" t="s">
        <v>57</v>
      </c>
      <c r="D20">
        <f>B19*D2</f>
        <v>2567.730037725991</v>
      </c>
      <c r="E20">
        <f>B19*E2</f>
        <v>2164.6662689770606</v>
      </c>
      <c r="F20">
        <f>F2*B19</f>
        <v>2115.1157335131675</v>
      </c>
      <c r="G20">
        <f>G2*B19</f>
        <v>1832.9689809248741</v>
      </c>
      <c r="H20">
        <f>H2*B19</f>
        <v>1969.516680896865</v>
      </c>
      <c r="I20">
        <f>I2*B19</f>
        <v>1754.821387122844</v>
      </c>
      <c r="J20">
        <f>J2*B19</f>
        <v>2010.2541116518532</v>
      </c>
      <c r="K20">
        <f>K2*B19</f>
        <v>1890.7422982398389</v>
      </c>
      <c r="L20">
        <f>L2*B19</f>
        <v>1686.8370310775242</v>
      </c>
      <c r="M20">
        <f>M2*B19</f>
        <v>1891.80188598988</v>
      </c>
      <c r="N20">
        <f>N2*B19</f>
        <v>2641.769946360211</v>
      </c>
      <c r="O20">
        <f>O2*B19</f>
        <v>2473.7756375198874</v>
      </c>
      <c r="P20" s="101"/>
    </row>
    <row r="21" spans="1:16" ht="14.25">
      <c r="A21" t="s">
        <v>86</v>
      </c>
      <c r="C21" t="s">
        <v>37</v>
      </c>
      <c r="D21" s="4">
        <f aca="true" t="shared" si="9" ref="D21:O21">MIN(D20,is4blk1)*is4blk1cost</f>
        <v>8301.51</v>
      </c>
      <c r="E21" s="4">
        <f t="shared" si="9"/>
        <v>8301.51</v>
      </c>
      <c r="F21" s="4">
        <f t="shared" si="9"/>
        <v>8301.51</v>
      </c>
      <c r="G21" s="4">
        <f t="shared" si="9"/>
        <v>8301.51</v>
      </c>
      <c r="H21" s="4">
        <f t="shared" si="9"/>
        <v>8301.51</v>
      </c>
      <c r="I21" s="4">
        <f t="shared" si="9"/>
        <v>8301.51</v>
      </c>
      <c r="J21" s="4">
        <f t="shared" si="9"/>
        <v>8301.51</v>
      </c>
      <c r="K21" s="4">
        <f t="shared" si="9"/>
        <v>8301.51</v>
      </c>
      <c r="L21" s="4">
        <f t="shared" si="9"/>
        <v>8301.51</v>
      </c>
      <c r="M21" s="4">
        <f t="shared" si="9"/>
        <v>8301.51</v>
      </c>
      <c r="N21" s="4">
        <f t="shared" si="9"/>
        <v>8301.51</v>
      </c>
      <c r="O21" s="4">
        <f t="shared" si="9"/>
        <v>8301.51</v>
      </c>
      <c r="P21" s="72"/>
    </row>
    <row r="22" spans="3:16" ht="14.25">
      <c r="C22" t="s">
        <v>38</v>
      </c>
      <c r="D22" s="8">
        <f aca="true" t="shared" si="10" ref="D22:O22">MIN(MAX(0,D20-is4blk1))*is4blk2cost</f>
        <v>11617.155467012346</v>
      </c>
      <c r="E22" s="8">
        <f t="shared" si="10"/>
        <v>8850.940914001498</v>
      </c>
      <c r="F22" s="8">
        <f t="shared" si="10"/>
        <v>8510.877075628863</v>
      </c>
      <c r="G22" s="8">
        <f t="shared" si="10"/>
        <v>6574.512377017983</v>
      </c>
      <c r="H22" s="8">
        <f t="shared" si="10"/>
        <v>7511.635145494757</v>
      </c>
      <c r="I22" s="8">
        <f t="shared" si="10"/>
        <v>6038.187785182465</v>
      </c>
      <c r="J22" s="8">
        <f t="shared" si="10"/>
        <v>7791.214910643319</v>
      </c>
      <c r="K22" s="8">
        <f t="shared" si="10"/>
        <v>6971.008920551067</v>
      </c>
      <c r="L22" s="8">
        <f t="shared" si="10"/>
        <v>5571.613189174116</v>
      </c>
      <c r="M22" s="8">
        <f t="shared" si="10"/>
        <v>6978.280839491967</v>
      </c>
      <c r="N22" s="8">
        <f t="shared" si="10"/>
        <v>12125.289138771737</v>
      </c>
      <c r="O22" s="8">
        <f t="shared" si="10"/>
        <v>10972.34923702986</v>
      </c>
      <c r="P22" s="72"/>
    </row>
    <row r="23" spans="3:16" ht="14.25">
      <c r="C23" t="s">
        <v>39</v>
      </c>
      <c r="D23" s="8">
        <f aca="true" t="shared" si="11" ref="D23:O23">MAX(0,D20-(is4blk1+is4blk2))*is4blk3cost</f>
        <v>0</v>
      </c>
      <c r="E23" s="8">
        <f t="shared" si="11"/>
        <v>0</v>
      </c>
      <c r="F23" s="8">
        <f t="shared" si="11"/>
        <v>0</v>
      </c>
      <c r="G23" s="8">
        <f t="shared" si="11"/>
        <v>0</v>
      </c>
      <c r="H23" s="8">
        <f t="shared" si="11"/>
        <v>0</v>
      </c>
      <c r="I23" s="8">
        <f t="shared" si="11"/>
        <v>0</v>
      </c>
      <c r="J23" s="8">
        <f t="shared" si="11"/>
        <v>0</v>
      </c>
      <c r="K23" s="8">
        <f t="shared" si="11"/>
        <v>0</v>
      </c>
      <c r="L23" s="8">
        <f t="shared" si="11"/>
        <v>0</v>
      </c>
      <c r="M23" s="8">
        <f t="shared" si="11"/>
        <v>0</v>
      </c>
      <c r="N23" s="8">
        <f t="shared" si="11"/>
        <v>0</v>
      </c>
      <c r="O23" s="8">
        <f t="shared" si="11"/>
        <v>0</v>
      </c>
      <c r="P23" s="72"/>
    </row>
    <row r="24" spans="3:16" ht="14.25">
      <c r="C24" t="s">
        <v>44</v>
      </c>
      <c r="D24" s="4">
        <f aca="true" t="shared" si="12" ref="D24:O24">SUM(D21:D22)</f>
        <v>19918.665467012346</v>
      </c>
      <c r="E24" s="4">
        <f t="shared" si="12"/>
        <v>17152.4509140015</v>
      </c>
      <c r="F24">
        <f t="shared" si="12"/>
        <v>16812.387075628863</v>
      </c>
      <c r="G24">
        <f t="shared" si="12"/>
        <v>14876.022377017984</v>
      </c>
      <c r="H24">
        <f t="shared" si="12"/>
        <v>15813.145145494756</v>
      </c>
      <c r="I24">
        <f t="shared" si="12"/>
        <v>14339.697785182465</v>
      </c>
      <c r="J24">
        <f t="shared" si="12"/>
        <v>16092.72491064332</v>
      </c>
      <c r="K24">
        <f t="shared" si="12"/>
        <v>15272.518920551067</v>
      </c>
      <c r="L24">
        <f t="shared" si="12"/>
        <v>13873.123189174115</v>
      </c>
      <c r="M24">
        <f t="shared" si="12"/>
        <v>15279.790839491967</v>
      </c>
      <c r="N24">
        <f t="shared" si="12"/>
        <v>20426.799138771737</v>
      </c>
      <c r="O24">
        <f t="shared" si="12"/>
        <v>19273.85923702986</v>
      </c>
      <c r="P24" s="72">
        <f>SUM(D24:O24)+E25*12</f>
        <v>200631.18499999997</v>
      </c>
    </row>
    <row r="25" spans="1:16" ht="15">
      <c r="A25" s="10"/>
      <c r="B25" s="8"/>
      <c r="D25" t="s">
        <v>141</v>
      </c>
      <c r="E25">
        <v>125</v>
      </c>
      <c r="P25" s="72"/>
    </row>
    <row r="26" spans="1:16" ht="15">
      <c r="A26" s="10"/>
      <c r="B26" s="8"/>
      <c r="P26" s="72"/>
    </row>
    <row r="27" spans="1:16" ht="15">
      <c r="A27" s="10"/>
      <c r="B27" s="8"/>
      <c r="P27" s="72"/>
    </row>
    <row r="28" spans="3:8" ht="15.75">
      <c r="C28" s="2" t="s">
        <v>28</v>
      </c>
      <c r="D28" s="2" t="s">
        <v>29</v>
      </c>
      <c r="E28" s="2" t="s">
        <v>30</v>
      </c>
      <c r="F28" s="2" t="s">
        <v>54</v>
      </c>
      <c r="G28" s="2" t="s">
        <v>55</v>
      </c>
      <c r="H28" s="2" t="s">
        <v>56</v>
      </c>
    </row>
    <row r="29" spans="2:12" ht="15.75">
      <c r="B29" s="42" t="s">
        <v>86</v>
      </c>
      <c r="C29" s="2">
        <v>875</v>
      </c>
      <c r="D29" s="2">
        <v>19125</v>
      </c>
      <c r="E29" s="2">
        <v>20000</v>
      </c>
      <c r="F29" s="6">
        <f>2.76273+6.54266+0.18205</f>
        <v>9.48744</v>
      </c>
      <c r="G29" s="6">
        <f>0.13826+0.18205+6.54266</f>
        <v>6.86297</v>
      </c>
      <c r="H29" s="6">
        <f>0.1277+0.18205+6.54266</f>
        <v>6.85241</v>
      </c>
      <c r="I29" t="s">
        <v>198</v>
      </c>
      <c r="L29" s="125"/>
    </row>
    <row r="30" spans="2:12" ht="14.25">
      <c r="B30" s="40">
        <v>39630</v>
      </c>
      <c r="C30">
        <v>875</v>
      </c>
      <c r="D30">
        <v>121625</v>
      </c>
      <c r="E30">
        <v>122500</v>
      </c>
      <c r="F30">
        <f>2.76273+6.54266+0.18205</f>
        <v>9.48744</v>
      </c>
      <c r="G30">
        <f>0.13826+0.18205+6.54266</f>
        <v>6.86297</v>
      </c>
      <c r="H30">
        <f>0.1277+0.18205+6.54266</f>
        <v>6.85241</v>
      </c>
      <c r="I30" t="s">
        <v>198</v>
      </c>
      <c r="L30" s="125"/>
    </row>
    <row r="31" spans="2:12" ht="14.25">
      <c r="B31" s="42">
        <v>39675</v>
      </c>
      <c r="C31">
        <v>875</v>
      </c>
      <c r="D31">
        <v>121625</v>
      </c>
      <c r="E31">
        <v>122500</v>
      </c>
      <c r="F31">
        <f>2.90994+0.18205+6.54266</f>
        <v>9.63465</v>
      </c>
      <c r="G31">
        <f>0.14563+0.18205+6.54266</f>
        <v>6.87034</v>
      </c>
      <c r="H31">
        <f>0.18205+0.1345+6.54266</f>
        <v>6.85921</v>
      </c>
      <c r="I31" t="s">
        <v>198</v>
      </c>
      <c r="L31" s="12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37"/>
  <sheetViews>
    <sheetView zoomScalePageLayoutView="0" workbookViewId="0" topLeftCell="A1">
      <selection activeCell="C4" sqref="C4"/>
    </sheetView>
  </sheetViews>
  <sheetFormatPr defaultColWidth="9.140625" defaultRowHeight="15"/>
  <cols>
    <col min="1" max="4" width="9.140625" style="88" customWidth="1"/>
    <col min="5" max="5" width="1.28515625" style="88" customWidth="1"/>
    <col min="6" max="8" width="9.140625" style="88" customWidth="1"/>
    <col min="9" max="9" width="1.28515625" style="88" customWidth="1"/>
    <col min="10" max="10" width="9.140625" style="88" customWidth="1"/>
    <col min="11" max="11" width="2.140625" style="88" customWidth="1"/>
    <col min="12" max="12" width="9.140625" style="88" customWidth="1"/>
    <col min="13" max="13" width="10.28125" style="88" customWidth="1"/>
    <col min="14" max="14" width="9.7109375" style="88" bestFit="1" customWidth="1"/>
    <col min="15" max="15" width="1.28515625" style="88" customWidth="1"/>
    <col min="16" max="17" width="9.140625" style="88" customWidth="1"/>
    <col min="18" max="18" width="9.7109375" style="88" bestFit="1" customWidth="1"/>
    <col min="19" max="19" width="1.28515625" style="88" customWidth="1"/>
    <col min="20" max="20" width="9.140625" style="88" customWidth="1"/>
    <col min="21" max="21" width="1.28515625" style="88" customWidth="1"/>
    <col min="22" max="22" width="9.140625" style="88" customWidth="1"/>
    <col min="23" max="24" width="9.7109375" style="88" bestFit="1" customWidth="1"/>
    <col min="25" max="25" width="1.28515625" style="88" customWidth="1"/>
    <col min="26" max="26" width="9.7109375" style="88" bestFit="1" customWidth="1"/>
    <col min="27" max="27" width="1.28515625" style="88" customWidth="1"/>
    <col min="28" max="28" width="11.28125" style="88" bestFit="1" customWidth="1"/>
    <col min="29" max="29" width="1.28515625" style="88" customWidth="1"/>
    <col min="30" max="30" width="9.7109375" style="88" bestFit="1" customWidth="1"/>
    <col min="31" max="31" width="11.28125" style="88" bestFit="1" customWidth="1"/>
    <col min="32" max="32" width="1.28515625" style="88" customWidth="1"/>
    <col min="33" max="33" width="9.7109375" style="88" bestFit="1" customWidth="1"/>
    <col min="34" max="34" width="11.28125" style="88" bestFit="1" customWidth="1"/>
    <col min="35" max="35" width="1.28515625" style="88" customWidth="1"/>
    <col min="36" max="16384" width="9.140625" style="88" customWidth="1"/>
  </cols>
  <sheetData>
    <row r="2" spans="2:34" ht="12.75">
      <c r="B2" s="139" t="s">
        <v>17</v>
      </c>
      <c r="C2" s="139"/>
      <c r="D2" s="139"/>
      <c r="F2" s="139" t="s">
        <v>18</v>
      </c>
      <c r="G2" s="139"/>
      <c r="H2" s="139"/>
      <c r="J2" s="89" t="s">
        <v>19</v>
      </c>
      <c r="L2" s="139" t="s">
        <v>20</v>
      </c>
      <c r="M2" s="139"/>
      <c r="N2" s="139"/>
      <c r="P2" s="139" t="s">
        <v>21</v>
      </c>
      <c r="Q2" s="139"/>
      <c r="R2" s="139"/>
      <c r="T2" s="89" t="s">
        <v>22</v>
      </c>
      <c r="V2" s="139" t="s">
        <v>159</v>
      </c>
      <c r="W2" s="139"/>
      <c r="X2" s="139"/>
      <c r="Z2" s="89" t="s">
        <v>160</v>
      </c>
      <c r="AB2" s="89" t="s">
        <v>161</v>
      </c>
      <c r="AD2" s="139" t="s">
        <v>162</v>
      </c>
      <c r="AE2" s="139"/>
      <c r="AG2" s="139" t="s">
        <v>163</v>
      </c>
      <c r="AH2" s="139"/>
    </row>
    <row r="3" spans="2:34" ht="13.5" thickBot="1">
      <c r="B3" s="90" t="s">
        <v>88</v>
      </c>
      <c r="C3" s="90" t="s">
        <v>89</v>
      </c>
      <c r="D3" s="90" t="s">
        <v>90</v>
      </c>
      <c r="F3" s="90" t="s">
        <v>88</v>
      </c>
      <c r="G3" s="90" t="s">
        <v>89</v>
      </c>
      <c r="H3" s="90" t="s">
        <v>90</v>
      </c>
      <c r="J3" s="90" t="s">
        <v>89</v>
      </c>
      <c r="L3" s="90" t="s">
        <v>88</v>
      </c>
      <c r="M3" s="90" t="s">
        <v>89</v>
      </c>
      <c r="N3" s="90" t="s">
        <v>90</v>
      </c>
      <c r="P3" s="90" t="s">
        <v>88</v>
      </c>
      <c r="Q3" s="90" t="s">
        <v>89</v>
      </c>
      <c r="R3" s="90" t="s">
        <v>90</v>
      </c>
      <c r="T3" s="90" t="s">
        <v>89</v>
      </c>
      <c r="V3" s="90" t="s">
        <v>88</v>
      </c>
      <c r="W3" s="90" t="s">
        <v>89</v>
      </c>
      <c r="X3" s="90" t="s">
        <v>90</v>
      </c>
      <c r="Z3" s="90" t="s">
        <v>89</v>
      </c>
      <c r="AB3" s="90" t="s">
        <v>89</v>
      </c>
      <c r="AD3" s="90" t="s">
        <v>89</v>
      </c>
      <c r="AE3" s="90" t="s">
        <v>90</v>
      </c>
      <c r="AG3" s="90" t="s">
        <v>89</v>
      </c>
      <c r="AH3" s="90" t="s">
        <v>90</v>
      </c>
    </row>
    <row r="4" spans="1:34" s="94" customFormat="1" ht="12.75">
      <c r="A4" s="94" t="s">
        <v>61</v>
      </c>
      <c r="B4" s="94">
        <f>ROUND(($C$25*B$20),1)</f>
        <v>9.3</v>
      </c>
      <c r="C4" s="103">
        <f>ROUND(($C$25*C$20),1)</f>
        <v>14.9</v>
      </c>
      <c r="D4" s="94">
        <f>ROUND(($C$25*D$20),1)</f>
        <v>27.9</v>
      </c>
      <c r="F4" s="94">
        <f>ROUND(($C$25*F$20),1)</f>
        <v>14.9</v>
      </c>
      <c r="G4" s="94">
        <f>ROUND(($C$25*G$20),1)</f>
        <v>391.1</v>
      </c>
      <c r="H4" s="94">
        <f>ROUND(($C$25*H$20),1)</f>
        <v>8381.3</v>
      </c>
      <c r="J4" s="94">
        <f>ROUND(($C$25*J$20),1)</f>
        <v>14.9</v>
      </c>
      <c r="L4" s="94">
        <f>ROUND(($M25*L$20),1)</f>
        <v>243.7</v>
      </c>
      <c r="M4" s="94">
        <f aca="true" t="shared" si="0" ref="M4:M15">M25*$M$17</f>
        <v>580.349267328602</v>
      </c>
      <c r="N4" s="94">
        <f aca="true" t="shared" si="1" ref="N4:N15">M25*$N$17</f>
        <v>11606.985346572039</v>
      </c>
      <c r="P4" s="94">
        <f aca="true" t="shared" si="2" ref="P4:P15">Q25*$P$17</f>
        <v>718.9644105632775</v>
      </c>
      <c r="Q4" s="94">
        <f aca="true" t="shared" si="3" ref="Q4:Q15">Q25*$Q$17</f>
        <v>2567.730037725991</v>
      </c>
      <c r="R4" s="94">
        <f aca="true" t="shared" si="4" ref="R4:R15">Q25*$R$17</f>
        <v>15406.380226355946</v>
      </c>
      <c r="T4" s="94">
        <f aca="true" t="shared" si="5" ref="T4:T15">Q25*$T$17</f>
        <v>2567.730037725991</v>
      </c>
      <c r="V4" s="94">
        <v>4129</v>
      </c>
      <c r="W4" s="94">
        <v>10322</v>
      </c>
      <c r="X4" s="94">
        <v>51608</v>
      </c>
      <c r="Z4" s="94">
        <v>10322</v>
      </c>
      <c r="AB4" s="94">
        <v>10322</v>
      </c>
      <c r="AC4" s="94">
        <v>10322</v>
      </c>
      <c r="AD4" s="94">
        <v>11928.125304967307</v>
      </c>
      <c r="AE4" s="94">
        <v>198802.08841612178</v>
      </c>
      <c r="AG4" s="94">
        <v>19464.96926664086</v>
      </c>
      <c r="AH4" s="94">
        <v>583949.0779992257</v>
      </c>
    </row>
    <row r="5" spans="1:34" s="94" customFormat="1" ht="12.75">
      <c r="A5" s="94" t="s">
        <v>62</v>
      </c>
      <c r="B5" s="94">
        <f>ROUND(($C$26*B$20),1)</f>
        <v>7.8</v>
      </c>
      <c r="C5" s="103">
        <f>ROUND(($C$26*C$20),1)</f>
        <v>12.5</v>
      </c>
      <c r="D5" s="94">
        <f>ROUND(($C$26*D$20),1)</f>
        <v>23.4</v>
      </c>
      <c r="F5" s="94">
        <f>ROUND(($C$26*F$20),1)</f>
        <v>12.5</v>
      </c>
      <c r="G5" s="94">
        <f>ROUND(($C$26*G$20),1)</f>
        <v>328.1</v>
      </c>
      <c r="H5" s="94">
        <f>ROUND(($C$26*H$20),1)</f>
        <v>7031.3</v>
      </c>
      <c r="J5" s="94">
        <f>ROUND(($C$26*J$20),1)</f>
        <v>12.5</v>
      </c>
      <c r="L5" s="94">
        <f aca="true" t="shared" si="6" ref="L5:L15">ROUND(($M26*L$20),1)</f>
        <v>235.7</v>
      </c>
      <c r="M5" s="94">
        <f t="shared" si="0"/>
        <v>561.2595987916015</v>
      </c>
      <c r="N5" s="94">
        <f t="shared" si="1"/>
        <v>11225.191975832031</v>
      </c>
      <c r="P5" s="94">
        <f t="shared" si="2"/>
        <v>606.1065553135769</v>
      </c>
      <c r="Q5" s="94">
        <f t="shared" si="3"/>
        <v>2164.6662689770606</v>
      </c>
      <c r="R5" s="94">
        <f t="shared" si="4"/>
        <v>12987.997613862364</v>
      </c>
      <c r="T5" s="94">
        <f t="shared" si="5"/>
        <v>2164.6662689770606</v>
      </c>
      <c r="V5" s="94">
        <v>3514</v>
      </c>
      <c r="W5" s="94">
        <v>8784</v>
      </c>
      <c r="X5" s="94">
        <v>43921</v>
      </c>
      <c r="Z5" s="94">
        <v>8784</v>
      </c>
      <c r="AB5" s="94">
        <v>8784</v>
      </c>
      <c r="AC5" s="94">
        <v>8784</v>
      </c>
      <c r="AD5" s="94">
        <v>10654.03288767444</v>
      </c>
      <c r="AE5" s="94">
        <v>177567.214794574</v>
      </c>
      <c r="AG5" s="94">
        <v>17078.5832456654</v>
      </c>
      <c r="AH5" s="94">
        <v>512357.49736996193</v>
      </c>
    </row>
    <row r="6" spans="1:34" s="94" customFormat="1" ht="12.75">
      <c r="A6" s="94" t="s">
        <v>63</v>
      </c>
      <c r="B6" s="94">
        <f>ROUND(($C$27*B$20),1)</f>
        <v>6.3</v>
      </c>
      <c r="C6" s="103">
        <f>ROUND(($C$27*C$20),1)</f>
        <v>10.1</v>
      </c>
      <c r="D6" s="94">
        <f>ROUND(($C$27*D$20),1)</f>
        <v>18.9</v>
      </c>
      <c r="F6" s="94">
        <f>ROUND(($C$27*F$20),1)</f>
        <v>10.1</v>
      </c>
      <c r="G6" s="94">
        <f>ROUND(($C$27*G$20),1)</f>
        <v>265.1</v>
      </c>
      <c r="H6" s="94">
        <f>ROUND(($C$27*H$20),1)</f>
        <v>5681.3</v>
      </c>
      <c r="J6" s="94">
        <f>ROUND(($C$27*J$20),1)</f>
        <v>10.1</v>
      </c>
      <c r="L6" s="94">
        <f t="shared" si="6"/>
        <v>201</v>
      </c>
      <c r="M6" s="94">
        <f t="shared" si="0"/>
        <v>478.4788344204215</v>
      </c>
      <c r="N6" s="94">
        <f t="shared" si="1"/>
        <v>9569.57668840843</v>
      </c>
      <c r="P6" s="94">
        <f t="shared" si="2"/>
        <v>592.2324053836869</v>
      </c>
      <c r="Q6" s="94">
        <f t="shared" si="3"/>
        <v>2115.1157335131675</v>
      </c>
      <c r="R6" s="94">
        <f t="shared" si="4"/>
        <v>12690.694401079005</v>
      </c>
      <c r="T6" s="94">
        <f t="shared" si="5"/>
        <v>2115.1157335131675</v>
      </c>
      <c r="V6" s="94">
        <v>2970</v>
      </c>
      <c r="W6" s="94">
        <v>7424</v>
      </c>
      <c r="X6" s="94">
        <v>37122</v>
      </c>
      <c r="Z6" s="94">
        <v>7424</v>
      </c>
      <c r="AB6" s="94">
        <v>7424</v>
      </c>
      <c r="AC6" s="94">
        <v>7424</v>
      </c>
      <c r="AD6" s="94">
        <v>10935.064618215785</v>
      </c>
      <c r="AE6" s="94">
        <v>182251.07697026306</v>
      </c>
      <c r="AG6" s="94">
        <v>17340.177188392743</v>
      </c>
      <c r="AH6" s="94">
        <v>520205.3156517822</v>
      </c>
    </row>
    <row r="7" spans="1:34" s="94" customFormat="1" ht="12.75">
      <c r="A7" s="94" t="s">
        <v>64</v>
      </c>
      <c r="B7" s="94">
        <f>ROUND(($C$28*B$20),1)</f>
        <v>5.2</v>
      </c>
      <c r="C7" s="103">
        <f>ROUND(($C$28*C$20),1)</f>
        <v>8.3</v>
      </c>
      <c r="D7" s="94">
        <f>ROUND(($C$28*D$20),1)</f>
        <v>15.6</v>
      </c>
      <c r="F7" s="94">
        <f>ROUND(($C$28*F$20),1)</f>
        <v>8.3</v>
      </c>
      <c r="G7" s="94">
        <f>ROUND(($C$28*G$20),1)</f>
        <v>217.9</v>
      </c>
      <c r="H7" s="94">
        <f>ROUND(($C$28*H$20),1)</f>
        <v>4668.8</v>
      </c>
      <c r="J7" s="94">
        <f>ROUND(($C$28*J$20),1)</f>
        <v>8.3</v>
      </c>
      <c r="L7" s="94">
        <f t="shared" si="6"/>
        <v>181.9</v>
      </c>
      <c r="M7" s="94">
        <f t="shared" si="0"/>
        <v>433.1616253503332</v>
      </c>
      <c r="N7" s="94">
        <f t="shared" si="1"/>
        <v>8663.232507006664</v>
      </c>
      <c r="P7" s="94">
        <f t="shared" si="2"/>
        <v>513.2313146589647</v>
      </c>
      <c r="Q7" s="94">
        <f t="shared" si="3"/>
        <v>1832.9689809248741</v>
      </c>
      <c r="R7" s="94">
        <f t="shared" si="4"/>
        <v>10997.813885549245</v>
      </c>
      <c r="T7" s="94">
        <f t="shared" si="5"/>
        <v>1832.9689809248741</v>
      </c>
      <c r="V7" s="94">
        <v>2912</v>
      </c>
      <c r="W7" s="94">
        <v>7279</v>
      </c>
      <c r="X7" s="94">
        <v>36397</v>
      </c>
      <c r="Z7" s="94">
        <v>7279</v>
      </c>
      <c r="AB7" s="94">
        <v>7279</v>
      </c>
      <c r="AC7" s="94">
        <v>7279</v>
      </c>
      <c r="AD7" s="94">
        <v>10479.182060254569</v>
      </c>
      <c r="AE7" s="94">
        <v>174653.03433757616</v>
      </c>
      <c r="AG7" s="94">
        <v>16488.461543795194</v>
      </c>
      <c r="AH7" s="94">
        <v>494653.8463138558</v>
      </c>
    </row>
    <row r="8" spans="1:34" s="94" customFormat="1" ht="12.75">
      <c r="A8" s="94" t="s">
        <v>65</v>
      </c>
      <c r="B8" s="94">
        <f>ROUND(($C$29*B$20),1)</f>
        <v>2.8</v>
      </c>
      <c r="C8" s="103">
        <f>ROUND(($C$29*C$20),1)</f>
        <v>4.4</v>
      </c>
      <c r="D8" s="94">
        <f>ROUND(($C$29*D$20),1)</f>
        <v>8.3</v>
      </c>
      <c r="F8" s="94">
        <f>ROUND(($C$29*F$20),1)</f>
        <v>4.4</v>
      </c>
      <c r="G8" s="94">
        <f>ROUND(($C$29*G$20),1)</f>
        <v>115.5</v>
      </c>
      <c r="H8" s="94">
        <f>ROUND(($C$29*H$20),1)</f>
        <v>2475</v>
      </c>
      <c r="J8" s="94">
        <f>ROUND(($C$29*J$20),1)</f>
        <v>4.4</v>
      </c>
      <c r="L8" s="94">
        <f t="shared" si="6"/>
        <v>167.8</v>
      </c>
      <c r="M8" s="94">
        <f t="shared" si="0"/>
        <v>399.60811984078686</v>
      </c>
      <c r="N8" s="94">
        <f t="shared" si="1"/>
        <v>7992.162396815737</v>
      </c>
      <c r="P8" s="94">
        <f t="shared" si="2"/>
        <v>551.4646706511222</v>
      </c>
      <c r="Q8" s="94">
        <f t="shared" si="3"/>
        <v>1969.516680896865</v>
      </c>
      <c r="R8" s="94">
        <f t="shared" si="4"/>
        <v>11817.10008538119</v>
      </c>
      <c r="T8" s="94">
        <f t="shared" si="5"/>
        <v>1969.516680896865</v>
      </c>
      <c r="V8" s="94">
        <v>2658</v>
      </c>
      <c r="W8" s="94">
        <v>6645</v>
      </c>
      <c r="X8" s="94">
        <v>33224</v>
      </c>
      <c r="Z8" s="94">
        <v>6645</v>
      </c>
      <c r="AB8" s="94">
        <v>6645</v>
      </c>
      <c r="AC8" s="94">
        <v>6645</v>
      </c>
      <c r="AD8" s="94">
        <v>9566.868003178632</v>
      </c>
      <c r="AE8" s="94">
        <v>159447.80005297717</v>
      </c>
      <c r="AG8" s="94">
        <v>16214.37364086085</v>
      </c>
      <c r="AH8" s="94">
        <v>486431.2092258255</v>
      </c>
    </row>
    <row r="9" spans="1:34" s="94" customFormat="1" ht="12.75">
      <c r="A9" s="94" t="s">
        <v>66</v>
      </c>
      <c r="B9" s="94">
        <f>ROUND(($C$30*B$20),1)</f>
        <v>1.9</v>
      </c>
      <c r="C9" s="103">
        <f>ROUND(($C$30*C$20),1)</f>
        <v>3.1</v>
      </c>
      <c r="D9" s="94">
        <f>ROUND(($C$30*D$20),1)</f>
        <v>5.8</v>
      </c>
      <c r="F9" s="94">
        <f>ROUND(($C$30*F$20),1)</f>
        <v>3.1</v>
      </c>
      <c r="G9" s="94">
        <f>ROUND(($C$30*G$20),1)</f>
        <v>81.4</v>
      </c>
      <c r="H9" s="94">
        <f>ROUND(($C$30*H$20),1)</f>
        <v>1743.8</v>
      </c>
      <c r="J9" s="94">
        <f>ROUND(($C$30*J$20),1)</f>
        <v>3.1</v>
      </c>
      <c r="L9" s="94">
        <f t="shared" si="6"/>
        <v>149.5</v>
      </c>
      <c r="M9" s="94">
        <f t="shared" si="0"/>
        <v>355.94415206651826</v>
      </c>
      <c r="N9" s="94">
        <f t="shared" si="1"/>
        <v>7118.883041330365</v>
      </c>
      <c r="P9" s="94">
        <f t="shared" si="2"/>
        <v>491.34998839439635</v>
      </c>
      <c r="Q9" s="94">
        <f t="shared" si="3"/>
        <v>1754.821387122844</v>
      </c>
      <c r="R9" s="94">
        <f t="shared" si="4"/>
        <v>10528.928322737063</v>
      </c>
      <c r="T9" s="94">
        <f t="shared" si="5"/>
        <v>1754.821387122844</v>
      </c>
      <c r="V9" s="94">
        <v>2804</v>
      </c>
      <c r="W9" s="94">
        <v>7011</v>
      </c>
      <c r="X9" s="94">
        <v>35055</v>
      </c>
      <c r="Z9" s="94">
        <v>7011</v>
      </c>
      <c r="AB9" s="94">
        <v>7011</v>
      </c>
      <c r="AC9" s="94">
        <v>7011</v>
      </c>
      <c r="AD9" s="94">
        <v>9644.556246427526</v>
      </c>
      <c r="AE9" s="94">
        <v>160742.60410712543</v>
      </c>
      <c r="AG9" s="94">
        <v>15466.49257887159</v>
      </c>
      <c r="AH9" s="94">
        <v>463994.7773661477</v>
      </c>
    </row>
    <row r="10" spans="1:34" s="94" customFormat="1" ht="12.75">
      <c r="A10" s="94" t="s">
        <v>67</v>
      </c>
      <c r="B10" s="94">
        <f>ROUND(($C$31*B$20),1)</f>
        <v>1.3</v>
      </c>
      <c r="C10" s="103">
        <f>ROUND(($C$31*C$20),1)</f>
        <v>2</v>
      </c>
      <c r="D10" s="94">
        <f>ROUND(($C$31*D$20),1)</f>
        <v>3.8</v>
      </c>
      <c r="F10" s="94">
        <f>ROUND(($C$31*F$20),1)</f>
        <v>2</v>
      </c>
      <c r="G10" s="94">
        <f>ROUND(($C$31*G$20),1)</f>
        <v>52.5</v>
      </c>
      <c r="H10" s="94">
        <f>ROUND(($C$31*H$20),1)</f>
        <v>1125</v>
      </c>
      <c r="J10" s="94">
        <f>ROUND(($C$31*J$20),1)</f>
        <v>2</v>
      </c>
      <c r="L10" s="94">
        <f t="shared" si="6"/>
        <v>123.6</v>
      </c>
      <c r="M10" s="94">
        <f t="shared" si="0"/>
        <v>294.2867493142479</v>
      </c>
      <c r="N10" s="94">
        <f t="shared" si="1"/>
        <v>5885.734986284959</v>
      </c>
      <c r="P10" s="94">
        <f t="shared" si="2"/>
        <v>562.8711512625189</v>
      </c>
      <c r="Q10" s="94">
        <f t="shared" si="3"/>
        <v>2010.2541116518532</v>
      </c>
      <c r="R10" s="94">
        <f t="shared" si="4"/>
        <v>12061.52466991112</v>
      </c>
      <c r="T10" s="94">
        <f t="shared" si="5"/>
        <v>2010.2541116518532</v>
      </c>
      <c r="V10" s="94">
        <v>3154</v>
      </c>
      <c r="W10" s="94">
        <v>7885</v>
      </c>
      <c r="X10" s="94">
        <v>39425</v>
      </c>
      <c r="Z10" s="94">
        <v>7885</v>
      </c>
      <c r="AB10" s="94">
        <v>7885</v>
      </c>
      <c r="AC10" s="94">
        <v>7885</v>
      </c>
      <c r="AD10" s="94">
        <v>6347.17129752262</v>
      </c>
      <c r="AE10" s="94">
        <v>105786.18829204368</v>
      </c>
      <c r="AG10" s="94">
        <v>15188.957610806137</v>
      </c>
      <c r="AH10" s="94">
        <v>455668.72832418414</v>
      </c>
    </row>
    <row r="11" spans="1:34" s="94" customFormat="1" ht="12.75">
      <c r="A11" s="94" t="s">
        <v>68</v>
      </c>
      <c r="B11" s="94">
        <f>ROUND(($C$32*B$20),1)</f>
        <v>1.1</v>
      </c>
      <c r="C11" s="103">
        <f>ROUND(($C$32*C$20),1)</f>
        <v>1.8</v>
      </c>
      <c r="D11" s="94">
        <f>ROUND(($C$32*D$20),1)</f>
        <v>3.4</v>
      </c>
      <c r="F11" s="94">
        <f>ROUND(($C$32*F$20),1)</f>
        <v>1.8</v>
      </c>
      <c r="G11" s="94">
        <f>ROUND(($C$32*G$20),1)</f>
        <v>47.3</v>
      </c>
      <c r="H11" s="94">
        <f>ROUND(($C$32*H$20),1)</f>
        <v>1012.5</v>
      </c>
      <c r="J11" s="94">
        <f>ROUND(($C$32*J$20),1)</f>
        <v>1.8</v>
      </c>
      <c r="L11" s="94">
        <f t="shared" si="6"/>
        <v>122.9</v>
      </c>
      <c r="M11" s="94">
        <f t="shared" si="0"/>
        <v>292.54480409787635</v>
      </c>
      <c r="N11" s="94">
        <f t="shared" si="1"/>
        <v>5850.896081957528</v>
      </c>
      <c r="P11" s="94">
        <f t="shared" si="2"/>
        <v>529.4078435071549</v>
      </c>
      <c r="Q11" s="94">
        <f t="shared" si="3"/>
        <v>1890.7422982398389</v>
      </c>
      <c r="R11" s="94">
        <f t="shared" si="4"/>
        <v>11344.453789439032</v>
      </c>
      <c r="T11" s="94">
        <f t="shared" si="5"/>
        <v>1890.7422982398389</v>
      </c>
      <c r="V11" s="94">
        <v>3492</v>
      </c>
      <c r="W11" s="94">
        <v>8731</v>
      </c>
      <c r="X11" s="94">
        <v>43653</v>
      </c>
      <c r="Z11" s="94">
        <v>8731</v>
      </c>
      <c r="AB11" s="94">
        <v>8731</v>
      </c>
      <c r="AC11" s="94">
        <v>8731</v>
      </c>
      <c r="AD11" s="94">
        <v>8966.326381240502</v>
      </c>
      <c r="AE11" s="94">
        <v>149438.77302067503</v>
      </c>
      <c r="AG11" s="94">
        <v>15324.185579685083</v>
      </c>
      <c r="AH11" s="94">
        <v>459725.56739055255</v>
      </c>
    </row>
    <row r="12" spans="1:34" s="94" customFormat="1" ht="12.75">
      <c r="A12" s="94" t="s">
        <v>69</v>
      </c>
      <c r="B12" s="94">
        <f>ROUND(($C$33*B$20),1)</f>
        <v>1.3</v>
      </c>
      <c r="C12" s="103">
        <f>ROUND(($C$33*C$20),1)</f>
        <v>2</v>
      </c>
      <c r="D12" s="94">
        <f>ROUND(($C$33*D$20),1)</f>
        <v>3.8</v>
      </c>
      <c r="F12" s="94">
        <f>ROUND(($C$33*F$20),1)</f>
        <v>2</v>
      </c>
      <c r="G12" s="94">
        <f>ROUND(($C$33*G$20),1)</f>
        <v>52.5</v>
      </c>
      <c r="H12" s="94">
        <f>ROUND(($C$33*H$20),1)</f>
        <v>1125</v>
      </c>
      <c r="J12" s="94">
        <f>ROUND(($C$33*J$20),1)</f>
        <v>2</v>
      </c>
      <c r="L12" s="94">
        <f t="shared" si="6"/>
        <v>136</v>
      </c>
      <c r="M12" s="94">
        <f t="shared" si="0"/>
        <v>323.91534331914414</v>
      </c>
      <c r="N12" s="94">
        <f t="shared" si="1"/>
        <v>6478.306866382883</v>
      </c>
      <c r="P12" s="94">
        <f t="shared" si="2"/>
        <v>472.3143687017068</v>
      </c>
      <c r="Q12" s="94">
        <f t="shared" si="3"/>
        <v>1686.8370310775242</v>
      </c>
      <c r="R12" s="94">
        <f t="shared" si="4"/>
        <v>10121.022186465147</v>
      </c>
      <c r="T12" s="94">
        <f t="shared" si="5"/>
        <v>1686.8370310775242</v>
      </c>
      <c r="V12" s="94">
        <v>3166</v>
      </c>
      <c r="W12" s="94">
        <v>7915</v>
      </c>
      <c r="X12" s="94">
        <v>39576</v>
      </c>
      <c r="Z12" s="94">
        <v>7915</v>
      </c>
      <c r="AB12" s="94">
        <v>7915</v>
      </c>
      <c r="AC12" s="94">
        <v>7915</v>
      </c>
      <c r="AD12" s="94">
        <v>9556.411981207042</v>
      </c>
      <c r="AE12" s="94">
        <v>159273.53302011738</v>
      </c>
      <c r="AG12" s="94">
        <v>15209.626794446685</v>
      </c>
      <c r="AH12" s="94">
        <v>456288.80383340054</v>
      </c>
    </row>
    <row r="13" spans="1:34" s="94" customFormat="1" ht="12.75">
      <c r="A13" s="94" t="s">
        <v>70</v>
      </c>
      <c r="B13" s="94">
        <f>ROUND(($C$34*B$20),1)</f>
        <v>1.9</v>
      </c>
      <c r="C13" s="103">
        <f>ROUND(($C$34*C$20),1)</f>
        <v>3.1</v>
      </c>
      <c r="D13" s="94">
        <f>ROUND(($C$34*D$20),1)</f>
        <v>5.8</v>
      </c>
      <c r="F13" s="94">
        <f>ROUND(($C$34*F$20),1)</f>
        <v>3.1</v>
      </c>
      <c r="G13" s="94">
        <f>ROUND(($C$34*G$20),1)</f>
        <v>81.4</v>
      </c>
      <c r="H13" s="94">
        <f>ROUND(($C$34*H$20),1)</f>
        <v>1743.8</v>
      </c>
      <c r="J13" s="94">
        <f>ROUND(($C$34*J$20),1)</f>
        <v>3.1</v>
      </c>
      <c r="L13" s="94">
        <f t="shared" si="6"/>
        <v>147.7</v>
      </c>
      <c r="M13" s="94">
        <f t="shared" si="0"/>
        <v>351.62973786415125</v>
      </c>
      <c r="N13" s="94">
        <f t="shared" si="1"/>
        <v>7032.5947572830255</v>
      </c>
      <c r="P13" s="94">
        <f t="shared" si="2"/>
        <v>529.7045280771664</v>
      </c>
      <c r="Q13" s="94">
        <f t="shared" si="3"/>
        <v>1891.80188598988</v>
      </c>
      <c r="R13" s="94">
        <f t="shared" si="4"/>
        <v>11350.81131593928</v>
      </c>
      <c r="T13" s="94">
        <f t="shared" si="5"/>
        <v>1891.80188598988</v>
      </c>
      <c r="V13" s="94">
        <v>3468</v>
      </c>
      <c r="W13" s="94">
        <v>8671</v>
      </c>
      <c r="X13" s="94">
        <v>43354</v>
      </c>
      <c r="Z13" s="94">
        <v>8671</v>
      </c>
      <c r="AB13" s="94">
        <v>8671</v>
      </c>
      <c r="AC13" s="94">
        <v>8671</v>
      </c>
      <c r="AD13" s="94">
        <v>10162.286174350682</v>
      </c>
      <c r="AE13" s="94">
        <v>169371.43623917803</v>
      </c>
      <c r="AG13" s="94">
        <v>16319.3836594717</v>
      </c>
      <c r="AH13" s="94">
        <v>489581.509784151</v>
      </c>
    </row>
    <row r="14" spans="1:34" s="94" customFormat="1" ht="12.75">
      <c r="A14" s="94" t="s">
        <v>71</v>
      </c>
      <c r="B14" s="94">
        <f>ROUND(($C$35*B$20),1)</f>
        <v>3.9</v>
      </c>
      <c r="C14" s="103">
        <f>ROUND(($C$35*C$20),1)</f>
        <v>6.3</v>
      </c>
      <c r="D14" s="94">
        <f>ROUND(($C$35*D$20),1)</f>
        <v>11.8</v>
      </c>
      <c r="F14" s="94">
        <f>ROUND(($C$35*F$20),1)</f>
        <v>6.3</v>
      </c>
      <c r="G14" s="94">
        <f>ROUND(($C$35*G$20),1)</f>
        <v>165.4</v>
      </c>
      <c r="H14" s="94">
        <f>ROUND(($C$35*H$20),1)</f>
        <v>3543.8</v>
      </c>
      <c r="J14" s="94">
        <f>ROUND(($C$35*J$20),1)</f>
        <v>6.3</v>
      </c>
      <c r="L14" s="94">
        <f t="shared" si="6"/>
        <v>182.8</v>
      </c>
      <c r="M14" s="94">
        <f t="shared" si="0"/>
        <v>435.1300497110504</v>
      </c>
      <c r="N14" s="94">
        <f t="shared" si="1"/>
        <v>8702.600994221008</v>
      </c>
      <c r="P14" s="94">
        <f t="shared" si="2"/>
        <v>739.695584980859</v>
      </c>
      <c r="Q14" s="94">
        <f t="shared" si="3"/>
        <v>2641.769946360211</v>
      </c>
      <c r="R14" s="94">
        <f t="shared" si="4"/>
        <v>15850.619678161267</v>
      </c>
      <c r="T14" s="94">
        <f t="shared" si="5"/>
        <v>2641.769946360211</v>
      </c>
      <c r="V14" s="94">
        <v>3736</v>
      </c>
      <c r="W14" s="94">
        <v>9340</v>
      </c>
      <c r="X14" s="94">
        <v>46703</v>
      </c>
      <c r="Z14" s="94">
        <v>9340</v>
      </c>
      <c r="AB14" s="94">
        <v>9340</v>
      </c>
      <c r="AC14" s="94">
        <v>9340</v>
      </c>
      <c r="AD14" s="94">
        <v>10465.955192460511</v>
      </c>
      <c r="AE14" s="94">
        <v>174432.58654100852</v>
      </c>
      <c r="AG14" s="94">
        <v>17256.166532074843</v>
      </c>
      <c r="AH14" s="94">
        <v>517684.9959622453</v>
      </c>
    </row>
    <row r="15" spans="1:34" s="94" customFormat="1" ht="12.75">
      <c r="A15" s="94" t="s">
        <v>72</v>
      </c>
      <c r="B15" s="94">
        <f>ROUND(($C$36*B$20),1)</f>
        <v>7.2</v>
      </c>
      <c r="C15" s="103">
        <f>ROUND(($C$36*C$20),1)</f>
        <v>11.5</v>
      </c>
      <c r="D15" s="94">
        <f>ROUND(($C$36*D$20),1)</f>
        <v>21.6</v>
      </c>
      <c r="F15" s="94">
        <f>ROUND(($C$36*F$20),1)</f>
        <v>11.5</v>
      </c>
      <c r="G15" s="94">
        <f>ROUND(($C$36*G$20),1)</f>
        <v>301.9</v>
      </c>
      <c r="H15" s="94">
        <f>ROUND(($C$36*H$20),1)</f>
        <v>6468.8</v>
      </c>
      <c r="J15" s="94">
        <f>ROUND(($C$36*J$20),1)</f>
        <v>11.5</v>
      </c>
      <c r="L15" s="94">
        <f t="shared" si="6"/>
        <v>207.4</v>
      </c>
      <c r="M15" s="94">
        <f t="shared" si="0"/>
        <v>493.69171789526706</v>
      </c>
      <c r="N15" s="94">
        <f t="shared" si="1"/>
        <v>9873.834357905342</v>
      </c>
      <c r="P15" s="94">
        <f t="shared" si="2"/>
        <v>692.6571785055685</v>
      </c>
      <c r="Q15" s="94">
        <f t="shared" si="3"/>
        <v>2473.7756375198874</v>
      </c>
      <c r="R15" s="94">
        <f t="shared" si="4"/>
        <v>14842.653825119325</v>
      </c>
      <c r="T15" s="94">
        <f t="shared" si="5"/>
        <v>2473.7756375198874</v>
      </c>
      <c r="V15" s="94">
        <v>3997</v>
      </c>
      <c r="W15" s="94">
        <v>9993</v>
      </c>
      <c r="X15" s="94">
        <v>49962</v>
      </c>
      <c r="Z15" s="94">
        <v>9993</v>
      </c>
      <c r="AB15" s="94">
        <v>9993</v>
      </c>
      <c r="AC15" s="94">
        <v>9993</v>
      </c>
      <c r="AD15" s="94">
        <v>11294.019852500383</v>
      </c>
      <c r="AE15" s="94">
        <v>188233.66420833973</v>
      </c>
      <c r="AG15" s="94">
        <v>18648.62235928892</v>
      </c>
      <c r="AH15" s="94">
        <v>559458.6707786676</v>
      </c>
    </row>
    <row r="16" spans="2:34" s="94" customFormat="1" ht="12.75">
      <c r="B16" s="95"/>
      <c r="C16" s="104"/>
      <c r="D16" s="95"/>
      <c r="F16" s="95"/>
      <c r="G16" s="95"/>
      <c r="H16" s="95"/>
      <c r="J16" s="95"/>
      <c r="L16" s="95"/>
      <c r="M16" s="95"/>
      <c r="N16" s="95"/>
      <c r="P16" s="95"/>
      <c r="Q16" s="95"/>
      <c r="R16" s="95"/>
      <c r="T16" s="95"/>
      <c r="V16" s="95"/>
      <c r="W16" s="95"/>
      <c r="X16" s="95"/>
      <c r="Z16" s="95"/>
      <c r="AB16" s="95"/>
      <c r="AD16" s="95"/>
      <c r="AE16" s="95"/>
      <c r="AG16" s="95"/>
      <c r="AH16" s="95"/>
    </row>
    <row r="17" spans="1:34" s="94" customFormat="1" ht="12.75">
      <c r="A17" s="94" t="s">
        <v>23</v>
      </c>
      <c r="B17" s="94">
        <f>SUM(B4:B15)</f>
        <v>50</v>
      </c>
      <c r="C17" s="103">
        <f>SUM(C4:C15)</f>
        <v>80</v>
      </c>
      <c r="D17" s="94">
        <f>SUM(D4:D15)</f>
        <v>150.09999999999997</v>
      </c>
      <c r="F17" s="94">
        <f>SUM(F4:F15)</f>
        <v>80</v>
      </c>
      <c r="G17" s="94">
        <f>SUM(G4:G15)</f>
        <v>2100.1000000000004</v>
      </c>
      <c r="H17" s="94">
        <f>SUM(H4:H15)</f>
        <v>45000.40000000001</v>
      </c>
      <c r="J17" s="94">
        <f>SUM(J4:J15)</f>
        <v>80</v>
      </c>
      <c r="L17" s="94">
        <f>SUM(L4:L15)</f>
        <v>2100</v>
      </c>
      <c r="M17" s="94">
        <v>5000</v>
      </c>
      <c r="N17" s="94">
        <v>100000</v>
      </c>
      <c r="P17" s="94">
        <v>7000</v>
      </c>
      <c r="Q17" s="94">
        <v>25000</v>
      </c>
      <c r="R17" s="94">
        <v>150000</v>
      </c>
      <c r="T17" s="94">
        <v>25000</v>
      </c>
      <c r="V17" s="94">
        <v>40000</v>
      </c>
      <c r="W17" s="94">
        <v>100000</v>
      </c>
      <c r="X17" s="94">
        <v>500000</v>
      </c>
      <c r="Z17" s="94">
        <v>100000</v>
      </c>
      <c r="AB17" s="94">
        <v>100000</v>
      </c>
      <c r="AD17" s="94">
        <v>120000</v>
      </c>
      <c r="AE17" s="94">
        <v>2000000</v>
      </c>
      <c r="AG17" s="94">
        <v>200000</v>
      </c>
      <c r="AH17" s="94">
        <v>6000000</v>
      </c>
    </row>
    <row r="18" s="94" customFormat="1" ht="12.75"/>
    <row r="19" s="94" customFormat="1" ht="12.75"/>
    <row r="20" spans="1:34" s="94" customFormat="1" ht="12.75">
      <c r="A20" s="94" t="s">
        <v>24</v>
      </c>
      <c r="B20" s="94">
        <v>50</v>
      </c>
      <c r="C20" s="94">
        <v>80</v>
      </c>
      <c r="D20" s="94">
        <v>150</v>
      </c>
      <c r="F20" s="94">
        <v>80</v>
      </c>
      <c r="G20" s="94">
        <v>2100</v>
      </c>
      <c r="H20" s="94">
        <v>45000</v>
      </c>
      <c r="J20" s="103">
        <v>80</v>
      </c>
      <c r="L20" s="94">
        <v>2100</v>
      </c>
      <c r="M20" s="94">
        <f>SUM(M4:M15)</f>
        <v>5000</v>
      </c>
      <c r="N20" s="94">
        <f>SUM(N4:N15)</f>
        <v>100000.00000000001</v>
      </c>
      <c r="P20" s="94">
        <f>SUM(P4:P15)</f>
        <v>6999.999999999999</v>
      </c>
      <c r="Q20" s="94">
        <f>SUM(Q4:Q15)</f>
        <v>24999.999999999996</v>
      </c>
      <c r="R20" s="94">
        <f>SUM(R4:R15)</f>
        <v>149999.99999999997</v>
      </c>
      <c r="T20" s="94">
        <f>SUM(T4:T15)</f>
        <v>24999.999999999996</v>
      </c>
      <c r="V20" s="94">
        <f>SUM(V4:V15)</f>
        <v>40000</v>
      </c>
      <c r="W20" s="94">
        <f>SUM(W4:W15)</f>
        <v>100000</v>
      </c>
      <c r="X20" s="94">
        <f>SUM(X4:X15)</f>
        <v>500000</v>
      </c>
      <c r="Z20" s="94">
        <f>SUM(Z4:Z15)</f>
        <v>100000</v>
      </c>
      <c r="AB20" s="94">
        <f>SUM(AB4:AB15)</f>
        <v>100000</v>
      </c>
      <c r="AD20" s="94">
        <f>SUM(AD4:AD15)</f>
        <v>120000</v>
      </c>
      <c r="AE20" s="94">
        <f>SUM(AE4:AE15)</f>
        <v>1999999.9999999998</v>
      </c>
      <c r="AG20" s="94">
        <f>SUM(AG4:AG15)</f>
        <v>200000</v>
      </c>
      <c r="AH20" s="94">
        <f>SUM(AH4:AH15)</f>
        <v>6000000</v>
      </c>
    </row>
    <row r="24" spans="2:17" ht="13.5" thickBot="1">
      <c r="B24" s="138" t="s">
        <v>25</v>
      </c>
      <c r="C24" s="138"/>
      <c r="L24" s="138" t="s">
        <v>26</v>
      </c>
      <c r="M24" s="138"/>
      <c r="P24" s="138" t="s">
        <v>27</v>
      </c>
      <c r="Q24" s="138"/>
    </row>
    <row r="25" spans="1:31" ht="12.75">
      <c r="A25" s="88" t="s">
        <v>61</v>
      </c>
      <c r="B25" s="86">
        <v>14.9</v>
      </c>
      <c r="C25" s="91">
        <f>B25/$B$37</f>
        <v>0.18625</v>
      </c>
      <c r="L25" s="86">
        <f>'F1 Data'!I1</f>
        <v>1299.2250408226084</v>
      </c>
      <c r="M25" s="91">
        <f aca="true" t="shared" si="7" ref="M25:M36">L25/$L$37</f>
        <v>0.1160698534657204</v>
      </c>
      <c r="P25" s="86">
        <f>'I4 Data'!H1</f>
        <v>3360.3818585507247</v>
      </c>
      <c r="Q25" s="91">
        <f aca="true" t="shared" si="8" ref="Q25:Q36">P25/$P$37</f>
        <v>0.10270920150903964</v>
      </c>
      <c r="AB25" s="91"/>
      <c r="AE25" s="91"/>
    </row>
    <row r="26" spans="1:31" ht="12.75">
      <c r="A26" s="88" t="s">
        <v>62</v>
      </c>
      <c r="B26" s="87">
        <v>12.5</v>
      </c>
      <c r="C26" s="91">
        <f aca="true" t="shared" si="9" ref="C26:C36">B26/$B$37</f>
        <v>0.15625</v>
      </c>
      <c r="L26" s="87">
        <f>'F1 Data'!J1</f>
        <v>1256.489094073784</v>
      </c>
      <c r="M26" s="91">
        <f t="shared" si="7"/>
        <v>0.11225191975832031</v>
      </c>
      <c r="P26" s="87">
        <f>'I4 Data'!I1</f>
        <v>2832.8933155797104</v>
      </c>
      <c r="Q26" s="91">
        <f t="shared" si="8"/>
        <v>0.08658665075908242</v>
      </c>
      <c r="AB26" s="91"/>
      <c r="AE26" s="91"/>
    </row>
    <row r="27" spans="1:31" ht="12.75">
      <c r="A27" s="88" t="s">
        <v>63</v>
      </c>
      <c r="B27" s="87">
        <v>10.1</v>
      </c>
      <c r="C27" s="91">
        <f t="shared" si="9"/>
        <v>0.12625</v>
      </c>
      <c r="L27" s="87">
        <f>'F1 Data'!K1</f>
        <v>1071.168205388012</v>
      </c>
      <c r="M27" s="91">
        <f t="shared" si="7"/>
        <v>0.0956957668840843</v>
      </c>
      <c r="P27" s="87">
        <f>'I4 Data'!J1</f>
        <v>2768.0466541285705</v>
      </c>
      <c r="Q27" s="91">
        <f t="shared" si="8"/>
        <v>0.0846046293405267</v>
      </c>
      <c r="AB27" s="91"/>
      <c r="AE27" s="91"/>
    </row>
    <row r="28" spans="1:31" ht="12.75">
      <c r="A28" s="88" t="s">
        <v>64</v>
      </c>
      <c r="B28" s="87">
        <v>8.3</v>
      </c>
      <c r="C28" s="91">
        <f t="shared" si="9"/>
        <v>0.10375000000000001</v>
      </c>
      <c r="L28" s="87">
        <f>'F1 Data'!L1</f>
        <v>969.7167930771647</v>
      </c>
      <c r="M28" s="91">
        <f t="shared" si="7"/>
        <v>0.08663232507006664</v>
      </c>
      <c r="P28" s="87">
        <f>'I4 Data'!K1</f>
        <v>2398.801906855073</v>
      </c>
      <c r="Q28" s="91">
        <f t="shared" si="8"/>
        <v>0.07331875923699496</v>
      </c>
      <c r="AB28" s="91"/>
      <c r="AE28" s="91"/>
    </row>
    <row r="29" spans="1:31" ht="12.75">
      <c r="A29" s="88" t="s">
        <v>65</v>
      </c>
      <c r="B29" s="87">
        <v>4.4</v>
      </c>
      <c r="C29" s="91">
        <f t="shared" si="9"/>
        <v>0.05500000000000001</v>
      </c>
      <c r="L29" s="87">
        <f>'F1 Data'!M1</f>
        <v>894.6007258750006</v>
      </c>
      <c r="M29" s="91">
        <f t="shared" si="7"/>
        <v>0.07992162396815737</v>
      </c>
      <c r="P29" s="87">
        <f>'I4 Data'!L1</f>
        <v>2577.501539242857</v>
      </c>
      <c r="Q29" s="91">
        <f t="shared" si="8"/>
        <v>0.0787806672358746</v>
      </c>
      <c r="AB29" s="91"/>
      <c r="AE29" s="91"/>
    </row>
    <row r="30" spans="1:31" ht="12.75">
      <c r="A30" s="88" t="s">
        <v>66</v>
      </c>
      <c r="B30" s="87">
        <v>3.1</v>
      </c>
      <c r="C30" s="91">
        <f t="shared" si="9"/>
        <v>0.03875</v>
      </c>
      <c r="L30" s="87">
        <f>'F1 Data'!N1</f>
        <v>796.8504166945804</v>
      </c>
      <c r="M30" s="91">
        <f t="shared" si="7"/>
        <v>0.07118883041330365</v>
      </c>
      <c r="P30" s="87">
        <f>'I4 Data'!M1</f>
        <v>2296.530346900001</v>
      </c>
      <c r="Q30" s="91">
        <f t="shared" si="8"/>
        <v>0.07019285548491376</v>
      </c>
      <c r="AB30" s="91"/>
      <c r="AE30" s="91"/>
    </row>
    <row r="31" spans="1:31" ht="12.75">
      <c r="A31" s="88" t="s">
        <v>67</v>
      </c>
      <c r="B31" s="87">
        <v>2</v>
      </c>
      <c r="C31" s="91">
        <f t="shared" si="9"/>
        <v>0.025</v>
      </c>
      <c r="L31" s="87">
        <f>'F1 Data'!C1</f>
        <v>658.8182934241003</v>
      </c>
      <c r="M31" s="91">
        <f t="shared" si="7"/>
        <v>0.05885734986284959</v>
      </c>
      <c r="P31" s="87">
        <f>'I4 Data'!B1</f>
        <v>2630.814512671428</v>
      </c>
      <c r="Q31" s="91">
        <f t="shared" si="8"/>
        <v>0.08041016446607413</v>
      </c>
      <c r="AB31" s="91"/>
      <c r="AE31" s="91"/>
    </row>
    <row r="32" spans="1:31" ht="12.75">
      <c r="A32" s="88" t="s">
        <v>68</v>
      </c>
      <c r="B32" s="87">
        <v>1.8</v>
      </c>
      <c r="C32" s="91">
        <f t="shared" si="9"/>
        <v>0.0225</v>
      </c>
      <c r="L32" s="87">
        <f>'F1 Data'!D1</f>
        <v>654.9186092644757</v>
      </c>
      <c r="M32" s="91">
        <f t="shared" si="7"/>
        <v>0.058508960819575274</v>
      </c>
      <c r="P32" s="87">
        <f>'I4 Data'!C1</f>
        <v>2474.4097022857154</v>
      </c>
      <c r="Q32" s="91">
        <f t="shared" si="8"/>
        <v>0.07562969192959355</v>
      </c>
      <c r="AB32" s="91"/>
      <c r="AE32" s="91"/>
    </row>
    <row r="33" spans="1:31" ht="12.75">
      <c r="A33" s="88" t="s">
        <v>69</v>
      </c>
      <c r="B33" s="87">
        <v>2</v>
      </c>
      <c r="C33" s="91">
        <f t="shared" si="9"/>
        <v>0.025</v>
      </c>
      <c r="L33" s="87">
        <f>'F1 Data'!E1</f>
        <v>725.1476806097169</v>
      </c>
      <c r="M33" s="91">
        <f t="shared" si="7"/>
        <v>0.06478306866382882</v>
      </c>
      <c r="P33" s="87">
        <f>'I4 Data'!D1</f>
        <v>2207.5593907</v>
      </c>
      <c r="Q33" s="91">
        <f t="shared" si="8"/>
        <v>0.06747348124310097</v>
      </c>
      <c r="AB33" s="91"/>
      <c r="AE33" s="91"/>
    </row>
    <row r="34" spans="1:31" ht="12.75">
      <c r="A34" s="88" t="s">
        <v>70</v>
      </c>
      <c r="B34" s="87">
        <v>3.1</v>
      </c>
      <c r="C34" s="91">
        <f t="shared" si="9"/>
        <v>0.03875</v>
      </c>
      <c r="L34" s="87">
        <f>'F1 Data'!F1</f>
        <v>787.1917589107978</v>
      </c>
      <c r="M34" s="91">
        <f t="shared" si="7"/>
        <v>0.07032594757283026</v>
      </c>
      <c r="P34" s="87">
        <f>'I4 Data'!E1</f>
        <v>2475.7963821159415</v>
      </c>
      <c r="Q34" s="91">
        <f t="shared" si="8"/>
        <v>0.0756720754395952</v>
      </c>
      <c r="AB34" s="91"/>
      <c r="AE34" s="91"/>
    </row>
    <row r="35" spans="1:31" ht="12.75">
      <c r="A35" s="88" t="s">
        <v>71</v>
      </c>
      <c r="B35" s="87">
        <v>6.3</v>
      </c>
      <c r="C35" s="91">
        <f t="shared" si="9"/>
        <v>0.07875</v>
      </c>
      <c r="L35" s="87">
        <f>'F1 Data'!G1</f>
        <v>974.1234949795916</v>
      </c>
      <c r="M35" s="91">
        <f t="shared" si="7"/>
        <v>0.08702600994221008</v>
      </c>
      <c r="P35" s="87">
        <f>'I4 Data'!F1</f>
        <v>3457.2777012318843</v>
      </c>
      <c r="Q35" s="91">
        <f t="shared" si="8"/>
        <v>0.10567079785440844</v>
      </c>
      <c r="AB35" s="91"/>
      <c r="AE35" s="91"/>
    </row>
    <row r="36" spans="1:31" ht="12.75">
      <c r="A36" s="88" t="s">
        <v>72</v>
      </c>
      <c r="B36" s="87">
        <v>11.5</v>
      </c>
      <c r="C36" s="91">
        <f t="shared" si="9"/>
        <v>0.14375</v>
      </c>
      <c r="L36" s="87">
        <f>'F1 Data'!H1</f>
        <v>1105.2252125496057</v>
      </c>
      <c r="M36" s="91">
        <f t="shared" si="7"/>
        <v>0.09873834357905341</v>
      </c>
      <c r="P36" s="87">
        <f>'I4 Data'!G1</f>
        <v>3237.423970710143</v>
      </c>
      <c r="Q36" s="91">
        <f t="shared" si="8"/>
        <v>0.0989510255007955</v>
      </c>
      <c r="AB36" s="98"/>
      <c r="AE36" s="98"/>
    </row>
    <row r="37" spans="2:31" ht="12.75">
      <c r="B37" s="92">
        <f>SUM(B25:B36)</f>
        <v>80</v>
      </c>
      <c r="C37" s="93">
        <f>SUM(C25:C36)</f>
        <v>1</v>
      </c>
      <c r="L37" s="92">
        <f>SUM(L25:L36)</f>
        <v>11193.475325669437</v>
      </c>
      <c r="M37" s="93">
        <f>SUM(M25:M36)</f>
        <v>1.0000000000000002</v>
      </c>
      <c r="P37" s="92">
        <f>SUM(P25:P36)</f>
        <v>32717.43728097205</v>
      </c>
      <c r="Q37" s="93">
        <f>SUM(Q25:Q36)</f>
        <v>0.9999999999999999</v>
      </c>
      <c r="AB37" s="98"/>
      <c r="AE37" s="98"/>
    </row>
  </sheetData>
  <sheetProtection/>
  <mergeCells count="10">
    <mergeCell ref="V2:X2"/>
    <mergeCell ref="AD2:AE2"/>
    <mergeCell ref="AG2:AH2"/>
    <mergeCell ref="P2:R2"/>
    <mergeCell ref="B24:C24"/>
    <mergeCell ref="L24:M24"/>
    <mergeCell ref="P24:Q24"/>
    <mergeCell ref="B2:D2"/>
    <mergeCell ref="F2:H2"/>
    <mergeCell ref="L2:N2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21"/>
  <sheetViews>
    <sheetView zoomScalePageLayoutView="0" workbookViewId="0" topLeftCell="D1">
      <selection activeCell="E7" sqref="E7"/>
    </sheetView>
  </sheetViews>
  <sheetFormatPr defaultColWidth="9.140625" defaultRowHeight="15"/>
  <cols>
    <col min="2" max="2" width="10.28125" style="0" customWidth="1"/>
    <col min="3" max="3" width="0" style="0" hidden="1" customWidth="1"/>
    <col min="4" max="4" width="13.140625" style="0" customWidth="1"/>
    <col min="5" max="5" width="14.00390625" style="0" customWidth="1"/>
    <col min="6" max="16" width="12.00390625" style="0" bestFit="1" customWidth="1"/>
    <col min="17" max="17" width="12.8515625" style="0" bestFit="1" customWidth="1"/>
  </cols>
  <sheetData>
    <row r="1" spans="1:17" ht="15.75">
      <c r="A1" s="1" t="s">
        <v>187</v>
      </c>
      <c r="B1" s="1"/>
      <c r="C1" s="1"/>
      <c r="D1" s="2"/>
      <c r="E1" s="2" t="s">
        <v>61</v>
      </c>
      <c r="F1" s="2" t="s">
        <v>62</v>
      </c>
      <c r="G1" s="2" t="s">
        <v>63</v>
      </c>
      <c r="H1" s="2" t="s">
        <v>64</v>
      </c>
      <c r="I1" s="2" t="s">
        <v>65</v>
      </c>
      <c r="J1" s="2" t="s">
        <v>177</v>
      </c>
      <c r="K1" s="2" t="s">
        <v>102</v>
      </c>
      <c r="L1" s="2" t="s">
        <v>68</v>
      </c>
      <c r="M1" s="2" t="s">
        <v>69</v>
      </c>
      <c r="N1" s="2" t="s">
        <v>70</v>
      </c>
      <c r="O1" s="2" t="s">
        <v>71</v>
      </c>
      <c r="P1" s="2" t="s">
        <v>72</v>
      </c>
      <c r="Q1" s="2" t="s">
        <v>158</v>
      </c>
    </row>
    <row r="2" spans="1:17" ht="15.75">
      <c r="A2" s="1"/>
      <c r="B2" s="1"/>
      <c r="C2" s="1"/>
      <c r="D2" s="107"/>
      <c r="E2" s="94">
        <f>'Typical Volumes'!AB4</f>
        <v>10322</v>
      </c>
      <c r="F2" s="94">
        <f>'Typical Volumes'!AB5</f>
        <v>8784</v>
      </c>
      <c r="G2" s="94">
        <f>'Typical Volumes'!AB6</f>
        <v>7424</v>
      </c>
      <c r="H2" s="94">
        <f>'Typical Volumes'!AB7</f>
        <v>7279</v>
      </c>
      <c r="I2" s="94">
        <f>'Typical Volumes'!AB8</f>
        <v>6645</v>
      </c>
      <c r="J2" s="94">
        <f>'Typical Volumes'!AB9</f>
        <v>7011</v>
      </c>
      <c r="K2" s="94">
        <f>'Typical Volumes'!AB10</f>
        <v>7885</v>
      </c>
      <c r="L2" s="94">
        <f>'Typical Volumes'!AB11</f>
        <v>8731</v>
      </c>
      <c r="M2" s="94">
        <f>'Typical Volumes'!AB12</f>
        <v>7915</v>
      </c>
      <c r="N2" s="94">
        <f>'Typical Volumes'!AB13</f>
        <v>8671</v>
      </c>
      <c r="O2" s="94">
        <f>'Typical Volumes'!AB14</f>
        <v>9340</v>
      </c>
      <c r="P2" s="94">
        <f>'Typical Volumes'!AB15</f>
        <v>9993</v>
      </c>
      <c r="Q2" s="2">
        <f>SUM(D2:P2)</f>
        <v>100000</v>
      </c>
    </row>
    <row r="3" spans="1:27" ht="15.75">
      <c r="A3" s="108"/>
      <c r="B3" s="1"/>
      <c r="C3" s="1"/>
      <c r="D3" s="2" t="s">
        <v>75</v>
      </c>
      <c r="E3" s="24">
        <f>E2/Q2</f>
        <v>0.10322</v>
      </c>
      <c r="F3" s="24">
        <f>F2/Q2</f>
        <v>0.08784</v>
      </c>
      <c r="G3" s="24">
        <f>G2/Q2</f>
        <v>0.07424</v>
      </c>
      <c r="H3" s="24">
        <f>H2/Q2</f>
        <v>0.07279</v>
      </c>
      <c r="I3" s="24">
        <f>I2/Q2</f>
        <v>0.06645</v>
      </c>
      <c r="J3" s="24">
        <f>J2/Q2</f>
        <v>0.07011</v>
      </c>
      <c r="K3" s="24">
        <f>K2/Q2</f>
        <v>0.07885</v>
      </c>
      <c r="L3" s="24">
        <f>L2/Q2</f>
        <v>0.08731</v>
      </c>
      <c r="M3" s="24">
        <f>M2/Q2</f>
        <v>0.07915</v>
      </c>
      <c r="N3" s="24">
        <f>N2/Q2</f>
        <v>0.08671</v>
      </c>
      <c r="O3" s="24">
        <f>O2/Q2</f>
        <v>0.0934</v>
      </c>
      <c r="P3" s="24">
        <f>P2/Q2</f>
        <v>0.09993</v>
      </c>
      <c r="Q3" s="23"/>
      <c r="S3" s="2"/>
      <c r="T3" s="2"/>
      <c r="U3" s="2"/>
      <c r="V3" s="2"/>
      <c r="W3" s="2"/>
      <c r="X3" s="2"/>
      <c r="Y3" s="2"/>
      <c r="Z3" s="2"/>
      <c r="AA3" s="2"/>
    </row>
    <row r="4" spans="1:17" ht="15.75">
      <c r="A4" s="1" t="s">
        <v>49</v>
      </c>
      <c r="B4" s="8">
        <v>100000</v>
      </c>
      <c r="C4" s="1"/>
      <c r="D4" s="2" t="s">
        <v>76</v>
      </c>
      <c r="E4" s="9">
        <f>E3*B4</f>
        <v>10322</v>
      </c>
      <c r="F4" s="9">
        <f>F3*B4</f>
        <v>8784</v>
      </c>
      <c r="G4" s="9">
        <f>G3*B4</f>
        <v>7424</v>
      </c>
      <c r="H4" s="9">
        <f>B4*H3</f>
        <v>7278.999999999999</v>
      </c>
      <c r="I4" s="9">
        <f>I3*B4</f>
        <v>6644.999999999999</v>
      </c>
      <c r="J4" s="9">
        <f>J3*B4</f>
        <v>7011.000000000001</v>
      </c>
      <c r="K4" s="9">
        <f>K3*B4</f>
        <v>7885</v>
      </c>
      <c r="L4" s="9">
        <f>L3*B4</f>
        <v>8731</v>
      </c>
      <c r="M4" s="9">
        <f>M3*B4</f>
        <v>7915</v>
      </c>
      <c r="N4" s="9">
        <f>N3*B4</f>
        <v>8671</v>
      </c>
      <c r="O4" s="9">
        <f>B4*O3</f>
        <v>9340</v>
      </c>
      <c r="P4" s="9">
        <f>P3*B4</f>
        <v>9993</v>
      </c>
      <c r="Q4" s="12">
        <f>SUM(E4:P4)</f>
        <v>100000</v>
      </c>
    </row>
    <row r="5" spans="2:16" ht="14.25">
      <c r="B5" s="8"/>
      <c r="D5" t="s">
        <v>37</v>
      </c>
      <c r="E5" s="4">
        <f>MIN(E4,julitsf1blk1)*julitsf1w1</f>
        <v>8326.438750000001</v>
      </c>
      <c r="F5" s="4">
        <f>MIN(F4,julitsf1blk1)*julitsf1w1</f>
        <v>8326.438750000001</v>
      </c>
      <c r="G5">
        <f>MIN(G4,julitsf1blk1)*julitsf1w1</f>
        <v>8326.438750000001</v>
      </c>
      <c r="H5">
        <f aca="true" t="shared" si="0" ref="H5:N5">MIN(H4,julitsf1blk1)*julitsf1s1</f>
        <v>8326.438750000001</v>
      </c>
      <c r="I5">
        <f t="shared" si="0"/>
        <v>8326.438750000001</v>
      </c>
      <c r="J5">
        <f t="shared" si="0"/>
        <v>8326.438750000001</v>
      </c>
      <c r="K5">
        <f t="shared" si="0"/>
        <v>8326.438750000001</v>
      </c>
      <c r="L5">
        <f t="shared" si="0"/>
        <v>8326.438750000001</v>
      </c>
      <c r="M5">
        <f t="shared" si="0"/>
        <v>8326.438750000001</v>
      </c>
      <c r="N5">
        <f t="shared" si="0"/>
        <v>8326.438750000001</v>
      </c>
      <c r="O5">
        <f>MIN(O4,julitsf1blk1)*julitsf1w1</f>
        <v>8326.438750000001</v>
      </c>
      <c r="P5">
        <f>MIN(P4,julitsf1blk1)*julitsf1w1</f>
        <v>8326.438750000001</v>
      </c>
    </row>
    <row r="6" spans="4:16" ht="14.25">
      <c r="D6" t="s">
        <v>38</v>
      </c>
      <c r="E6">
        <f>MIN(MAX(0,E4-julitsf1blk1),julitsf1blk2)*julitsf1w2</f>
        <v>65340.45891</v>
      </c>
      <c r="F6">
        <f>MIN(MAX(0,F4-julitsf1blk1),julitsf1blk2)*julitsf1w2</f>
        <v>54702.83577</v>
      </c>
      <c r="G6">
        <f>MIN(MAX(0,G4-julitsf1blk1),julitsf1blk2)*julitsf1w2</f>
        <v>45296.35497</v>
      </c>
      <c r="H6">
        <f aca="true" t="shared" si="1" ref="H6:N6">MIN(MAX(0,H4-julitsf1blk1),julitsf1blk2)*julitsf1s2</f>
        <v>44293.458119999996</v>
      </c>
      <c r="I6">
        <f t="shared" si="1"/>
        <v>39908.378099999994</v>
      </c>
      <c r="J6">
        <f t="shared" si="1"/>
        <v>42439.82808000001</v>
      </c>
      <c r="K6">
        <f t="shared" si="1"/>
        <v>48484.8753</v>
      </c>
      <c r="L6">
        <f t="shared" si="1"/>
        <v>54336.259679999996</v>
      </c>
      <c r="M6">
        <f t="shared" si="1"/>
        <v>48692.3712</v>
      </c>
      <c r="N6">
        <f t="shared" si="1"/>
        <v>53921.26788</v>
      </c>
      <c r="O6">
        <f>MIN(MAX(0,O4-julitsf1blk1),julitsf1blk2)*julitsf1w2</f>
        <v>58548.42645</v>
      </c>
      <c r="P6">
        <f>MIN(MAX(0,P4-julitsf1blk1),julitsf1blk2)*julitsf1w2</f>
        <v>63064.92054</v>
      </c>
    </row>
    <row r="7" spans="4:16" ht="14.25">
      <c r="D7" t="s">
        <v>39</v>
      </c>
      <c r="E7" s="4">
        <f>MAX(0,(E4-julitsf1blk1-julitsf1blk2))*julitsf1w3</f>
        <v>0</v>
      </c>
      <c r="F7" s="4">
        <f>MAX(0,(F4-julitsf1blk1-julitsf1blk2))*julitsf1w3</f>
        <v>0</v>
      </c>
      <c r="G7" s="4">
        <f>MAX(0,(G4-julitsf1blk1-julitsf1blk2))*julitsf1w3</f>
        <v>0</v>
      </c>
      <c r="H7" s="4">
        <f aca="true" t="shared" si="2" ref="H7:N7">MAX(0,(H4-julitsf1blk1-julitsf1blk2))*julitsf1s3</f>
        <v>0</v>
      </c>
      <c r="I7" s="4">
        <f t="shared" si="2"/>
        <v>0</v>
      </c>
      <c r="J7" s="4">
        <f t="shared" si="2"/>
        <v>0</v>
      </c>
      <c r="K7" s="4">
        <f t="shared" si="2"/>
        <v>0</v>
      </c>
      <c r="L7" s="4">
        <f t="shared" si="2"/>
        <v>0</v>
      </c>
      <c r="M7" s="4">
        <f t="shared" si="2"/>
        <v>0</v>
      </c>
      <c r="N7" s="4">
        <f t="shared" si="2"/>
        <v>0</v>
      </c>
      <c r="O7" s="4">
        <f>MAX(0,(O4-julitsf1blk1-julitsf1blk2))*julitsf1w3</f>
        <v>0</v>
      </c>
      <c r="P7" s="4">
        <f>MAX(0,(P4-julitsf1blk1-julitsf1blk2))*julitsf1w3</f>
        <v>0</v>
      </c>
    </row>
    <row r="8" spans="4:17" ht="14.25">
      <c r="D8" t="s">
        <v>52</v>
      </c>
      <c r="E8" s="4">
        <f aca="true" t="shared" si="3" ref="E8:P8">SUM(E5:E7)</f>
        <v>73666.89766</v>
      </c>
      <c r="F8" s="4">
        <f t="shared" si="3"/>
        <v>63029.27452</v>
      </c>
      <c r="G8">
        <f t="shared" si="3"/>
        <v>53622.79372</v>
      </c>
      <c r="H8">
        <f t="shared" si="3"/>
        <v>52619.89687</v>
      </c>
      <c r="I8">
        <f t="shared" si="3"/>
        <v>48234.816849999996</v>
      </c>
      <c r="J8">
        <f t="shared" si="3"/>
        <v>50766.26683000001</v>
      </c>
      <c r="K8">
        <f t="shared" si="3"/>
        <v>56811.31405</v>
      </c>
      <c r="L8">
        <f t="shared" si="3"/>
        <v>62662.69843</v>
      </c>
      <c r="M8">
        <f t="shared" si="3"/>
        <v>57018.80995</v>
      </c>
      <c r="N8">
        <f t="shared" si="3"/>
        <v>62247.70663</v>
      </c>
      <c r="O8">
        <f t="shared" si="3"/>
        <v>66874.8652</v>
      </c>
      <c r="P8">
        <f t="shared" si="3"/>
        <v>71391.35929</v>
      </c>
      <c r="Q8" s="72">
        <f>SUM(E8:P8)+12*F9+F10</f>
        <v>726550.7</v>
      </c>
    </row>
    <row r="9" spans="5:6" ht="15">
      <c r="E9" t="s">
        <v>51</v>
      </c>
      <c r="F9" s="25">
        <v>67</v>
      </c>
    </row>
    <row r="10" spans="5:6" ht="14.25">
      <c r="E10" t="s">
        <v>178</v>
      </c>
      <c r="F10">
        <v>6800</v>
      </c>
    </row>
    <row r="12" ht="14.25">
      <c r="I12" t="s">
        <v>179</v>
      </c>
    </row>
    <row r="13" spans="6:14" ht="15.75">
      <c r="F13" s="2" t="s">
        <v>28</v>
      </c>
      <c r="G13" s="2" t="s">
        <v>29</v>
      </c>
      <c r="H13" s="2" t="s">
        <v>30</v>
      </c>
      <c r="I13" s="2" t="s">
        <v>209</v>
      </c>
      <c r="J13" s="2" t="s">
        <v>210</v>
      </c>
      <c r="K13" s="2" t="s">
        <v>211</v>
      </c>
      <c r="L13" s="2" t="s">
        <v>212</v>
      </c>
      <c r="M13" s="2" t="s">
        <v>213</v>
      </c>
      <c r="N13" s="2" t="s">
        <v>214</v>
      </c>
    </row>
    <row r="14" spans="5:14" ht="15.75">
      <c r="E14" s="40">
        <v>39630</v>
      </c>
      <c r="F14" s="2">
        <v>875</v>
      </c>
      <c r="G14" s="2">
        <v>121625</v>
      </c>
      <c r="H14" s="2">
        <v>122500</v>
      </c>
      <c r="I14">
        <f>H21</f>
        <v>9.51593</v>
      </c>
      <c r="J14">
        <f>I21</f>
        <v>6.91653</v>
      </c>
      <c r="K14">
        <f>J21</f>
        <v>6.90777</v>
      </c>
      <c r="L14" s="6">
        <f>H21</f>
        <v>9.51593</v>
      </c>
      <c r="M14" s="6">
        <f>I21</f>
        <v>6.91653</v>
      </c>
      <c r="N14" s="6">
        <f>J21</f>
        <v>6.90777</v>
      </c>
    </row>
    <row r="15" ht="14.25">
      <c r="E15" s="40"/>
    </row>
    <row r="17" ht="14.25">
      <c r="E17" s="40">
        <v>39630</v>
      </c>
    </row>
    <row r="18" spans="5:10" ht="14.25">
      <c r="E18" t="s">
        <v>28</v>
      </c>
      <c r="F18" t="s">
        <v>29</v>
      </c>
      <c r="G18" t="s">
        <v>30</v>
      </c>
      <c r="H18" t="s">
        <v>172</v>
      </c>
      <c r="I18" t="s">
        <v>173</v>
      </c>
      <c r="J18" t="s">
        <v>174</v>
      </c>
    </row>
    <row r="19" spans="5:11" ht="14.25">
      <c r="E19">
        <v>875</v>
      </c>
      <c r="F19">
        <v>121625</v>
      </c>
      <c r="G19">
        <v>122500</v>
      </c>
      <c r="H19">
        <v>2.71593</v>
      </c>
      <c r="I19">
        <v>0.11653</v>
      </c>
      <c r="J19">
        <v>0.10777</v>
      </c>
      <c r="K19" t="s">
        <v>3</v>
      </c>
    </row>
    <row r="20" spans="8:11" ht="14.25">
      <c r="H20" s="30">
        <v>6.8</v>
      </c>
      <c r="I20" s="30">
        <v>6.8</v>
      </c>
      <c r="J20" s="30">
        <v>6.8</v>
      </c>
      <c r="K20" t="s">
        <v>188</v>
      </c>
    </row>
    <row r="21" spans="8:10" ht="14.25">
      <c r="H21">
        <f>SUM(H19:H20)</f>
        <v>9.51593</v>
      </c>
      <c r="I21">
        <f>SUM(I19:I20)</f>
        <v>6.91653</v>
      </c>
      <c r="J21">
        <f>SUM(J19:J20)</f>
        <v>6.90777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21"/>
  <sheetViews>
    <sheetView zoomScalePageLayoutView="0" workbookViewId="0" topLeftCell="D1">
      <selection activeCell="J19" sqref="J19"/>
    </sheetView>
  </sheetViews>
  <sheetFormatPr defaultColWidth="9.140625" defaultRowHeight="15"/>
  <cols>
    <col min="1" max="1" width="12.28125" style="0" customWidth="1"/>
    <col min="2" max="2" width="10.28125" style="0" customWidth="1"/>
    <col min="3" max="3" width="0" style="0" hidden="1" customWidth="1"/>
    <col min="4" max="4" width="13.140625" style="0" customWidth="1"/>
    <col min="5" max="5" width="14.00390625" style="0" customWidth="1"/>
    <col min="6" max="16" width="12.00390625" style="0" bestFit="1" customWidth="1"/>
    <col min="17" max="17" width="12.8515625" style="0" bestFit="1" customWidth="1"/>
  </cols>
  <sheetData>
    <row r="1" spans="1:17" ht="15.75">
      <c r="A1" s="1" t="s">
        <v>176</v>
      </c>
      <c r="B1" s="1"/>
      <c r="C1" s="1"/>
      <c r="D1" s="2"/>
      <c r="E1" s="2" t="s">
        <v>61</v>
      </c>
      <c r="F1" s="2" t="s">
        <v>62</v>
      </c>
      <c r="G1" s="2" t="s">
        <v>63</v>
      </c>
      <c r="H1" s="2" t="s">
        <v>64</v>
      </c>
      <c r="I1" s="2" t="s">
        <v>65</v>
      </c>
      <c r="J1" s="2" t="s">
        <v>177</v>
      </c>
      <c r="K1" s="2" t="s">
        <v>102</v>
      </c>
      <c r="L1" s="2" t="s">
        <v>68</v>
      </c>
      <c r="M1" s="2" t="s">
        <v>69</v>
      </c>
      <c r="N1" s="2" t="s">
        <v>70</v>
      </c>
      <c r="O1" s="2" t="s">
        <v>71</v>
      </c>
      <c r="P1" s="2" t="s">
        <v>72</v>
      </c>
      <c r="Q1" s="2" t="s">
        <v>158</v>
      </c>
    </row>
    <row r="2" spans="1:17" ht="15.75">
      <c r="A2" s="1"/>
      <c r="B2" s="1"/>
      <c r="C2" s="1"/>
      <c r="D2" s="107"/>
      <c r="E2" s="94">
        <f>'Typical Volumes'!AB4</f>
        <v>10322</v>
      </c>
      <c r="F2" s="94">
        <f>'Typical Volumes'!AB5</f>
        <v>8784</v>
      </c>
      <c r="G2" s="94">
        <f>'Typical Volumes'!AB6</f>
        <v>7424</v>
      </c>
      <c r="H2" s="94">
        <f>'Typical Volumes'!AB7</f>
        <v>7279</v>
      </c>
      <c r="I2" s="94">
        <f>'Typical Volumes'!AB8</f>
        <v>6645</v>
      </c>
      <c r="J2" s="94">
        <f>'Typical Volumes'!AB9</f>
        <v>7011</v>
      </c>
      <c r="K2" s="94">
        <f>'Typical Volumes'!AB10</f>
        <v>7885</v>
      </c>
      <c r="L2" s="94">
        <f>'Typical Volumes'!AB11</f>
        <v>8731</v>
      </c>
      <c r="M2" s="94">
        <f>'Typical Volumes'!AB12</f>
        <v>7915</v>
      </c>
      <c r="N2" s="94">
        <f>'Typical Volumes'!AB13</f>
        <v>8671</v>
      </c>
      <c r="O2" s="94">
        <f>'Typical Volumes'!AB14</f>
        <v>9340</v>
      </c>
      <c r="P2" s="94">
        <f>'Typical Volumes'!AB15</f>
        <v>9993</v>
      </c>
      <c r="Q2" s="2">
        <f>SUM(D2:P2)</f>
        <v>100000</v>
      </c>
    </row>
    <row r="3" spans="1:27" ht="15.75">
      <c r="A3" s="108" t="s">
        <v>0</v>
      </c>
      <c r="B3" s="1"/>
      <c r="C3" s="1"/>
      <c r="D3" s="2" t="s">
        <v>75</v>
      </c>
      <c r="E3" s="24">
        <f>E2/Q2</f>
        <v>0.10322</v>
      </c>
      <c r="F3" s="24">
        <f>F2/Q2</f>
        <v>0.08784</v>
      </c>
      <c r="G3" s="24">
        <f>G2/Q2</f>
        <v>0.07424</v>
      </c>
      <c r="H3" s="24">
        <f>H2/Q2</f>
        <v>0.07279</v>
      </c>
      <c r="I3" s="24">
        <f>I2/Q2</f>
        <v>0.06645</v>
      </c>
      <c r="J3" s="24">
        <f>J2/Q2</f>
        <v>0.07011</v>
      </c>
      <c r="K3" s="24">
        <f>K2/Q2</f>
        <v>0.07885</v>
      </c>
      <c r="L3" s="24">
        <f>L2/Q2</f>
        <v>0.08731</v>
      </c>
      <c r="M3" s="24">
        <f>M2/Q2</f>
        <v>0.07915</v>
      </c>
      <c r="N3" s="24">
        <f>N2/Q2</f>
        <v>0.08671</v>
      </c>
      <c r="O3" s="24">
        <f>O2/Q2</f>
        <v>0.0934</v>
      </c>
      <c r="P3" s="24">
        <f>P2/Q2</f>
        <v>0.09993</v>
      </c>
      <c r="Q3" s="23"/>
      <c r="S3" s="2"/>
      <c r="T3" s="2"/>
      <c r="U3" s="2"/>
      <c r="V3" s="2"/>
      <c r="W3" s="2"/>
      <c r="X3" s="2"/>
      <c r="Y3" s="2"/>
      <c r="Z3" s="2"/>
      <c r="AA3" s="2"/>
    </row>
    <row r="4" spans="1:17" ht="15.75">
      <c r="A4" s="1" t="s">
        <v>49</v>
      </c>
      <c r="B4" s="8">
        <v>100000</v>
      </c>
      <c r="C4" s="1"/>
      <c r="D4" s="2" t="s">
        <v>76</v>
      </c>
      <c r="E4" s="9">
        <f>E3*B4</f>
        <v>10322</v>
      </c>
      <c r="F4" s="9">
        <f>F3*B4</f>
        <v>8784</v>
      </c>
      <c r="G4" s="9">
        <f>G3*B4</f>
        <v>7424</v>
      </c>
      <c r="H4" s="9">
        <f>B4*H3</f>
        <v>7278.999999999999</v>
      </c>
      <c r="I4" s="9">
        <f>I3*B4</f>
        <v>6644.999999999999</v>
      </c>
      <c r="J4" s="9">
        <f>J3*B4</f>
        <v>7011.000000000001</v>
      </c>
      <c r="K4" s="9">
        <f>K3*B4</f>
        <v>7885</v>
      </c>
      <c r="L4" s="9">
        <f>L3*B4</f>
        <v>8731</v>
      </c>
      <c r="M4" s="9">
        <f>M3*B4</f>
        <v>7915</v>
      </c>
      <c r="N4" s="9">
        <f>N3*B4</f>
        <v>8671</v>
      </c>
      <c r="O4" s="9">
        <f>B4*O3</f>
        <v>9340</v>
      </c>
      <c r="P4" s="9">
        <f>P3*B4</f>
        <v>9993</v>
      </c>
      <c r="Q4" s="12">
        <f>SUM(E4:P4)</f>
        <v>100000</v>
      </c>
    </row>
    <row r="5" spans="2:16" ht="14.25">
      <c r="B5" s="8"/>
      <c r="D5" t="s">
        <v>37</v>
      </c>
      <c r="E5" s="4">
        <f>MIN(E4,pITSf1blk1)*pITSf1w1</f>
        <v>8453.13875</v>
      </c>
      <c r="F5" s="4">
        <f>MIN(F4,pITSf1blk1)*pITSf1w1</f>
        <v>8453.13875</v>
      </c>
      <c r="G5">
        <f>MIN(G4,pITSf1blk1)*pITSf1w1</f>
        <v>8453.13875</v>
      </c>
      <c r="H5">
        <f aca="true" t="shared" si="0" ref="H5:N5">MIN(H4,pITSf1blk1)*pITSf1s1</f>
        <v>8453.13875</v>
      </c>
      <c r="I5">
        <f t="shared" si="0"/>
        <v>8453.13875</v>
      </c>
      <c r="J5">
        <f t="shared" si="0"/>
        <v>8453.13875</v>
      </c>
      <c r="K5">
        <f t="shared" si="0"/>
        <v>8453.13875</v>
      </c>
      <c r="L5">
        <f t="shared" si="0"/>
        <v>8453.13875</v>
      </c>
      <c r="M5">
        <f t="shared" si="0"/>
        <v>8453.13875</v>
      </c>
      <c r="N5">
        <f t="shared" si="0"/>
        <v>8453.13875</v>
      </c>
      <c r="O5">
        <f>MIN(O4,pITSf1blk1)*pITSf1w1</f>
        <v>8453.13875</v>
      </c>
      <c r="P5">
        <f>MIN(P4,pITSf1blk1)*pITSf1w1</f>
        <v>8453.13875</v>
      </c>
    </row>
    <row r="6" spans="4:16" ht="14.25">
      <c r="D6" t="s">
        <v>38</v>
      </c>
      <c r="E6">
        <f>MIN(MAX(0,E4-pITSf1blk1),pITSf1blk2)*pITSf1w2</f>
        <v>65399.12478</v>
      </c>
      <c r="F6">
        <f>MIN(MAX(0,F4-pITSf1blk1),pITSf1blk2)*pITSf1w2</f>
        <v>54751.95066</v>
      </c>
      <c r="G6">
        <f>MIN(MAX(0,G4-pITSf1blk1),pITSf1blk2)*pITSf1w2</f>
        <v>45337.02426</v>
      </c>
      <c r="H6">
        <f aca="true" t="shared" si="1" ref="H6:N6">MIN(MAX(0,H4-pITSf1blk1),pITSf1blk2)*pITSf1s2</f>
        <v>44333.22695999999</v>
      </c>
      <c r="I6">
        <f t="shared" si="1"/>
        <v>39944.2098</v>
      </c>
      <c r="J6">
        <f t="shared" si="1"/>
        <v>42477.932640000006</v>
      </c>
      <c r="K6">
        <f t="shared" si="1"/>
        <v>48528.407400000004</v>
      </c>
      <c r="L6">
        <f t="shared" si="1"/>
        <v>54385.04544</v>
      </c>
      <c r="M6">
        <f t="shared" si="1"/>
        <v>48736.0896</v>
      </c>
      <c r="N6">
        <f t="shared" si="1"/>
        <v>53969.68104</v>
      </c>
      <c r="O6">
        <f>MIN(MAX(0,O4-pITSf1blk1),pITSf1blk2)*pITSf1w2</f>
        <v>58600.9941</v>
      </c>
      <c r="P6">
        <f>MIN(MAX(0,P4-pITSf1blk1),pITSf1blk2)*pITSf1w2</f>
        <v>63121.543320000004</v>
      </c>
    </row>
    <row r="7" spans="4:16" ht="14.25">
      <c r="D7" t="s">
        <v>39</v>
      </c>
      <c r="E7" s="4">
        <f>MAX(0,(E4-pITSf1blk1-pITSf1blk2))*pITSf1w3</f>
        <v>0</v>
      </c>
      <c r="F7" s="4">
        <f>MAX(0,(F4-pITSf1blk1-pITSf1blk2))*pITSf1w3</f>
        <v>0</v>
      </c>
      <c r="G7" s="4">
        <f>MAX(0,(G4-pITSf1blk1-pITSf1blk2))*pITSf1w3</f>
        <v>0</v>
      </c>
      <c r="H7" s="4">
        <f aca="true" t="shared" si="2" ref="H7:N7">MAX(0,(H4-pITSf1blk1-pITSf1blk2))*pITSf1s3</f>
        <v>0</v>
      </c>
      <c r="I7" s="4">
        <f t="shared" si="2"/>
        <v>0</v>
      </c>
      <c r="J7" s="4">
        <f t="shared" si="2"/>
        <v>0</v>
      </c>
      <c r="K7" s="4">
        <f t="shared" si="2"/>
        <v>0</v>
      </c>
      <c r="L7" s="4">
        <f t="shared" si="2"/>
        <v>0</v>
      </c>
      <c r="M7" s="4">
        <f t="shared" si="2"/>
        <v>0</v>
      </c>
      <c r="N7" s="4">
        <f t="shared" si="2"/>
        <v>0</v>
      </c>
      <c r="O7" s="4">
        <f>MAX(0,(O4-pITSf1blk1-pITSf1blk2))*pITSf1w3</f>
        <v>0</v>
      </c>
      <c r="P7" s="4">
        <f>MAX(0,(P4-pITSf1blk1-pITSf1blk2))*pITSf1w3</f>
        <v>0</v>
      </c>
    </row>
    <row r="8" spans="4:17" ht="14.25">
      <c r="D8" t="s">
        <v>52</v>
      </c>
      <c r="E8" s="4">
        <f aca="true" t="shared" si="3" ref="E8:P8">SUM(E5:E7)</f>
        <v>73852.26353</v>
      </c>
      <c r="F8" s="4">
        <f t="shared" si="3"/>
        <v>63205.08941</v>
      </c>
      <c r="G8">
        <f t="shared" si="3"/>
        <v>53790.16301</v>
      </c>
      <c r="H8">
        <f t="shared" si="3"/>
        <v>52786.36570999999</v>
      </c>
      <c r="I8">
        <f t="shared" si="3"/>
        <v>48397.348549999995</v>
      </c>
      <c r="J8">
        <f t="shared" si="3"/>
        <v>50931.071390000005</v>
      </c>
      <c r="K8">
        <f t="shared" si="3"/>
        <v>56981.54615</v>
      </c>
      <c r="L8">
        <f t="shared" si="3"/>
        <v>62838.18419</v>
      </c>
      <c r="M8">
        <f t="shared" si="3"/>
        <v>57189.22835</v>
      </c>
      <c r="N8">
        <f t="shared" si="3"/>
        <v>62422.81979</v>
      </c>
      <c r="O8">
        <f t="shared" si="3"/>
        <v>67054.13285000001</v>
      </c>
      <c r="P8">
        <f t="shared" si="3"/>
        <v>71574.68207000001</v>
      </c>
      <c r="Q8" s="72">
        <f>SUM(E8:P8)+12*F9+F10</f>
        <v>728626.895</v>
      </c>
    </row>
    <row r="9" spans="5:6" ht="15">
      <c r="E9" t="s">
        <v>51</v>
      </c>
      <c r="F9" s="25">
        <v>67</v>
      </c>
    </row>
    <row r="10" spans="5:6" ht="14.25">
      <c r="E10" t="s">
        <v>178</v>
      </c>
      <c r="F10">
        <v>6800</v>
      </c>
    </row>
    <row r="12" ht="14.25">
      <c r="I12" t="s">
        <v>194</v>
      </c>
    </row>
    <row r="13" spans="6:14" ht="15.75">
      <c r="F13" s="2" t="s">
        <v>28</v>
      </c>
      <c r="G13" s="2" t="s">
        <v>29</v>
      </c>
      <c r="H13" s="2" t="s">
        <v>30</v>
      </c>
      <c r="I13" s="2" t="s">
        <v>31</v>
      </c>
      <c r="J13" s="2" t="s">
        <v>32</v>
      </c>
      <c r="K13" s="2" t="s">
        <v>33</v>
      </c>
      <c r="L13" s="2" t="s">
        <v>34</v>
      </c>
      <c r="M13" s="2" t="s">
        <v>35</v>
      </c>
      <c r="N13" s="2" t="s">
        <v>36</v>
      </c>
    </row>
    <row r="14" spans="5:14" ht="15.75">
      <c r="E14" s="40" t="s">
        <v>86</v>
      </c>
      <c r="F14" s="2">
        <v>875</v>
      </c>
      <c r="G14" s="2">
        <v>121625</v>
      </c>
      <c r="H14" s="2">
        <v>122500</v>
      </c>
      <c r="I14">
        <f>H21</f>
        <v>9.660730000000001</v>
      </c>
      <c r="J14">
        <f>I21</f>
        <v>6.92274</v>
      </c>
      <c r="K14">
        <f>J21</f>
        <v>6.91352</v>
      </c>
      <c r="L14" s="6">
        <f>H21</f>
        <v>9.660730000000001</v>
      </c>
      <c r="M14" s="6">
        <f>I21</f>
        <v>6.92274</v>
      </c>
      <c r="N14" s="6">
        <f>J21</f>
        <v>6.91352</v>
      </c>
    </row>
    <row r="15" ht="14.25">
      <c r="E15" s="40"/>
    </row>
    <row r="17" ht="14.25">
      <c r="E17" s="40">
        <v>39675</v>
      </c>
    </row>
    <row r="18" spans="5:10" ht="14.25">
      <c r="E18" t="s">
        <v>28</v>
      </c>
      <c r="F18" t="s">
        <v>29</v>
      </c>
      <c r="G18" t="s">
        <v>30</v>
      </c>
      <c r="H18" t="s">
        <v>172</v>
      </c>
      <c r="I18" t="s">
        <v>173</v>
      </c>
      <c r="J18" t="s">
        <v>174</v>
      </c>
    </row>
    <row r="19" spans="5:11" ht="14.25">
      <c r="E19">
        <v>875</v>
      </c>
      <c r="F19">
        <v>121625</v>
      </c>
      <c r="G19">
        <v>122500</v>
      </c>
      <c r="H19">
        <v>2.86073</v>
      </c>
      <c r="I19">
        <v>0.12274</v>
      </c>
      <c r="J19">
        <v>0.11352</v>
      </c>
      <c r="K19" t="s">
        <v>3</v>
      </c>
    </row>
    <row r="20" spans="8:10" ht="14.25">
      <c r="H20" s="30">
        <v>6.8</v>
      </c>
      <c r="I20" s="30">
        <v>6.8</v>
      </c>
      <c r="J20" s="30">
        <v>6.8</v>
      </c>
    </row>
    <row r="21" spans="8:11" ht="14.25">
      <c r="H21">
        <f>SUM(H19:H20)</f>
        <v>9.660730000000001</v>
      </c>
      <c r="I21">
        <f>SUM(I19:I20)</f>
        <v>6.92274</v>
      </c>
      <c r="J21">
        <f>SUM(J19:J20)</f>
        <v>6.91352</v>
      </c>
      <c r="K21" t="s">
        <v>190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22"/>
  <sheetViews>
    <sheetView zoomScalePageLayoutView="0" workbookViewId="0" topLeftCell="A1">
      <selection activeCell="K21" sqref="K21"/>
    </sheetView>
  </sheetViews>
  <sheetFormatPr defaultColWidth="9.140625" defaultRowHeight="15"/>
  <cols>
    <col min="2" max="2" width="10.28125" style="0" customWidth="1"/>
    <col min="3" max="3" width="0" style="0" hidden="1" customWidth="1"/>
    <col min="4" max="4" width="13.140625" style="0" customWidth="1"/>
    <col min="5" max="5" width="14.00390625" style="0" customWidth="1"/>
    <col min="6" max="16" width="12.00390625" style="0" bestFit="1" customWidth="1"/>
    <col min="17" max="17" width="12.8515625" style="0" bestFit="1" customWidth="1"/>
  </cols>
  <sheetData>
    <row r="1" spans="1:17" ht="15.75">
      <c r="A1" s="1" t="s">
        <v>180</v>
      </c>
      <c r="B1" s="1"/>
      <c r="C1" s="1"/>
      <c r="D1" s="2"/>
      <c r="E1" s="2" t="s">
        <v>61</v>
      </c>
      <c r="F1" s="2" t="s">
        <v>62</v>
      </c>
      <c r="G1" s="2" t="s">
        <v>63</v>
      </c>
      <c r="H1" s="2" t="s">
        <v>64</v>
      </c>
      <c r="I1" s="2" t="s">
        <v>65</v>
      </c>
      <c r="J1" s="2" t="s">
        <v>177</v>
      </c>
      <c r="K1" s="2" t="s">
        <v>102</v>
      </c>
      <c r="L1" s="2" t="s">
        <v>68</v>
      </c>
      <c r="M1" s="2" t="s">
        <v>69</v>
      </c>
      <c r="N1" s="2" t="s">
        <v>70</v>
      </c>
      <c r="O1" s="2" t="s">
        <v>71</v>
      </c>
      <c r="P1" s="2" t="s">
        <v>72</v>
      </c>
      <c r="Q1" s="2" t="s">
        <v>158</v>
      </c>
    </row>
    <row r="2" spans="1:17" ht="15.75">
      <c r="A2" s="1"/>
      <c r="B2" s="1"/>
      <c r="C2" s="1"/>
      <c r="D2" s="107"/>
      <c r="E2" s="94">
        <f>'Typical Volumes'!AB4</f>
        <v>10322</v>
      </c>
      <c r="F2" s="94">
        <f>'Typical Volumes'!AB5</f>
        <v>8784</v>
      </c>
      <c r="G2" s="94">
        <f>'Typical Volumes'!AB6</f>
        <v>7424</v>
      </c>
      <c r="H2" s="94">
        <f>'Typical Volumes'!AB7</f>
        <v>7279</v>
      </c>
      <c r="I2" s="94">
        <f>'Typical Volumes'!AB8</f>
        <v>6645</v>
      </c>
      <c r="J2" s="94">
        <f>'Typical Volumes'!AB9</f>
        <v>7011</v>
      </c>
      <c r="K2" s="94">
        <f>'Typical Volumes'!AB10</f>
        <v>7885</v>
      </c>
      <c r="L2" s="94">
        <f>'Typical Volumes'!AB11</f>
        <v>8731</v>
      </c>
      <c r="M2" s="94">
        <f>'Typical Volumes'!AB12</f>
        <v>7915</v>
      </c>
      <c r="N2" s="94">
        <f>'Typical Volumes'!AB13</f>
        <v>8671</v>
      </c>
      <c r="O2" s="94">
        <f>'Typical Volumes'!AB14</f>
        <v>9340</v>
      </c>
      <c r="P2" s="94">
        <f>'Typical Volumes'!AB15</f>
        <v>9993</v>
      </c>
      <c r="Q2" s="2">
        <f>SUM(D2:P2)</f>
        <v>100000</v>
      </c>
    </row>
    <row r="3" spans="1:27" ht="15.75">
      <c r="A3" s="108" t="s">
        <v>0</v>
      </c>
      <c r="B3" s="1"/>
      <c r="C3" s="1"/>
      <c r="D3" s="2" t="s">
        <v>75</v>
      </c>
      <c r="E3" s="24">
        <f>E2/Q2</f>
        <v>0.10322</v>
      </c>
      <c r="F3" s="24">
        <f>F2/Q2</f>
        <v>0.08784</v>
      </c>
      <c r="G3" s="24">
        <f>G2/Q2</f>
        <v>0.07424</v>
      </c>
      <c r="H3" s="24">
        <f>H2/Q2</f>
        <v>0.07279</v>
      </c>
      <c r="I3" s="24">
        <f>I2/Q2</f>
        <v>0.06645</v>
      </c>
      <c r="J3" s="24">
        <f>J2/Q2</f>
        <v>0.07011</v>
      </c>
      <c r="K3" s="24">
        <f>K2/Q2</f>
        <v>0.07885</v>
      </c>
      <c r="L3" s="24">
        <f>L2/Q2</f>
        <v>0.08731</v>
      </c>
      <c r="M3" s="24">
        <f>M2/Q2</f>
        <v>0.07915</v>
      </c>
      <c r="N3" s="24">
        <f>N2/Q2</f>
        <v>0.08671</v>
      </c>
      <c r="O3" s="24">
        <f>O2/Q2</f>
        <v>0.0934</v>
      </c>
      <c r="P3" s="24">
        <f>P2/Q2</f>
        <v>0.09993</v>
      </c>
      <c r="Q3" s="23"/>
      <c r="S3" s="2"/>
      <c r="T3" s="2"/>
      <c r="U3" s="2"/>
      <c r="V3" s="2"/>
      <c r="W3" s="2"/>
      <c r="X3" s="2"/>
      <c r="Y3" s="2"/>
      <c r="Z3" s="2"/>
      <c r="AA3" s="2"/>
    </row>
    <row r="4" spans="1:17" ht="15.75">
      <c r="A4" s="1" t="s">
        <v>49</v>
      </c>
      <c r="B4" s="8">
        <v>100000</v>
      </c>
      <c r="C4" s="1"/>
      <c r="D4" s="2" t="s">
        <v>76</v>
      </c>
      <c r="E4" s="9">
        <f>E3*B4</f>
        <v>10322</v>
      </c>
      <c r="F4" s="9">
        <f>F3*B4</f>
        <v>8784</v>
      </c>
      <c r="G4" s="9">
        <f>G3*B4</f>
        <v>7424</v>
      </c>
      <c r="H4" s="9">
        <f>B4*H3</f>
        <v>7278.999999999999</v>
      </c>
      <c r="I4" s="9">
        <f>I3*B4</f>
        <v>6644.999999999999</v>
      </c>
      <c r="J4" s="9">
        <f>J3*B4</f>
        <v>7011.000000000001</v>
      </c>
      <c r="K4" s="9">
        <f>K3*B4</f>
        <v>7885</v>
      </c>
      <c r="L4" s="9">
        <f>L3*B4</f>
        <v>8731</v>
      </c>
      <c r="M4" s="9">
        <f>M3*B4</f>
        <v>7915</v>
      </c>
      <c r="N4" s="9">
        <f>N3*B4</f>
        <v>8671</v>
      </c>
      <c r="O4" s="9">
        <f>B4*O3</f>
        <v>9340</v>
      </c>
      <c r="P4" s="9">
        <f>P3*B4</f>
        <v>9993</v>
      </c>
      <c r="Q4" s="12">
        <f>SUM(E4:P4)</f>
        <v>100000</v>
      </c>
    </row>
    <row r="5" spans="2:16" ht="14.25">
      <c r="B5" s="8"/>
      <c r="D5" t="s">
        <v>37</v>
      </c>
      <c r="E5" s="4">
        <f>MIN(E4,ITSf1blk1)*ITSf1w1</f>
        <v>8326.438750000001</v>
      </c>
      <c r="F5" s="4">
        <f>MIN(F4,ITSf1blk1)*ITSf1w1</f>
        <v>8326.438750000001</v>
      </c>
      <c r="G5">
        <f>MIN(G4,ITSf1blk1)*ITSf1w1</f>
        <v>8326.438750000001</v>
      </c>
      <c r="H5">
        <f aca="true" t="shared" si="0" ref="H5:N5">MIN(H4,ITSf1blk1)*ITSf1s1</f>
        <v>8326.438750000001</v>
      </c>
      <c r="I5">
        <f t="shared" si="0"/>
        <v>8326.438750000001</v>
      </c>
      <c r="J5">
        <f t="shared" si="0"/>
        <v>8326.438750000001</v>
      </c>
      <c r="K5">
        <f t="shared" si="0"/>
        <v>8326.438750000001</v>
      </c>
      <c r="L5">
        <f t="shared" si="0"/>
        <v>8326.438750000001</v>
      </c>
      <c r="M5">
        <f t="shared" si="0"/>
        <v>8326.438750000001</v>
      </c>
      <c r="N5">
        <f t="shared" si="0"/>
        <v>8326.438750000001</v>
      </c>
      <c r="O5">
        <f>MIN(O4,ITSf1blk1)*ITSf1w1</f>
        <v>8326.438750000001</v>
      </c>
      <c r="P5">
        <f>MIN(P4,ITSf1blk1)*ITSf1w1</f>
        <v>8326.438750000001</v>
      </c>
    </row>
    <row r="6" spans="4:16" ht="14.25">
      <c r="D6" t="s">
        <v>38</v>
      </c>
      <c r="E6">
        <f>MIN(MAX(0,E4-ITSf1blk1),ITS1blk2)*ITSf1w2</f>
        <v>65340.45891</v>
      </c>
      <c r="F6">
        <f>MIN(MAX(0,F4-ITSf1blk1),ITS1blk2)*ITSf1w2</f>
        <v>54702.83577</v>
      </c>
      <c r="G6">
        <f>MIN(MAX(0,G4-ITSf1blk1),ITS1blk2)*ITSf1w2</f>
        <v>45296.35497</v>
      </c>
      <c r="H6">
        <f aca="true" t="shared" si="1" ref="H6:N6">MIN(MAX(0,H4-ITSf1blk1),ITS1blk2)*ITSf1s2</f>
        <v>44293.458119999996</v>
      </c>
      <c r="I6">
        <f t="shared" si="1"/>
        <v>39908.378099999994</v>
      </c>
      <c r="J6">
        <f t="shared" si="1"/>
        <v>42439.82808000001</v>
      </c>
      <c r="K6">
        <f t="shared" si="1"/>
        <v>48484.8753</v>
      </c>
      <c r="L6">
        <f t="shared" si="1"/>
        <v>54336.259679999996</v>
      </c>
      <c r="M6">
        <f t="shared" si="1"/>
        <v>48692.3712</v>
      </c>
      <c r="N6">
        <f t="shared" si="1"/>
        <v>53921.26788</v>
      </c>
      <c r="O6">
        <f>MIN(MAX(0,O4-ITSf1blk1),ITS1blk2)*ITSf1w2</f>
        <v>58548.42645</v>
      </c>
      <c r="P6">
        <f>MIN(MAX(0,P4-ITSf1blk1),ITS1blk2)*ITSf1w2</f>
        <v>63064.92054</v>
      </c>
    </row>
    <row r="7" spans="4:16" ht="14.25">
      <c r="D7" t="s">
        <v>39</v>
      </c>
      <c r="E7" s="4">
        <f>MAX(0,(E4-ITSf1blk1-ITS1blk2))*ITSf1w3</f>
        <v>0</v>
      </c>
      <c r="F7" s="4">
        <f>MAX(0,(F4-ITSf1blk1-ITS1blk2))*ITSf1w3</f>
        <v>0</v>
      </c>
      <c r="G7" s="4">
        <f>MAX(0,(G4-ITSf1blk1-ITS1blk2))*ITSf1w3</f>
        <v>0</v>
      </c>
      <c r="H7" s="4">
        <f aca="true" t="shared" si="2" ref="H7:N7">MAX(0,(H4-ITSf1blk1-ITS1blk2))*ITSf1s3</f>
        <v>0</v>
      </c>
      <c r="I7" s="4">
        <f t="shared" si="2"/>
        <v>0</v>
      </c>
      <c r="J7" s="4">
        <f t="shared" si="2"/>
        <v>0</v>
      </c>
      <c r="K7" s="4">
        <f t="shared" si="2"/>
        <v>0</v>
      </c>
      <c r="L7" s="4">
        <f t="shared" si="2"/>
        <v>0</v>
      </c>
      <c r="M7" s="4">
        <f t="shared" si="2"/>
        <v>0</v>
      </c>
      <c r="N7" s="4">
        <f t="shared" si="2"/>
        <v>0</v>
      </c>
      <c r="O7" s="4">
        <f>MAX(0,(O4-ITSf1blk1-ITS1blk2))*ITSf1w3</f>
        <v>0</v>
      </c>
      <c r="P7" s="4">
        <f>MAX(0,(P4-ITSf1blk1-ITS1blk2))*ITSf1w3</f>
        <v>0</v>
      </c>
    </row>
    <row r="8" spans="4:16" ht="14.25">
      <c r="D8" t="s">
        <v>181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4:17" ht="14.25">
      <c r="D9" t="s">
        <v>52</v>
      </c>
      <c r="E9" s="4">
        <f aca="true" t="shared" si="3" ref="E9:P9">SUM(E5:E7)</f>
        <v>73666.89766</v>
      </c>
      <c r="F9" s="4">
        <f t="shared" si="3"/>
        <v>63029.27452</v>
      </c>
      <c r="G9">
        <f t="shared" si="3"/>
        <v>53622.79372</v>
      </c>
      <c r="H9">
        <f t="shared" si="3"/>
        <v>52619.89687</v>
      </c>
      <c r="I9">
        <f t="shared" si="3"/>
        <v>48234.816849999996</v>
      </c>
      <c r="J9">
        <f t="shared" si="3"/>
        <v>50766.26683000001</v>
      </c>
      <c r="K9">
        <f t="shared" si="3"/>
        <v>56811.31405</v>
      </c>
      <c r="L9">
        <f t="shared" si="3"/>
        <v>62662.69843</v>
      </c>
      <c r="M9">
        <f t="shared" si="3"/>
        <v>57018.80995</v>
      </c>
      <c r="N9">
        <f t="shared" si="3"/>
        <v>62247.70663</v>
      </c>
      <c r="O9">
        <f t="shared" si="3"/>
        <v>66874.8652</v>
      </c>
      <c r="P9">
        <f t="shared" si="3"/>
        <v>71391.35929</v>
      </c>
      <c r="Q9" s="72">
        <f>SUM(E9:P9)+12*F10+(F11*12)</f>
        <v>724946.7</v>
      </c>
    </row>
    <row r="10" spans="5:6" ht="15">
      <c r="E10" t="s">
        <v>51</v>
      </c>
      <c r="F10" s="25">
        <v>125</v>
      </c>
    </row>
    <row r="11" spans="5:6" ht="14.25">
      <c r="E11" t="s">
        <v>178</v>
      </c>
      <c r="F11">
        <v>375</v>
      </c>
    </row>
    <row r="13" ht="14.25">
      <c r="J13" t="s">
        <v>179</v>
      </c>
    </row>
    <row r="14" spans="6:15" ht="15.75">
      <c r="F14" s="2" t="s">
        <v>28</v>
      </c>
      <c r="G14" s="2" t="s">
        <v>29</v>
      </c>
      <c r="H14" s="2" t="s">
        <v>30</v>
      </c>
      <c r="I14" s="2" t="s">
        <v>175</v>
      </c>
      <c r="J14" s="2" t="s">
        <v>209</v>
      </c>
      <c r="K14" s="2" t="s">
        <v>210</v>
      </c>
      <c r="L14" s="2" t="s">
        <v>211</v>
      </c>
      <c r="M14" s="2" t="s">
        <v>212</v>
      </c>
      <c r="N14" s="2" t="s">
        <v>213</v>
      </c>
      <c r="O14" s="2" t="s">
        <v>214</v>
      </c>
    </row>
    <row r="15" spans="5:15" ht="15.75">
      <c r="E15" s="40" t="s">
        <v>86</v>
      </c>
      <c r="F15" s="2">
        <v>875</v>
      </c>
      <c r="G15" s="2">
        <v>99125</v>
      </c>
      <c r="H15" s="2">
        <v>400000</v>
      </c>
      <c r="I15" s="8">
        <v>500000</v>
      </c>
      <c r="J15">
        <f>H22</f>
        <v>9.51593</v>
      </c>
      <c r="K15">
        <f>I22</f>
        <v>6.91653</v>
      </c>
      <c r="L15">
        <f>J22</f>
        <v>6.90777</v>
      </c>
      <c r="M15" s="6">
        <f>H22</f>
        <v>9.51593</v>
      </c>
      <c r="N15" s="6">
        <f>I22</f>
        <v>6.91653</v>
      </c>
      <c r="O15" s="6">
        <f>J22</f>
        <v>6.90777</v>
      </c>
    </row>
    <row r="16" ht="14.25">
      <c r="E16" s="40"/>
    </row>
    <row r="18" ht="14.25">
      <c r="E18" s="40" t="s">
        <v>86</v>
      </c>
    </row>
    <row r="19" spans="5:11" ht="14.25">
      <c r="E19" t="s">
        <v>28</v>
      </c>
      <c r="F19" t="s">
        <v>29</v>
      </c>
      <c r="G19" t="s">
        <v>30</v>
      </c>
      <c r="H19" t="s">
        <v>172</v>
      </c>
      <c r="I19" t="s">
        <v>173</v>
      </c>
      <c r="J19" t="s">
        <v>174</v>
      </c>
      <c r="K19" t="s">
        <v>182</v>
      </c>
    </row>
    <row r="20" spans="5:12" ht="14.25">
      <c r="E20">
        <v>875</v>
      </c>
      <c r="F20">
        <v>99125</v>
      </c>
      <c r="G20" s="8">
        <v>400000</v>
      </c>
      <c r="H20">
        <v>2.71593</v>
      </c>
      <c r="I20">
        <v>0.11653</v>
      </c>
      <c r="J20">
        <v>0.10777</v>
      </c>
      <c r="K20">
        <v>0.10777</v>
      </c>
      <c r="L20" t="s">
        <v>3</v>
      </c>
    </row>
    <row r="21" spans="8:12" ht="14.25">
      <c r="H21" s="30">
        <v>6.8</v>
      </c>
      <c r="I21" s="30">
        <v>6.8</v>
      </c>
      <c r="J21" s="30">
        <v>6.8</v>
      </c>
      <c r="K21" s="106">
        <v>6.8</v>
      </c>
      <c r="L21" t="s">
        <v>189</v>
      </c>
    </row>
    <row r="22" spans="8:11" ht="14.25">
      <c r="H22">
        <f>SUM(H20:H21)</f>
        <v>9.51593</v>
      </c>
      <c r="I22">
        <f>SUM(I20:I21)</f>
        <v>6.91653</v>
      </c>
      <c r="J22">
        <f>SUM(J20:J21)</f>
        <v>6.90777</v>
      </c>
      <c r="K22">
        <f>SUM(K20:K21)</f>
        <v>6.90777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39">
      <selection activeCell="C55" sqref="C55"/>
    </sheetView>
  </sheetViews>
  <sheetFormatPr defaultColWidth="9.140625" defaultRowHeight="15"/>
  <cols>
    <col min="1" max="1" width="12.57421875" style="0" customWidth="1"/>
    <col min="2" max="2" width="12.140625" style="0" bestFit="1" customWidth="1"/>
    <col min="3" max="4" width="10.140625" style="0" bestFit="1" customWidth="1"/>
    <col min="5" max="5" width="10.57421875" style="0" customWidth="1"/>
    <col min="6" max="6" width="9.57421875" style="0" bestFit="1" customWidth="1"/>
    <col min="7" max="7" width="9.28125" style="0" bestFit="1" customWidth="1"/>
    <col min="8" max="8" width="11.00390625" style="0" bestFit="1" customWidth="1"/>
    <col min="9" max="10" width="9.28125" style="0" bestFit="1" customWidth="1"/>
    <col min="11" max="11" width="12.00390625" style="0" bestFit="1" customWidth="1"/>
    <col min="12" max="12" width="9.28125" style="0" bestFit="1" customWidth="1"/>
    <col min="13" max="13" width="10.28125" style="0" customWidth="1"/>
    <col min="14" max="14" width="15.28125" style="0" bestFit="1" customWidth="1"/>
    <col min="15" max="15" width="10.00390625" style="0" customWidth="1"/>
    <col min="16" max="16" width="9.421875" style="0" bestFit="1" customWidth="1"/>
    <col min="18" max="18" width="12.8515625" style="0" bestFit="1" customWidth="1"/>
    <col min="21" max="21" width="10.57421875" style="0" bestFit="1" customWidth="1"/>
    <col min="22" max="22" width="9.7109375" style="0" bestFit="1" customWidth="1"/>
    <col min="23" max="23" width="16.140625" style="0" bestFit="1" customWidth="1"/>
    <col min="24" max="24" width="9.7109375" style="0" bestFit="1" customWidth="1"/>
  </cols>
  <sheetData>
    <row r="1" ht="14.25">
      <c r="A1" t="s">
        <v>1</v>
      </c>
    </row>
    <row r="2" spans="1:8" ht="16.5">
      <c r="A2" t="s">
        <v>81</v>
      </c>
      <c r="H2" s="11"/>
    </row>
    <row r="3" spans="2:15" ht="17.25" thickBot="1">
      <c r="B3" s="27" t="s">
        <v>61</v>
      </c>
      <c r="C3" s="27" t="s">
        <v>62</v>
      </c>
      <c r="D3" s="27" t="s">
        <v>63</v>
      </c>
      <c r="E3" s="27" t="s">
        <v>64</v>
      </c>
      <c r="F3" s="27" t="s">
        <v>65</v>
      </c>
      <c r="G3" s="27" t="s">
        <v>66</v>
      </c>
      <c r="H3" s="26" t="s">
        <v>67</v>
      </c>
      <c r="I3" s="27" t="s">
        <v>68</v>
      </c>
      <c r="J3" s="27" t="s">
        <v>69</v>
      </c>
      <c r="K3" s="27" t="s">
        <v>70</v>
      </c>
      <c r="L3" s="27" t="s">
        <v>71</v>
      </c>
      <c r="M3" s="27" t="s">
        <v>72</v>
      </c>
      <c r="N3" s="69" t="s">
        <v>84</v>
      </c>
      <c r="O3" s="13"/>
    </row>
    <row r="4" spans="2:14" ht="17.25" thickTop="1">
      <c r="B4" s="70">
        <v>14.9</v>
      </c>
      <c r="C4" s="70">
        <v>12.5</v>
      </c>
      <c r="D4" s="70">
        <v>10.1</v>
      </c>
      <c r="E4" s="70">
        <v>8.3</v>
      </c>
      <c r="F4" s="70">
        <v>4.4</v>
      </c>
      <c r="G4" s="70">
        <v>3.1</v>
      </c>
      <c r="H4" s="71">
        <v>2</v>
      </c>
      <c r="I4" s="70">
        <v>1.8</v>
      </c>
      <c r="J4" s="70">
        <v>2</v>
      </c>
      <c r="K4" s="70">
        <v>3.1</v>
      </c>
      <c r="L4" s="70">
        <v>6.3</v>
      </c>
      <c r="M4" s="70">
        <v>11.5</v>
      </c>
      <c r="N4" s="8">
        <f>SUM(B4:M4)</f>
        <v>80</v>
      </c>
    </row>
    <row r="5" spans="1:13" ht="14.25">
      <c r="A5" t="s">
        <v>75</v>
      </c>
      <c r="B5" s="67">
        <f>B4/N4</f>
        <v>0.18625</v>
      </c>
      <c r="C5" s="67">
        <f>C4/N4</f>
        <v>0.15625</v>
      </c>
      <c r="D5" s="67">
        <f>D4/N4</f>
        <v>0.12625</v>
      </c>
      <c r="E5" s="67">
        <f>E4/N4</f>
        <v>0.10375000000000001</v>
      </c>
      <c r="F5" s="67">
        <f>F4/N4</f>
        <v>0.05500000000000001</v>
      </c>
      <c r="G5" s="67">
        <f>G4/N4</f>
        <v>0.03875</v>
      </c>
      <c r="H5" s="67">
        <f>H4/N4</f>
        <v>0.025</v>
      </c>
      <c r="I5" s="67">
        <f>I4/N4</f>
        <v>0.0225</v>
      </c>
      <c r="J5" s="67">
        <f>J4/N4</f>
        <v>0.025</v>
      </c>
      <c r="K5" s="67">
        <f>K4/N4</f>
        <v>0.03875</v>
      </c>
      <c r="L5" s="67">
        <f>L4/N4</f>
        <v>0.07875</v>
      </c>
      <c r="M5" s="67">
        <f>M4/N4</f>
        <v>0.14375</v>
      </c>
    </row>
    <row r="7" spans="1:2" ht="15">
      <c r="A7" t="s">
        <v>49</v>
      </c>
      <c r="B7" s="10">
        <v>50</v>
      </c>
    </row>
    <row r="8" spans="2:13" ht="17.25" thickBot="1">
      <c r="B8" s="27" t="s">
        <v>61</v>
      </c>
      <c r="C8" s="27" t="s">
        <v>62</v>
      </c>
      <c r="D8" s="27" t="s">
        <v>63</v>
      </c>
      <c r="E8" s="27" t="s">
        <v>64</v>
      </c>
      <c r="F8" s="27" t="s">
        <v>65</v>
      </c>
      <c r="G8" s="27" t="s">
        <v>66</v>
      </c>
      <c r="H8" s="26" t="s">
        <v>67</v>
      </c>
      <c r="I8" s="27" t="s">
        <v>68</v>
      </c>
      <c r="J8" s="27" t="s">
        <v>69</v>
      </c>
      <c r="K8" s="27" t="s">
        <v>70</v>
      </c>
      <c r="L8" s="27" t="s">
        <v>71</v>
      </c>
      <c r="M8" s="27" t="s">
        <v>72</v>
      </c>
    </row>
    <row r="9" spans="1:13" ht="14.25">
      <c r="A9" t="s">
        <v>82</v>
      </c>
      <c r="B9">
        <f>B7*B5</f>
        <v>9.3125</v>
      </c>
      <c r="C9">
        <f>B7*C5</f>
        <v>7.8125</v>
      </c>
      <c r="D9">
        <f>B7*D5</f>
        <v>6.3125</v>
      </c>
      <c r="E9">
        <f>B7*E5</f>
        <v>5.1875</v>
      </c>
      <c r="F9">
        <f>F5*B7</f>
        <v>2.7500000000000004</v>
      </c>
      <c r="G9">
        <f>G5*B7</f>
        <v>1.9375</v>
      </c>
      <c r="H9">
        <f>H5*B7</f>
        <v>1.25</v>
      </c>
      <c r="I9">
        <f>I5*B7</f>
        <v>1.125</v>
      </c>
      <c r="J9">
        <f>J5*B7</f>
        <v>1.25</v>
      </c>
      <c r="K9">
        <f>K5*B7</f>
        <v>1.9375</v>
      </c>
      <c r="L9">
        <f>L5*B7</f>
        <v>3.9375</v>
      </c>
      <c r="M9">
        <f>M5*B7</f>
        <v>7.187499999999999</v>
      </c>
    </row>
    <row r="10" spans="1:13" ht="14.25">
      <c r="A10" t="s">
        <v>47</v>
      </c>
      <c r="B10" s="4">
        <f>MIN(B9,julgsblk1)*julgsw1</f>
        <v>89.19493875</v>
      </c>
      <c r="C10" s="4">
        <f>MIN(C9,julgsblk1)*julgsw1</f>
        <v>74.82796875</v>
      </c>
      <c r="D10" s="4">
        <f>MIN(D9,julgsblk1)*julgsw1</f>
        <v>60.46099875</v>
      </c>
      <c r="E10" s="4">
        <f aca="true" t="shared" si="0" ref="E10:K10">MIN(E9,julgsblk1)*julgss1</f>
        <v>45.394411875</v>
      </c>
      <c r="F10" s="4">
        <f t="shared" si="0"/>
        <v>24.064507500000005</v>
      </c>
      <c r="G10" s="4">
        <f t="shared" si="0"/>
        <v>16.954539375000003</v>
      </c>
      <c r="H10" s="4">
        <f t="shared" si="0"/>
        <v>10.938412500000002</v>
      </c>
      <c r="I10" s="4">
        <f t="shared" si="0"/>
        <v>9.844571250000001</v>
      </c>
      <c r="J10" s="4">
        <f t="shared" si="0"/>
        <v>10.938412500000002</v>
      </c>
      <c r="K10" s="4">
        <f t="shared" si="0"/>
        <v>16.954539375000003</v>
      </c>
      <c r="L10" s="4">
        <f>MIN(L9,julgsblk1)*julgsw1</f>
        <v>37.71329625</v>
      </c>
      <c r="M10" s="4">
        <f>MIN(M9,julgsblk1)*julgsw1</f>
        <v>68.84173125</v>
      </c>
    </row>
    <row r="11" spans="1:14" ht="14.25">
      <c r="A11" t="s">
        <v>48</v>
      </c>
      <c r="B11" s="29">
        <f>MAX(0,B9-julgsblk1)*julgsw2</f>
        <v>0</v>
      </c>
      <c r="C11" s="29">
        <f>MAX(0,C9-julgsblk1)*julgsw2</f>
        <v>0</v>
      </c>
      <c r="D11" s="29">
        <f>MAX(0,D9-julgsblk1)*julgsw2</f>
        <v>0</v>
      </c>
      <c r="E11" s="30">
        <f aca="true" t="shared" si="1" ref="E11:K11">MAX(0,E9-julgsblk1)*julgss2</f>
        <v>0</v>
      </c>
      <c r="F11" s="30">
        <f t="shared" si="1"/>
        <v>0</v>
      </c>
      <c r="G11" s="30">
        <f t="shared" si="1"/>
        <v>0</v>
      </c>
      <c r="H11" s="30">
        <f t="shared" si="1"/>
        <v>0</v>
      </c>
      <c r="I11" s="30">
        <f t="shared" si="1"/>
        <v>0</v>
      </c>
      <c r="J11" s="30">
        <f t="shared" si="1"/>
        <v>0</v>
      </c>
      <c r="K11" s="30">
        <f t="shared" si="1"/>
        <v>0</v>
      </c>
      <c r="L11" s="29">
        <f>MAX(0,L9-julgsblk1)*julgsw2</f>
        <v>0</v>
      </c>
      <c r="M11" s="29">
        <f>MAX(0,M9-julgsblk1)*julgsw2</f>
        <v>0</v>
      </c>
      <c r="N11" t="s">
        <v>73</v>
      </c>
    </row>
    <row r="12" spans="2:14" ht="15">
      <c r="B12" s="4">
        <f aca="true" t="shared" si="2" ref="B12:M12">SUM(B10:B11)</f>
        <v>89.19493875</v>
      </c>
      <c r="C12" s="4">
        <f t="shared" si="2"/>
        <v>74.82796875</v>
      </c>
      <c r="D12">
        <f t="shared" si="2"/>
        <v>60.46099875</v>
      </c>
      <c r="E12">
        <f t="shared" si="2"/>
        <v>45.394411875</v>
      </c>
      <c r="F12">
        <f t="shared" si="2"/>
        <v>24.064507500000005</v>
      </c>
      <c r="G12">
        <f t="shared" si="2"/>
        <v>16.954539375000003</v>
      </c>
      <c r="H12">
        <f t="shared" si="2"/>
        <v>10.938412500000002</v>
      </c>
      <c r="I12">
        <f t="shared" si="2"/>
        <v>9.844571250000001</v>
      </c>
      <c r="J12">
        <f t="shared" si="2"/>
        <v>10.938412500000002</v>
      </c>
      <c r="K12">
        <f t="shared" si="2"/>
        <v>16.954539375000003</v>
      </c>
      <c r="L12">
        <f t="shared" si="2"/>
        <v>37.71329625</v>
      </c>
      <c r="M12">
        <f t="shared" si="2"/>
        <v>68.84173125</v>
      </c>
      <c r="N12" s="31">
        <f>SUM(B12:M12)+12*B13</f>
        <v>526.128328125</v>
      </c>
    </row>
    <row r="13" spans="1:14" ht="14.25">
      <c r="A13" t="s">
        <v>85</v>
      </c>
      <c r="B13" s="18">
        <v>5</v>
      </c>
      <c r="C13" s="4"/>
      <c r="N13" s="72"/>
    </row>
    <row r="14" spans="1:2" ht="15">
      <c r="A14" t="s">
        <v>49</v>
      </c>
      <c r="B14" s="10">
        <v>80</v>
      </c>
    </row>
    <row r="15" spans="2:13" ht="17.25" thickBot="1">
      <c r="B15" s="27" t="s">
        <v>61</v>
      </c>
      <c r="C15" s="27" t="s">
        <v>62</v>
      </c>
      <c r="D15" s="27" t="s">
        <v>63</v>
      </c>
      <c r="E15" s="27" t="s">
        <v>64</v>
      </c>
      <c r="F15" s="27" t="s">
        <v>65</v>
      </c>
      <c r="G15" s="27" t="s">
        <v>66</v>
      </c>
      <c r="H15" s="26" t="s">
        <v>67</v>
      </c>
      <c r="I15" s="27" t="s">
        <v>68</v>
      </c>
      <c r="J15" s="27" t="s">
        <v>69</v>
      </c>
      <c r="K15" s="27" t="s">
        <v>70</v>
      </c>
      <c r="L15" s="27" t="s">
        <v>71</v>
      </c>
      <c r="M15" s="27" t="s">
        <v>72</v>
      </c>
    </row>
    <row r="16" spans="1:13" ht="14.25">
      <c r="A16" t="s">
        <v>82</v>
      </c>
      <c r="B16">
        <f>B14*B5</f>
        <v>14.9</v>
      </c>
      <c r="C16">
        <f>B14*C5</f>
        <v>12.5</v>
      </c>
      <c r="D16">
        <f>B14*D5</f>
        <v>10.1</v>
      </c>
      <c r="E16">
        <f>B14*E5</f>
        <v>8.3</v>
      </c>
      <c r="F16">
        <f>B14*F5</f>
        <v>4.4</v>
      </c>
      <c r="G16">
        <f>B14*G5</f>
        <v>3.1</v>
      </c>
      <c r="H16">
        <f>B14*H5</f>
        <v>2</v>
      </c>
      <c r="I16">
        <f>B14*I5</f>
        <v>1.7999999999999998</v>
      </c>
      <c r="J16">
        <f>B14*J5</f>
        <v>2</v>
      </c>
      <c r="K16">
        <f>B14*K5</f>
        <v>3.1</v>
      </c>
      <c r="L16">
        <f>L5*B14</f>
        <v>6.3</v>
      </c>
      <c r="M16">
        <f>M5*B14</f>
        <v>11.5</v>
      </c>
    </row>
    <row r="17" spans="1:13" ht="14.25">
      <c r="A17" t="s">
        <v>47</v>
      </c>
      <c r="B17" s="4">
        <f>MIN(B16,julgsblk1)*julgsw1</f>
        <v>142.711902</v>
      </c>
      <c r="C17" s="4">
        <f>MIN(C16,julgsblk1)*julgsw1</f>
        <v>119.72475</v>
      </c>
      <c r="D17" s="4">
        <f>MIN(D16,julgsblk1)*julgsw1</f>
        <v>96.73759799999999</v>
      </c>
      <c r="E17" s="4">
        <f aca="true" t="shared" si="3" ref="E17:K17">MIN(E16,julgsblk1)*julgss1</f>
        <v>72.63105900000001</v>
      </c>
      <c r="F17" s="4">
        <f t="shared" si="3"/>
        <v>38.503212000000005</v>
      </c>
      <c r="G17" s="4">
        <f t="shared" si="3"/>
        <v>27.127263000000003</v>
      </c>
      <c r="H17" s="4">
        <f t="shared" si="3"/>
        <v>17.50146</v>
      </c>
      <c r="I17" s="4">
        <f t="shared" si="3"/>
        <v>15.751314</v>
      </c>
      <c r="J17" s="4">
        <f t="shared" si="3"/>
        <v>17.50146</v>
      </c>
      <c r="K17" s="4">
        <f t="shared" si="3"/>
        <v>27.127263000000003</v>
      </c>
      <c r="L17" s="4">
        <f>MIN(L16,julgsblk1)*julgsw1</f>
        <v>60.341274</v>
      </c>
      <c r="M17" s="4">
        <f>MIN(M16,julgsblk1)*julgsw1</f>
        <v>110.14677</v>
      </c>
    </row>
    <row r="18" spans="1:14" ht="14.25">
      <c r="A18" t="s">
        <v>48</v>
      </c>
      <c r="B18" s="29">
        <f>MAX(0,B16-julgsblk1)*julgsw2</f>
        <v>0</v>
      </c>
      <c r="C18" s="29">
        <f>MAX(0,C16-julgsblk1)*julgsw2</f>
        <v>0</v>
      </c>
      <c r="D18" s="29">
        <f>MAX(0,D16-julgsblk1)*julgsw2</f>
        <v>0</v>
      </c>
      <c r="E18" s="30">
        <f aca="true" t="shared" si="4" ref="E18:K18">MAX(0,E16-julgsblk1)*julgss2</f>
        <v>0</v>
      </c>
      <c r="F18" s="30">
        <f t="shared" si="4"/>
        <v>0</v>
      </c>
      <c r="G18" s="30">
        <f t="shared" si="4"/>
        <v>0</v>
      </c>
      <c r="H18" s="30">
        <f t="shared" si="4"/>
        <v>0</v>
      </c>
      <c r="I18" s="30">
        <f t="shared" si="4"/>
        <v>0</v>
      </c>
      <c r="J18" s="30">
        <f>MAX(0,J16-julgsblk1)*julgss2</f>
        <v>0</v>
      </c>
      <c r="K18" s="30">
        <f t="shared" si="4"/>
        <v>0</v>
      </c>
      <c r="L18" s="29">
        <f>MAX(0,L16-julgsblk1)*julgsw2</f>
        <v>0</v>
      </c>
      <c r="M18" s="29">
        <f>MAX(0,M16-julgsblk1)*julgsw2</f>
        <v>0</v>
      </c>
      <c r="N18" t="s">
        <v>73</v>
      </c>
    </row>
    <row r="19" spans="2:14" ht="15">
      <c r="B19" s="4">
        <f aca="true" t="shared" si="5" ref="B19:L19">SUM(B17:B18)</f>
        <v>142.711902</v>
      </c>
      <c r="C19" s="4">
        <f t="shared" si="5"/>
        <v>119.72475</v>
      </c>
      <c r="D19" s="4">
        <f t="shared" si="5"/>
        <v>96.73759799999999</v>
      </c>
      <c r="E19" s="4">
        <f t="shared" si="5"/>
        <v>72.63105900000001</v>
      </c>
      <c r="F19" s="4">
        <f t="shared" si="5"/>
        <v>38.503212000000005</v>
      </c>
      <c r="G19" s="4">
        <f t="shared" si="5"/>
        <v>27.127263000000003</v>
      </c>
      <c r="H19" s="4">
        <f t="shared" si="5"/>
        <v>17.50146</v>
      </c>
      <c r="I19" s="4">
        <f t="shared" si="5"/>
        <v>15.751314</v>
      </c>
      <c r="J19" s="4">
        <f t="shared" si="5"/>
        <v>17.50146</v>
      </c>
      <c r="K19" s="4">
        <f t="shared" si="5"/>
        <v>27.127263000000003</v>
      </c>
      <c r="L19" s="4">
        <f t="shared" si="5"/>
        <v>60.341274</v>
      </c>
      <c r="M19" s="4">
        <f>SUM(M17:M18)+12*B20</f>
        <v>170.14677</v>
      </c>
      <c r="N19" s="31">
        <f>SUM(B19:M19)</f>
        <v>805.8053249999998</v>
      </c>
    </row>
    <row r="20" spans="1:14" ht="14.25">
      <c r="A20" t="s">
        <v>85</v>
      </c>
      <c r="B20" s="18">
        <v>5</v>
      </c>
      <c r="C20" s="4"/>
      <c r="N20" s="72"/>
    </row>
    <row r="21" spans="2:14" ht="14.25">
      <c r="B21" s="18"/>
      <c r="C21" s="4"/>
      <c r="N21" s="72"/>
    </row>
    <row r="22" spans="1:2" ht="15">
      <c r="A22" t="s">
        <v>49</v>
      </c>
      <c r="B22" s="10">
        <v>150</v>
      </c>
    </row>
    <row r="23" spans="2:13" ht="17.25" thickBot="1">
      <c r="B23" s="27" t="s">
        <v>61</v>
      </c>
      <c r="C23" s="27" t="s">
        <v>62</v>
      </c>
      <c r="D23" s="27" t="s">
        <v>63</v>
      </c>
      <c r="E23" s="27" t="s">
        <v>64</v>
      </c>
      <c r="F23" s="27" t="s">
        <v>65</v>
      </c>
      <c r="G23" s="27" t="s">
        <v>66</v>
      </c>
      <c r="H23" s="26" t="s">
        <v>67</v>
      </c>
      <c r="I23" s="27" t="s">
        <v>68</v>
      </c>
      <c r="J23" s="27" t="s">
        <v>69</v>
      </c>
      <c r="K23" s="27" t="s">
        <v>70</v>
      </c>
      <c r="L23" s="27" t="s">
        <v>71</v>
      </c>
      <c r="M23" s="27" t="s">
        <v>72</v>
      </c>
    </row>
    <row r="24" spans="1:13" ht="14.25">
      <c r="A24" t="s">
        <v>82</v>
      </c>
      <c r="B24">
        <f>B22*B5</f>
        <v>27.9375</v>
      </c>
      <c r="C24">
        <f>B22*C5</f>
        <v>23.4375</v>
      </c>
      <c r="D24">
        <f>B22*D5</f>
        <v>18.9375</v>
      </c>
      <c r="E24">
        <f>B22*E5</f>
        <v>15.562500000000002</v>
      </c>
      <c r="F24">
        <f>B22*F5</f>
        <v>8.250000000000002</v>
      </c>
      <c r="G24">
        <f>B22*G5</f>
        <v>5.8125</v>
      </c>
      <c r="H24">
        <f>B22*H5</f>
        <v>3.75</v>
      </c>
      <c r="I24">
        <f>B22*I5</f>
        <v>3.375</v>
      </c>
      <c r="J24">
        <f>B22*J5</f>
        <v>3.75</v>
      </c>
      <c r="K24">
        <f>B22*K5</f>
        <v>5.8125</v>
      </c>
      <c r="L24">
        <f>B22*L5</f>
        <v>11.8125</v>
      </c>
      <c r="M24">
        <f>B22*M5</f>
        <v>21.5625</v>
      </c>
    </row>
    <row r="25" spans="1:13" ht="14.25">
      <c r="A25" t="s">
        <v>47</v>
      </c>
      <c r="B25" s="4">
        <f>MIN(B24,julgsblk1)*julgsw1</f>
        <v>267.58481625</v>
      </c>
      <c r="C25" s="4">
        <f>MIN(C24,julgsblk1)*julgsw1</f>
        <v>224.48390625</v>
      </c>
      <c r="D25" s="4">
        <f>MIN(D24,julgsblk1)*julgsw1</f>
        <v>181.38299625</v>
      </c>
      <c r="E25" s="4">
        <f aca="true" t="shared" si="6" ref="E25:K25">MIN(E24,julgsblk1)*julgss1</f>
        <v>136.18323562500004</v>
      </c>
      <c r="F25" s="4">
        <f t="shared" si="6"/>
        <v>72.19352250000003</v>
      </c>
      <c r="G25" s="4">
        <f t="shared" si="6"/>
        <v>50.863618125</v>
      </c>
      <c r="H25" s="4">
        <f t="shared" si="6"/>
        <v>32.8152375</v>
      </c>
      <c r="I25" s="4">
        <f t="shared" si="6"/>
        <v>29.533713750000004</v>
      </c>
      <c r="J25" s="4">
        <f t="shared" si="6"/>
        <v>32.8152375</v>
      </c>
      <c r="K25" s="4">
        <f t="shared" si="6"/>
        <v>50.863618125</v>
      </c>
      <c r="L25" s="4">
        <f>MIN(L24,julgsblk1)*julgsw1</f>
        <v>113.13988875</v>
      </c>
      <c r="M25" s="4">
        <f>MIN(M24,julgsblk1)*julgsw1</f>
        <v>206.52519375</v>
      </c>
    </row>
    <row r="26" spans="1:14" ht="14.25">
      <c r="A26" t="s">
        <v>48</v>
      </c>
      <c r="B26" s="29">
        <f>MAX(0,B24-julgsblk1)*julgsw2</f>
        <v>0</v>
      </c>
      <c r="C26" s="29">
        <f>MAX(0,C24-julgsblk1)*julgsw2</f>
        <v>0</v>
      </c>
      <c r="D26" s="29">
        <f>MAX(0,D24-julgsblk1)*julgsw2</f>
        <v>0</v>
      </c>
      <c r="E26" s="30">
        <f aca="true" t="shared" si="7" ref="E26:K26">MAX(0,E24-julgsblk1)*julgss2</f>
        <v>0</v>
      </c>
      <c r="F26" s="30">
        <f t="shared" si="7"/>
        <v>0</v>
      </c>
      <c r="G26" s="30">
        <f t="shared" si="7"/>
        <v>0</v>
      </c>
      <c r="H26" s="30">
        <f t="shared" si="7"/>
        <v>0</v>
      </c>
      <c r="I26" s="30">
        <f t="shared" si="7"/>
        <v>0</v>
      </c>
      <c r="J26" s="30">
        <f t="shared" si="7"/>
        <v>0</v>
      </c>
      <c r="K26" s="30">
        <f t="shared" si="7"/>
        <v>0</v>
      </c>
      <c r="L26" s="29">
        <f>MAX(0,L24-julgsblk1)*julgsw2</f>
        <v>0</v>
      </c>
      <c r="M26" s="29">
        <f>MAX(0,M24-julgsblk1)*julgsw2</f>
        <v>0</v>
      </c>
      <c r="N26" t="s">
        <v>73</v>
      </c>
    </row>
    <row r="27" spans="2:14" ht="15">
      <c r="B27" s="4">
        <f>SUM(B25:B26)+B28</f>
        <v>272.58481625</v>
      </c>
      <c r="C27" s="4">
        <f>SUM(C25:C26)+B28</f>
        <v>229.48390625</v>
      </c>
      <c r="D27" s="9">
        <f>SUM(D25:D26)+B28</f>
        <v>186.38299625</v>
      </c>
      <c r="E27" s="9">
        <f>SUM(E25:E26)+B28</f>
        <v>141.18323562500004</v>
      </c>
      <c r="F27" s="9">
        <f>SUM(F25:F26)+B28</f>
        <v>77.19352250000003</v>
      </c>
      <c r="G27" s="9">
        <f>SUM(G25:G26)+B28</f>
        <v>55.863618125</v>
      </c>
      <c r="H27" s="9">
        <f>SUM(H25:H26)+B28</f>
        <v>37.8152375</v>
      </c>
      <c r="I27" s="9">
        <f>SUM(I25:I26)+B28</f>
        <v>34.533713750000004</v>
      </c>
      <c r="J27" s="9">
        <f>SUM(J25:J26)+B28</f>
        <v>37.8152375</v>
      </c>
      <c r="K27" s="9">
        <f>SUM(K25:K26)+B28</f>
        <v>55.863618125</v>
      </c>
      <c r="L27" s="9">
        <f>SUM(L25:L26)+B28</f>
        <v>118.13988875</v>
      </c>
      <c r="M27" s="9">
        <f>SUM(M25:M26)+B28</f>
        <v>211.52519375</v>
      </c>
      <c r="N27" s="31">
        <f>SUM(B27:M27)</f>
        <v>1458.384984375</v>
      </c>
    </row>
    <row r="28" spans="1:14" ht="14.25">
      <c r="A28" t="s">
        <v>85</v>
      </c>
      <c r="B28" s="18">
        <v>5</v>
      </c>
      <c r="C28" s="4"/>
      <c r="N28" s="72"/>
    </row>
    <row r="29" spans="2:14" ht="14.25">
      <c r="B29" s="18"/>
      <c r="C29" s="4"/>
      <c r="N29" s="72"/>
    </row>
    <row r="30" spans="1:14" ht="15">
      <c r="A30" t="s">
        <v>49</v>
      </c>
      <c r="B30" s="41">
        <v>2100</v>
      </c>
      <c r="C30" s="4"/>
      <c r="N30" s="72"/>
    </row>
    <row r="31" spans="2:13" ht="17.25" thickBot="1">
      <c r="B31" s="27" t="s">
        <v>61</v>
      </c>
      <c r="C31" s="27" t="s">
        <v>62</v>
      </c>
      <c r="D31" s="27" t="s">
        <v>63</v>
      </c>
      <c r="E31" s="27" t="s">
        <v>64</v>
      </c>
      <c r="F31" s="27" t="s">
        <v>65</v>
      </c>
      <c r="G31" s="27" t="s">
        <v>66</v>
      </c>
      <c r="H31" s="26" t="s">
        <v>67</v>
      </c>
      <c r="I31" s="27" t="s">
        <v>68</v>
      </c>
      <c r="J31" s="27" t="s">
        <v>69</v>
      </c>
      <c r="K31" s="27" t="s">
        <v>70</v>
      </c>
      <c r="L31" s="27" t="s">
        <v>71</v>
      </c>
      <c r="M31" s="27" t="s">
        <v>72</v>
      </c>
    </row>
    <row r="32" spans="1:13" ht="14.25">
      <c r="A32" t="s">
        <v>82</v>
      </c>
      <c r="B32">
        <f>B30*B5</f>
        <v>391.125</v>
      </c>
      <c r="C32">
        <f>B30*C5</f>
        <v>328.125</v>
      </c>
      <c r="D32">
        <f>B30*D5</f>
        <v>265.125</v>
      </c>
      <c r="E32">
        <f>B30*E5</f>
        <v>217.87500000000003</v>
      </c>
      <c r="F32">
        <f>B30*F5</f>
        <v>115.50000000000001</v>
      </c>
      <c r="G32">
        <f>B30*G5</f>
        <v>81.375</v>
      </c>
      <c r="H32">
        <f>B30*H5</f>
        <v>52.5</v>
      </c>
      <c r="I32">
        <f>I5*B30</f>
        <v>47.25</v>
      </c>
      <c r="J32">
        <f>B30*J5</f>
        <v>52.5</v>
      </c>
      <c r="K32">
        <f>B30*K5</f>
        <v>81.375</v>
      </c>
      <c r="L32">
        <f>B30*L5</f>
        <v>165.375</v>
      </c>
      <c r="M32">
        <f>B30*M5</f>
        <v>301.875</v>
      </c>
    </row>
    <row r="33" spans="1:13" ht="14.25">
      <c r="A33" t="s">
        <v>47</v>
      </c>
      <c r="B33" s="4">
        <f>MIN(B32,julgsblk1)*julgsw1</f>
        <v>431.0091</v>
      </c>
      <c r="C33" s="4">
        <f>MIN(C32,julgsblk1)*julgsw1</f>
        <v>431.0091</v>
      </c>
      <c r="D33" s="4">
        <f>MIN(D32,julgsblk1)*julgsw1</f>
        <v>431.0091</v>
      </c>
      <c r="E33" s="4">
        <f aca="true" t="shared" si="8" ref="E33:M33">MIN(E32,julgsblk1)*julgss1</f>
        <v>393.78285000000005</v>
      </c>
      <c r="F33" s="4">
        <f t="shared" si="8"/>
        <v>393.78285000000005</v>
      </c>
      <c r="G33" s="4">
        <f t="shared" si="8"/>
        <v>393.78285000000005</v>
      </c>
      <c r="H33" s="4">
        <f t="shared" si="8"/>
        <v>393.78285000000005</v>
      </c>
      <c r="I33" s="4">
        <f t="shared" si="8"/>
        <v>393.78285000000005</v>
      </c>
      <c r="J33" s="4">
        <f t="shared" si="8"/>
        <v>393.78285000000005</v>
      </c>
      <c r="K33" s="4">
        <f t="shared" si="8"/>
        <v>393.78285000000005</v>
      </c>
      <c r="L33" s="4">
        <f t="shared" si="8"/>
        <v>393.78285000000005</v>
      </c>
      <c r="M33" s="4">
        <f t="shared" si="8"/>
        <v>393.78285000000005</v>
      </c>
    </row>
    <row r="34" spans="1:14" ht="14.25">
      <c r="A34" t="s">
        <v>48</v>
      </c>
      <c r="B34" s="29">
        <f>MAX(0,B32-julgsblk1)*julgsw2</f>
        <v>2917.487625</v>
      </c>
      <c r="C34" s="29">
        <f>MAX(0,C32-julgsblk1)*julgsw2</f>
        <v>2386.460625</v>
      </c>
      <c r="D34" s="29">
        <f>MAX(0,D32-julgsblk1)*julgsw2</f>
        <v>1855.4336250000001</v>
      </c>
      <c r="E34" s="30">
        <f aca="true" t="shared" si="9" ref="E34:K34">MAX(0,E32-julgsblk1)*julgss2</f>
        <v>1332.9181125000002</v>
      </c>
      <c r="F34" s="30">
        <f t="shared" si="9"/>
        <v>543.5761500000001</v>
      </c>
      <c r="G34" s="30">
        <f t="shared" si="9"/>
        <v>280.46216250000003</v>
      </c>
      <c r="H34" s="30">
        <f t="shared" si="9"/>
        <v>57.82725</v>
      </c>
      <c r="I34" s="30">
        <f t="shared" si="9"/>
        <v>17.348175</v>
      </c>
      <c r="J34" s="30">
        <f t="shared" si="9"/>
        <v>57.82725</v>
      </c>
      <c r="K34" s="30">
        <f t="shared" si="9"/>
        <v>280.46216250000003</v>
      </c>
      <c r="L34" s="29">
        <f>MAX(0,L32-julgsblk1)*julgsw2</f>
        <v>1014.640875</v>
      </c>
      <c r="M34" s="29">
        <f>MAX(0,M32-julgsblk1)*julgsw2</f>
        <v>2165.199375</v>
      </c>
      <c r="N34" t="s">
        <v>73</v>
      </c>
    </row>
    <row r="35" spans="2:14" ht="15">
      <c r="B35" s="4">
        <f aca="true" t="shared" si="10" ref="B35:M35">SUM(B33:B34)</f>
        <v>3348.496725</v>
      </c>
      <c r="C35" s="4">
        <f t="shared" si="10"/>
        <v>2817.469725</v>
      </c>
      <c r="D35">
        <f t="shared" si="10"/>
        <v>2286.442725</v>
      </c>
      <c r="E35">
        <f t="shared" si="10"/>
        <v>1726.7009625000003</v>
      </c>
      <c r="F35">
        <f t="shared" si="10"/>
        <v>937.3590000000002</v>
      </c>
      <c r="G35">
        <f t="shared" si="10"/>
        <v>674.2450125</v>
      </c>
      <c r="H35">
        <f t="shared" si="10"/>
        <v>451.61010000000005</v>
      </c>
      <c r="I35">
        <f t="shared" si="10"/>
        <v>411.1310250000001</v>
      </c>
      <c r="J35">
        <f t="shared" si="10"/>
        <v>451.61010000000005</v>
      </c>
      <c r="K35">
        <f t="shared" si="10"/>
        <v>674.2450125</v>
      </c>
      <c r="L35">
        <f t="shared" si="10"/>
        <v>1408.423725</v>
      </c>
      <c r="M35">
        <f t="shared" si="10"/>
        <v>2558.982225</v>
      </c>
      <c r="N35" s="31">
        <f>SUM(B35:M35)+12*B36</f>
        <v>17998.716337500002</v>
      </c>
    </row>
    <row r="36" spans="1:14" ht="14.25">
      <c r="A36" t="s">
        <v>85</v>
      </c>
      <c r="B36" s="18">
        <v>21</v>
      </c>
      <c r="C36" s="4"/>
      <c r="N36" s="72"/>
    </row>
    <row r="37" spans="1:2" ht="15">
      <c r="A37" t="s">
        <v>49</v>
      </c>
      <c r="B37" s="7">
        <v>45000</v>
      </c>
    </row>
    <row r="38" spans="2:13" ht="17.25" thickBot="1">
      <c r="B38" s="27" t="s">
        <v>61</v>
      </c>
      <c r="C38" s="27" t="s">
        <v>62</v>
      </c>
      <c r="D38" s="27" t="s">
        <v>63</v>
      </c>
      <c r="E38" s="27" t="s">
        <v>64</v>
      </c>
      <c r="F38" s="27" t="s">
        <v>65</v>
      </c>
      <c r="G38" s="27" t="s">
        <v>66</v>
      </c>
      <c r="H38" s="26" t="s">
        <v>67</v>
      </c>
      <c r="I38" s="27" t="s">
        <v>68</v>
      </c>
      <c r="J38" s="27" t="s">
        <v>69</v>
      </c>
      <c r="K38" s="27" t="s">
        <v>70</v>
      </c>
      <c r="L38" s="27" t="s">
        <v>71</v>
      </c>
      <c r="M38" s="27" t="s">
        <v>72</v>
      </c>
    </row>
    <row r="39" spans="1:13" ht="14.25">
      <c r="A39" t="s">
        <v>83</v>
      </c>
      <c r="B39">
        <f>B37*B5</f>
        <v>8381.25</v>
      </c>
      <c r="C39">
        <f>B37*C5</f>
        <v>7031.25</v>
      </c>
      <c r="D39">
        <f>B37*D5</f>
        <v>5681.25</v>
      </c>
      <c r="E39">
        <f>B37*E5</f>
        <v>4668.75</v>
      </c>
      <c r="F39">
        <f>B37*F5</f>
        <v>2475.0000000000005</v>
      </c>
      <c r="G39">
        <f>B37*G5</f>
        <v>1743.75</v>
      </c>
      <c r="H39">
        <f>B37*H5</f>
        <v>1125</v>
      </c>
      <c r="I39">
        <f>B37*I5</f>
        <v>1012.5</v>
      </c>
      <c r="J39">
        <f>B37*J5</f>
        <v>1125</v>
      </c>
      <c r="K39">
        <f>B37*K5</f>
        <v>1743.75</v>
      </c>
      <c r="L39">
        <f>B37*L5</f>
        <v>3543.75</v>
      </c>
      <c r="M39">
        <f>B37*M5</f>
        <v>6468.749999999999</v>
      </c>
    </row>
    <row r="40" spans="1:13" ht="14.25">
      <c r="A40" t="s">
        <v>47</v>
      </c>
      <c r="B40" s="4">
        <f aca="true" t="shared" si="11" ref="B40:M40">MIN(B39,julgsblk1)*julgsw1</f>
        <v>431.0091</v>
      </c>
      <c r="C40" s="4">
        <f t="shared" si="11"/>
        <v>431.0091</v>
      </c>
      <c r="D40" s="4">
        <f t="shared" si="11"/>
        <v>431.0091</v>
      </c>
      <c r="E40" s="4">
        <f t="shared" si="11"/>
        <v>431.0091</v>
      </c>
      <c r="F40" s="4">
        <f t="shared" si="11"/>
        <v>431.0091</v>
      </c>
      <c r="G40" s="4">
        <f t="shared" si="11"/>
        <v>431.0091</v>
      </c>
      <c r="H40" s="4">
        <f t="shared" si="11"/>
        <v>431.0091</v>
      </c>
      <c r="I40" s="4">
        <f t="shared" si="11"/>
        <v>431.0091</v>
      </c>
      <c r="J40" s="4">
        <f t="shared" si="11"/>
        <v>431.0091</v>
      </c>
      <c r="K40" s="4">
        <f t="shared" si="11"/>
        <v>431.0091</v>
      </c>
      <c r="L40" s="4">
        <f t="shared" si="11"/>
        <v>431.0091</v>
      </c>
      <c r="M40" s="4">
        <f t="shared" si="11"/>
        <v>431.0091</v>
      </c>
    </row>
    <row r="41" spans="1:14" ht="14.25">
      <c r="A41" t="s">
        <v>48</v>
      </c>
      <c r="B41" s="29">
        <f>MAX(0,B39-julgsblk1)*julgsw2</f>
        <v>70266.25125</v>
      </c>
      <c r="C41" s="29">
        <f>MAX(0,C39-julgsblk1)*julgsw2</f>
        <v>58887.10125</v>
      </c>
      <c r="D41" s="29">
        <f>MAX(0,D39-julgsblk1)*julgsw2</f>
        <v>47507.95125</v>
      </c>
      <c r="E41" s="30">
        <f aca="true" t="shared" si="12" ref="E41:K41">MAX(0,E39-julgsblk1)*julgss2</f>
        <v>35650.499625000004</v>
      </c>
      <c r="F41" s="30">
        <f t="shared" si="12"/>
        <v>18736.029000000002</v>
      </c>
      <c r="G41" s="30">
        <f t="shared" si="12"/>
        <v>13097.872125</v>
      </c>
      <c r="H41" s="30">
        <f t="shared" si="12"/>
        <v>8327.124</v>
      </c>
      <c r="I41" s="30">
        <f t="shared" si="12"/>
        <v>7459.71525</v>
      </c>
      <c r="J41" s="30">
        <f t="shared" si="12"/>
        <v>8327.124</v>
      </c>
      <c r="K41" s="30">
        <f t="shared" si="12"/>
        <v>13097.872125</v>
      </c>
      <c r="L41" s="29">
        <f>MAX(0,L39-julgsblk1)*julgsw2</f>
        <v>29490.963750000003</v>
      </c>
      <c r="M41" s="29">
        <f>MAX(0,M39-julgsblk1)*julgsw2</f>
        <v>54145.78874999999</v>
      </c>
      <c r="N41" t="s">
        <v>73</v>
      </c>
    </row>
    <row r="42" spans="2:14" ht="15">
      <c r="B42" s="4">
        <f aca="true" t="shared" si="13" ref="B42:M42">SUM(B40:B41)</f>
        <v>70697.26035</v>
      </c>
      <c r="C42" s="4">
        <f t="shared" si="13"/>
        <v>59318.11035</v>
      </c>
      <c r="D42">
        <f t="shared" si="13"/>
        <v>47938.96035</v>
      </c>
      <c r="E42">
        <f t="shared" si="13"/>
        <v>36081.50872500001</v>
      </c>
      <c r="F42">
        <f t="shared" si="13"/>
        <v>19167.0381</v>
      </c>
      <c r="G42">
        <f t="shared" si="13"/>
        <v>13528.881225</v>
      </c>
      <c r="H42">
        <f t="shared" si="13"/>
        <v>8758.1331</v>
      </c>
      <c r="I42">
        <f t="shared" si="13"/>
        <v>7890.72435</v>
      </c>
      <c r="J42">
        <f t="shared" si="13"/>
        <v>8758.1331</v>
      </c>
      <c r="K42">
        <f t="shared" si="13"/>
        <v>13528.881225</v>
      </c>
      <c r="L42">
        <f t="shared" si="13"/>
        <v>29921.972850000002</v>
      </c>
      <c r="M42">
        <f t="shared" si="13"/>
        <v>54576.797849999995</v>
      </c>
      <c r="N42" s="31">
        <f>SUM(B42:M42)+12*B43</f>
        <v>373094.40157499997</v>
      </c>
    </row>
    <row r="43" spans="1:14" ht="14.25">
      <c r="A43" t="s">
        <v>85</v>
      </c>
      <c r="B43" s="18">
        <v>244</v>
      </c>
      <c r="C43" s="4"/>
      <c r="N43" s="72"/>
    </row>
    <row r="46" spans="1:2" ht="15">
      <c r="A46" t="s">
        <v>49</v>
      </c>
      <c r="B46" s="7">
        <v>150</v>
      </c>
    </row>
    <row r="47" spans="2:13" ht="17.25" thickBot="1">
      <c r="B47" s="27" t="s">
        <v>61</v>
      </c>
      <c r="C47" s="27" t="s">
        <v>62</v>
      </c>
      <c r="D47" s="27" t="s">
        <v>63</v>
      </c>
      <c r="E47" s="27" t="s">
        <v>64</v>
      </c>
      <c r="F47" s="27" t="s">
        <v>65</v>
      </c>
      <c r="G47" s="27" t="s">
        <v>66</v>
      </c>
      <c r="H47" s="26" t="s">
        <v>67</v>
      </c>
      <c r="I47" s="27" t="s">
        <v>68</v>
      </c>
      <c r="J47" s="27" t="s">
        <v>69</v>
      </c>
      <c r="K47" s="27" t="s">
        <v>70</v>
      </c>
      <c r="L47" s="27" t="s">
        <v>71</v>
      </c>
      <c r="M47" s="27" t="s">
        <v>72</v>
      </c>
    </row>
    <row r="48" spans="1:13" ht="14.25">
      <c r="A48" t="s">
        <v>83</v>
      </c>
      <c r="B48">
        <f>B46*B5</f>
        <v>27.9375</v>
      </c>
      <c r="C48">
        <f>B46*C5</f>
        <v>23.4375</v>
      </c>
      <c r="D48">
        <f>B46*D5</f>
        <v>18.9375</v>
      </c>
      <c r="E48">
        <f>B46*E5</f>
        <v>15.562500000000002</v>
      </c>
      <c r="F48">
        <f>B46*F5</f>
        <v>8.250000000000002</v>
      </c>
      <c r="G48">
        <f>B46*G5</f>
        <v>5.8125</v>
      </c>
      <c r="H48">
        <f>B46*H5</f>
        <v>3.75</v>
      </c>
      <c r="I48">
        <f>B46*I5</f>
        <v>3.375</v>
      </c>
      <c r="J48">
        <f>B46*J5</f>
        <v>3.75</v>
      </c>
      <c r="K48">
        <f>B46*K5</f>
        <v>5.8125</v>
      </c>
      <c r="L48">
        <f>B46*L5</f>
        <v>11.8125</v>
      </c>
      <c r="M48">
        <f>B46*M5</f>
        <v>21.5625</v>
      </c>
    </row>
    <row r="49" spans="1:13" ht="14.25">
      <c r="A49" t="s">
        <v>47</v>
      </c>
      <c r="B49" s="4">
        <f>MIN(B48,julgsblk1)*julgsw1</f>
        <v>267.58481625</v>
      </c>
      <c r="C49" s="4">
        <f>MIN(C48,julgsblk1)*julgsw1</f>
        <v>224.48390625</v>
      </c>
      <c r="D49" s="4">
        <f>MIN(D48,julgsblk1)*julgsw1</f>
        <v>181.38299625</v>
      </c>
      <c r="E49" s="4">
        <f aca="true" t="shared" si="14" ref="E49:K49">MIN(E48,julgsblk1)*julgss1</f>
        <v>136.18323562500004</v>
      </c>
      <c r="F49" s="4">
        <f t="shared" si="14"/>
        <v>72.19352250000003</v>
      </c>
      <c r="G49" s="4">
        <f t="shared" si="14"/>
        <v>50.863618125</v>
      </c>
      <c r="H49" s="4">
        <f t="shared" si="14"/>
        <v>32.8152375</v>
      </c>
      <c r="I49" s="4">
        <f t="shared" si="14"/>
        <v>29.533713750000004</v>
      </c>
      <c r="J49" s="4">
        <f t="shared" si="14"/>
        <v>32.8152375</v>
      </c>
      <c r="K49" s="4">
        <f t="shared" si="14"/>
        <v>50.863618125</v>
      </c>
      <c r="L49" s="4">
        <f>MIN(L48,julgsblk1)*julgsw1</f>
        <v>113.13988875</v>
      </c>
      <c r="M49" s="4">
        <f>MIN(M48,julgsblk1)*julgsw1</f>
        <v>206.52519375</v>
      </c>
    </row>
    <row r="50" spans="1:14" ht="14.25">
      <c r="A50" t="s">
        <v>48</v>
      </c>
      <c r="B50" s="29">
        <f>MAX(0,B48-julgsblk1)*julgsw2</f>
        <v>0</v>
      </c>
      <c r="C50" s="29">
        <f>MAX(0,C48-julgsblk1)*julgsw2</f>
        <v>0</v>
      </c>
      <c r="D50" s="29">
        <f>MAX(0,D48-julgsblk1)*julgsw2</f>
        <v>0</v>
      </c>
      <c r="E50" s="30">
        <f aca="true" t="shared" si="15" ref="E50:K50">MAX(0,E48-julgsblk1)*julgss2</f>
        <v>0</v>
      </c>
      <c r="F50" s="30">
        <f t="shared" si="15"/>
        <v>0</v>
      </c>
      <c r="G50" s="30">
        <f t="shared" si="15"/>
        <v>0</v>
      </c>
      <c r="H50" s="30">
        <f t="shared" si="15"/>
        <v>0</v>
      </c>
      <c r="I50" s="30">
        <f t="shared" si="15"/>
        <v>0</v>
      </c>
      <c r="J50" s="30">
        <f t="shared" si="15"/>
        <v>0</v>
      </c>
      <c r="K50" s="30">
        <f t="shared" si="15"/>
        <v>0</v>
      </c>
      <c r="L50" s="29">
        <f>MAX(0,L48-julgsblk1)*julgsw2</f>
        <v>0</v>
      </c>
      <c r="M50" s="29">
        <f>MAX(0,M48-julgsblk1)*julgsw2</f>
        <v>0</v>
      </c>
      <c r="N50" t="s">
        <v>73</v>
      </c>
    </row>
    <row r="51" spans="2:14" ht="15">
      <c r="B51" s="4">
        <f aca="true" t="shared" si="16" ref="B51:M51">SUM(B49:B50)</f>
        <v>267.58481625</v>
      </c>
      <c r="C51" s="4">
        <f t="shared" si="16"/>
        <v>224.48390625</v>
      </c>
      <c r="D51">
        <f t="shared" si="16"/>
        <v>181.38299625</v>
      </c>
      <c r="E51">
        <f t="shared" si="16"/>
        <v>136.18323562500004</v>
      </c>
      <c r="F51">
        <f t="shared" si="16"/>
        <v>72.19352250000003</v>
      </c>
      <c r="G51">
        <f t="shared" si="16"/>
        <v>50.863618125</v>
      </c>
      <c r="H51">
        <f t="shared" si="16"/>
        <v>32.8152375</v>
      </c>
      <c r="I51">
        <f t="shared" si="16"/>
        <v>29.533713750000004</v>
      </c>
      <c r="J51">
        <f t="shared" si="16"/>
        <v>32.8152375</v>
      </c>
      <c r="K51">
        <f t="shared" si="16"/>
        <v>50.863618125</v>
      </c>
      <c r="L51">
        <f t="shared" si="16"/>
        <v>113.13988875</v>
      </c>
      <c r="M51">
        <f t="shared" si="16"/>
        <v>206.52519375</v>
      </c>
      <c r="N51" s="31">
        <f>SUM(B51:M51)+12*B52</f>
        <v>1458.384984375</v>
      </c>
    </row>
    <row r="52" spans="1:14" ht="14.25">
      <c r="A52" t="s">
        <v>85</v>
      </c>
      <c r="B52" s="18">
        <v>5</v>
      </c>
      <c r="C52" s="4"/>
      <c r="N52" s="72"/>
    </row>
    <row r="54" spans="2:6" ht="15.75">
      <c r="B54" s="2" t="s">
        <v>28</v>
      </c>
      <c r="C54" s="2" t="s">
        <v>40</v>
      </c>
      <c r="D54" s="2" t="s">
        <v>41</v>
      </c>
      <c r="E54" s="2" t="s">
        <v>42</v>
      </c>
      <c r="F54" s="2" t="s">
        <v>43</v>
      </c>
    </row>
    <row r="55" spans="1:6" ht="15.75">
      <c r="A55" t="s">
        <v>99</v>
      </c>
      <c r="B55" s="2">
        <v>45</v>
      </c>
      <c r="C55">
        <v>9.57798</v>
      </c>
      <c r="D55">
        <v>8.429</v>
      </c>
      <c r="E55">
        <v>8.75073</v>
      </c>
      <c r="F55">
        <v>7.7103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selection activeCell="D53" sqref="D53"/>
    </sheetView>
  </sheetViews>
  <sheetFormatPr defaultColWidth="9.140625" defaultRowHeight="15"/>
  <cols>
    <col min="1" max="1" width="20.140625" style="0" bestFit="1" customWidth="1"/>
    <col min="2" max="2" width="12.140625" style="0" bestFit="1" customWidth="1"/>
    <col min="3" max="4" width="10.140625" style="0" bestFit="1" customWidth="1"/>
    <col min="5" max="5" width="10.57421875" style="0" customWidth="1"/>
    <col min="6" max="6" width="9.57421875" style="0" bestFit="1" customWidth="1"/>
    <col min="7" max="7" width="9.28125" style="0" bestFit="1" customWidth="1"/>
    <col min="8" max="8" width="11.00390625" style="0" bestFit="1" customWidth="1"/>
    <col min="9" max="10" width="9.28125" style="0" bestFit="1" customWidth="1"/>
    <col min="11" max="11" width="12.00390625" style="0" bestFit="1" customWidth="1"/>
    <col min="12" max="12" width="9.28125" style="0" bestFit="1" customWidth="1"/>
    <col min="13" max="13" width="10.28125" style="0" customWidth="1"/>
    <col min="14" max="14" width="15.28125" style="0" bestFit="1" customWidth="1"/>
    <col min="15" max="15" width="10.00390625" style="0" customWidth="1"/>
    <col min="16" max="16" width="9.421875" style="0" bestFit="1" customWidth="1"/>
    <col min="18" max="18" width="12.8515625" style="0" bestFit="1" customWidth="1"/>
    <col min="21" max="21" width="10.57421875" style="0" bestFit="1" customWidth="1"/>
    <col min="22" max="22" width="9.7109375" style="0" bestFit="1" customWidth="1"/>
    <col min="23" max="23" width="16.140625" style="0" bestFit="1" customWidth="1"/>
    <col min="24" max="24" width="9.7109375" style="0" bestFit="1" customWidth="1"/>
  </cols>
  <sheetData>
    <row r="1" ht="14.25">
      <c r="A1" t="s">
        <v>0</v>
      </c>
    </row>
    <row r="2" spans="1:8" ht="16.5">
      <c r="A2" t="s">
        <v>81</v>
      </c>
      <c r="H2" s="11"/>
    </row>
    <row r="3" spans="2:15" ht="17.25" thickBot="1">
      <c r="B3" s="27" t="s">
        <v>61</v>
      </c>
      <c r="C3" s="27" t="s">
        <v>62</v>
      </c>
      <c r="D3" s="27" t="s">
        <v>63</v>
      </c>
      <c r="E3" s="27" t="s">
        <v>64</v>
      </c>
      <c r="F3" s="27" t="s">
        <v>65</v>
      </c>
      <c r="G3" s="27" t="s">
        <v>66</v>
      </c>
      <c r="H3" s="26" t="s">
        <v>67</v>
      </c>
      <c r="I3" s="27" t="s">
        <v>68</v>
      </c>
      <c r="J3" s="27" t="s">
        <v>69</v>
      </c>
      <c r="K3" s="27" t="s">
        <v>70</v>
      </c>
      <c r="L3" s="27" t="s">
        <v>71</v>
      </c>
      <c r="M3" s="27" t="s">
        <v>72</v>
      </c>
      <c r="N3" s="69"/>
      <c r="O3" s="13"/>
    </row>
    <row r="4" spans="1:13" ht="14.25">
      <c r="A4" t="s">
        <v>75</v>
      </c>
      <c r="B4" s="67">
        <f>'Typical Volumes'!C25</f>
        <v>0.18625</v>
      </c>
      <c r="C4" s="67">
        <f>'Typical Volumes'!C26</f>
        <v>0.15625</v>
      </c>
      <c r="D4" s="67">
        <f>'Typical Volumes'!C27</f>
        <v>0.12625</v>
      </c>
      <c r="E4" s="67">
        <f>'Typical Volumes'!C28</f>
        <v>0.10375000000000001</v>
      </c>
      <c r="F4" s="67">
        <f>'Typical Volumes'!C29</f>
        <v>0.05500000000000001</v>
      </c>
      <c r="G4" s="67">
        <f>'Typical Volumes'!C30</f>
        <v>0.03875</v>
      </c>
      <c r="H4" s="67">
        <f>'Typical Volumes'!C31</f>
        <v>0.025</v>
      </c>
      <c r="I4" s="67">
        <f>'Typical Volumes'!C32</f>
        <v>0.0225</v>
      </c>
      <c r="J4" s="67">
        <f>'Typical Volumes'!C33</f>
        <v>0.025</v>
      </c>
      <c r="K4" s="67">
        <f>'Typical Volumes'!C34</f>
        <v>0.03875</v>
      </c>
      <c r="L4" s="67">
        <f>'Typical Volumes'!C35</f>
        <v>0.07875</v>
      </c>
      <c r="M4" s="67">
        <f>'Typical Volumes'!C36</f>
        <v>0.14375</v>
      </c>
    </row>
    <row r="6" spans="1:2" ht="15">
      <c r="A6" t="s">
        <v>49</v>
      </c>
      <c r="B6" s="10">
        <v>50</v>
      </c>
    </row>
    <row r="7" spans="2:13" ht="17.25" thickBot="1">
      <c r="B7" s="27" t="s">
        <v>61</v>
      </c>
      <c r="C7" s="27" t="s">
        <v>62</v>
      </c>
      <c r="D7" s="27" t="s">
        <v>63</v>
      </c>
      <c r="E7" s="27" t="s">
        <v>64</v>
      </c>
      <c r="F7" s="27" t="s">
        <v>65</v>
      </c>
      <c r="G7" s="27" t="s">
        <v>66</v>
      </c>
      <c r="H7" s="26" t="s">
        <v>67</v>
      </c>
      <c r="I7" s="27" t="s">
        <v>68</v>
      </c>
      <c r="J7" s="27" t="s">
        <v>69</v>
      </c>
      <c r="K7" s="27" t="s">
        <v>70</v>
      </c>
      <c r="L7" s="27" t="s">
        <v>71</v>
      </c>
      <c r="M7" s="27" t="s">
        <v>72</v>
      </c>
    </row>
    <row r="8" spans="1:13" ht="14.25">
      <c r="A8" t="s">
        <v>82</v>
      </c>
      <c r="B8">
        <f>B6*B4</f>
        <v>9.3125</v>
      </c>
      <c r="C8">
        <f>B6*C4</f>
        <v>7.8125</v>
      </c>
      <c r="D8">
        <f>B6*D4</f>
        <v>6.3125</v>
      </c>
      <c r="E8">
        <f>B6*E4</f>
        <v>5.1875</v>
      </c>
      <c r="F8">
        <f>F4*B6</f>
        <v>2.7500000000000004</v>
      </c>
      <c r="G8">
        <f>G4*B6</f>
        <v>1.9375</v>
      </c>
      <c r="H8">
        <f>H4*B6</f>
        <v>1.25</v>
      </c>
      <c r="I8">
        <f>I4*B6</f>
        <v>1.125</v>
      </c>
      <c r="J8">
        <f>J4*B6</f>
        <v>1.25</v>
      </c>
      <c r="K8">
        <f>K4*B6</f>
        <v>1.9375</v>
      </c>
      <c r="L8">
        <f>L4*B6</f>
        <v>3.9375</v>
      </c>
      <c r="M8">
        <f>M4*B6</f>
        <v>7.187499999999999</v>
      </c>
    </row>
    <row r="9" spans="1:13" ht="14.25">
      <c r="A9" t="s">
        <v>47</v>
      </c>
      <c r="B9" s="4">
        <f>MIN(B8,gsblk1)*_gsw1</f>
        <v>90.59814625</v>
      </c>
      <c r="C9" s="4">
        <f>MIN(C8,gsblk1)*_gsw1</f>
        <v>76.00515625</v>
      </c>
      <c r="D9" s="4">
        <f>MIN(D8,gsblk1)*_gsw1</f>
        <v>61.41216625</v>
      </c>
      <c r="E9" s="4">
        <f aca="true" t="shared" si="0" ref="E9:K9">MIN(E8,gsblk1)*_gss1</f>
        <v>46.0527575</v>
      </c>
      <c r="F9" s="4">
        <f t="shared" si="0"/>
        <v>24.413510000000002</v>
      </c>
      <c r="G9" s="4">
        <f t="shared" si="0"/>
        <v>17.2004275</v>
      </c>
      <c r="H9" s="4">
        <f t="shared" si="0"/>
        <v>11.09705</v>
      </c>
      <c r="I9" s="4">
        <f t="shared" si="0"/>
        <v>9.987345</v>
      </c>
      <c r="J9" s="4">
        <f t="shared" si="0"/>
        <v>11.09705</v>
      </c>
      <c r="K9" s="4">
        <f t="shared" si="0"/>
        <v>17.2004275</v>
      </c>
      <c r="L9" s="4">
        <f>MIN(L8,gsblk1)*_gsw1</f>
        <v>38.30659875</v>
      </c>
      <c r="M9" s="4">
        <f>MIN(M8,gsblk1)*_gsw1</f>
        <v>69.92474374999999</v>
      </c>
    </row>
    <row r="10" spans="1:14" ht="14.25">
      <c r="A10" t="s">
        <v>48</v>
      </c>
      <c r="B10" s="29">
        <f>MAX(0,B8-gsblk1)*_gsw2</f>
        <v>0</v>
      </c>
      <c r="C10" s="29">
        <f>MAX(0,C8-gsblk1)*_gsw2</f>
        <v>0</v>
      </c>
      <c r="D10" s="29">
        <f>MAX(0,D8-gsblk1)*_gsw2</f>
        <v>0</v>
      </c>
      <c r="E10" s="30">
        <f aca="true" t="shared" si="1" ref="E10:K10">MAX(0,E8-gsblk1)*_gss2</f>
        <v>0</v>
      </c>
      <c r="F10" s="30">
        <f t="shared" si="1"/>
        <v>0</v>
      </c>
      <c r="G10" s="30">
        <f t="shared" si="1"/>
        <v>0</v>
      </c>
      <c r="H10" s="30">
        <f t="shared" si="1"/>
        <v>0</v>
      </c>
      <c r="I10" s="30">
        <f t="shared" si="1"/>
        <v>0</v>
      </c>
      <c r="J10" s="30">
        <f t="shared" si="1"/>
        <v>0</v>
      </c>
      <c r="K10" s="30">
        <f t="shared" si="1"/>
        <v>0</v>
      </c>
      <c r="L10" s="29">
        <f>MAX(0,L8-gsblk1)*_gsw2</f>
        <v>0</v>
      </c>
      <c r="M10" s="29">
        <f>MAX(0,M8-gsblk1)*_gsw2</f>
        <v>0</v>
      </c>
      <c r="N10" t="s">
        <v>73</v>
      </c>
    </row>
    <row r="11" spans="2:14" ht="15">
      <c r="B11" s="4">
        <f aca="true" t="shared" si="2" ref="B11:M11">SUM(B9:B10)</f>
        <v>90.59814625</v>
      </c>
      <c r="C11" s="4">
        <f t="shared" si="2"/>
        <v>76.00515625</v>
      </c>
      <c r="D11">
        <f t="shared" si="2"/>
        <v>61.41216625</v>
      </c>
      <c r="E11">
        <f t="shared" si="2"/>
        <v>46.0527575</v>
      </c>
      <c r="F11">
        <f t="shared" si="2"/>
        <v>24.413510000000002</v>
      </c>
      <c r="G11">
        <f t="shared" si="2"/>
        <v>17.2004275</v>
      </c>
      <c r="H11">
        <f t="shared" si="2"/>
        <v>11.09705</v>
      </c>
      <c r="I11">
        <f t="shared" si="2"/>
        <v>9.987345</v>
      </c>
      <c r="J11">
        <f t="shared" si="2"/>
        <v>11.09705</v>
      </c>
      <c r="K11">
        <f t="shared" si="2"/>
        <v>17.2004275</v>
      </c>
      <c r="L11">
        <f t="shared" si="2"/>
        <v>38.30659875</v>
      </c>
      <c r="M11">
        <f t="shared" si="2"/>
        <v>69.92474374999999</v>
      </c>
      <c r="N11" s="31">
        <f>SUM(B11:M11)+12*B12</f>
        <v>533.2953787499999</v>
      </c>
    </row>
    <row r="12" spans="1:14" ht="14.25">
      <c r="A12" t="s">
        <v>85</v>
      </c>
      <c r="B12" s="18">
        <v>5</v>
      </c>
      <c r="C12" s="4"/>
      <c r="N12" s="5"/>
    </row>
    <row r="13" spans="1:2" ht="15">
      <c r="A13" t="s">
        <v>49</v>
      </c>
      <c r="B13" s="10">
        <v>80</v>
      </c>
    </row>
    <row r="14" spans="2:13" ht="17.25" thickBot="1">
      <c r="B14" s="27" t="s">
        <v>61</v>
      </c>
      <c r="C14" s="27" t="s">
        <v>62</v>
      </c>
      <c r="D14" s="27" t="s">
        <v>63</v>
      </c>
      <c r="E14" s="27" t="s">
        <v>64</v>
      </c>
      <c r="F14" s="27" t="s">
        <v>65</v>
      </c>
      <c r="G14" s="27" t="s">
        <v>66</v>
      </c>
      <c r="H14" s="26" t="s">
        <v>67</v>
      </c>
      <c r="I14" s="27" t="s">
        <v>68</v>
      </c>
      <c r="J14" s="27" t="s">
        <v>69</v>
      </c>
      <c r="K14" s="27" t="s">
        <v>70</v>
      </c>
      <c r="L14" s="27" t="s">
        <v>71</v>
      </c>
      <c r="M14" s="27" t="s">
        <v>72</v>
      </c>
    </row>
    <row r="15" spans="1:13" ht="14.25">
      <c r="A15" t="s">
        <v>82</v>
      </c>
      <c r="B15">
        <f>B13*B4</f>
        <v>14.9</v>
      </c>
      <c r="C15">
        <f>B13*C4</f>
        <v>12.5</v>
      </c>
      <c r="D15">
        <f>B13*D4</f>
        <v>10.1</v>
      </c>
      <c r="E15">
        <f>B13*E4</f>
        <v>8.3</v>
      </c>
      <c r="F15">
        <f>B13*F4</f>
        <v>4.4</v>
      </c>
      <c r="G15">
        <f>B13*G4</f>
        <v>3.1</v>
      </c>
      <c r="H15">
        <f>B13*H4</f>
        <v>2</v>
      </c>
      <c r="I15">
        <f>B13*I4</f>
        <v>1.7999999999999998</v>
      </c>
      <c r="J15">
        <f>B13*J4</f>
        <v>2</v>
      </c>
      <c r="K15">
        <f>B13*K4</f>
        <v>3.1</v>
      </c>
      <c r="L15">
        <f>L4*B13</f>
        <v>6.3</v>
      </c>
      <c r="M15">
        <f>M4*B13</f>
        <v>11.5</v>
      </c>
    </row>
    <row r="16" spans="1:13" ht="14.25">
      <c r="A16" t="s">
        <v>47</v>
      </c>
      <c r="B16" s="4">
        <f>MIN(B15,gsblk1)*_gsw1</f>
        <v>144.957034</v>
      </c>
      <c r="C16" s="4">
        <f>MIN(C15,gsblk1)*_gsw1</f>
        <v>121.60825</v>
      </c>
      <c r="D16" s="4">
        <f>MIN(D15,gsblk1)*_gsw1</f>
        <v>98.25946599999999</v>
      </c>
      <c r="E16" s="4">
        <f aca="true" t="shared" si="3" ref="E16:K16">MIN(E15,gsblk1)*_gss1</f>
        <v>73.68441200000001</v>
      </c>
      <c r="F16" s="4">
        <f t="shared" si="3"/>
        <v>39.061616</v>
      </c>
      <c r="G16" s="4">
        <f t="shared" si="3"/>
        <v>27.520684</v>
      </c>
      <c r="H16" s="4">
        <f t="shared" si="3"/>
        <v>17.75528</v>
      </c>
      <c r="I16" s="4">
        <f t="shared" si="3"/>
        <v>15.979751999999998</v>
      </c>
      <c r="J16" s="4">
        <f t="shared" si="3"/>
        <v>17.75528</v>
      </c>
      <c r="K16" s="4">
        <f t="shared" si="3"/>
        <v>27.520684</v>
      </c>
      <c r="L16" s="4">
        <f>MIN(L15,gsblk1)*_gsw1</f>
        <v>61.290558</v>
      </c>
      <c r="M16" s="4">
        <f>MIN(M15,gsblk1)*_gsw1</f>
        <v>111.87959</v>
      </c>
    </row>
    <row r="17" spans="1:14" ht="14.25">
      <c r="A17" t="s">
        <v>48</v>
      </c>
      <c r="B17" s="29">
        <f>MAX(0,B15-gsblk1)*_gsw2</f>
        <v>0</v>
      </c>
      <c r="C17" s="29">
        <f>MAX(0,C15-gsblk1)*_gsw2</f>
        <v>0</v>
      </c>
      <c r="D17" s="29">
        <f>MAX(0,D15-gsblk1)*_gsw2</f>
        <v>0</v>
      </c>
      <c r="E17" s="30">
        <f aca="true" t="shared" si="4" ref="E17:K17">MAX(0,E15-gsblk1)*_gss2</f>
        <v>0</v>
      </c>
      <c r="F17" s="30">
        <f t="shared" si="4"/>
        <v>0</v>
      </c>
      <c r="G17" s="30">
        <f t="shared" si="4"/>
        <v>0</v>
      </c>
      <c r="H17" s="30">
        <f t="shared" si="4"/>
        <v>0</v>
      </c>
      <c r="I17" s="30">
        <f t="shared" si="4"/>
        <v>0</v>
      </c>
      <c r="J17" s="30">
        <f>MAX(0,J15-gsblk1)*_gss2</f>
        <v>0</v>
      </c>
      <c r="K17" s="30">
        <f t="shared" si="4"/>
        <v>0</v>
      </c>
      <c r="L17" s="29">
        <f>MAX(0,L15-gsblk1)*_gsw2</f>
        <v>0</v>
      </c>
      <c r="M17" s="29">
        <f>MAX(0,M15-gsblk1)*_gsw2</f>
        <v>0</v>
      </c>
      <c r="N17" t="s">
        <v>73</v>
      </c>
    </row>
    <row r="18" spans="2:14" ht="15">
      <c r="B18" s="4">
        <f aca="true" t="shared" si="5" ref="B18:L18">SUM(B16:B17)</f>
        <v>144.957034</v>
      </c>
      <c r="C18" s="4">
        <f t="shared" si="5"/>
        <v>121.60825</v>
      </c>
      <c r="D18" s="4">
        <f t="shared" si="5"/>
        <v>98.25946599999999</v>
      </c>
      <c r="E18" s="4">
        <f t="shared" si="5"/>
        <v>73.68441200000001</v>
      </c>
      <c r="F18" s="4">
        <f t="shared" si="5"/>
        <v>39.061616</v>
      </c>
      <c r="G18" s="4">
        <f t="shared" si="5"/>
        <v>27.520684</v>
      </c>
      <c r="H18" s="4">
        <f t="shared" si="5"/>
        <v>17.75528</v>
      </c>
      <c r="I18" s="4">
        <f t="shared" si="5"/>
        <v>15.979751999999998</v>
      </c>
      <c r="J18" s="4">
        <f t="shared" si="5"/>
        <v>17.75528</v>
      </c>
      <c r="K18" s="4">
        <f t="shared" si="5"/>
        <v>27.520684</v>
      </c>
      <c r="L18" s="4">
        <f t="shared" si="5"/>
        <v>61.290558</v>
      </c>
      <c r="M18" s="4">
        <f>SUM(M16:M17)+12*B19</f>
        <v>171.87959</v>
      </c>
      <c r="N18" s="31">
        <f>SUM(B18:M18)</f>
        <v>817.272606</v>
      </c>
    </row>
    <row r="19" spans="1:14" ht="14.25">
      <c r="A19" t="s">
        <v>85</v>
      </c>
      <c r="B19" s="18">
        <v>5</v>
      </c>
      <c r="C19" s="4"/>
      <c r="N19" s="5"/>
    </row>
    <row r="20" spans="2:14" ht="14.25">
      <c r="B20" s="18"/>
      <c r="C20" s="4"/>
      <c r="N20" s="5"/>
    </row>
    <row r="21" spans="1:2" ht="15">
      <c r="A21" t="s">
        <v>49</v>
      </c>
      <c r="B21" s="10">
        <v>150</v>
      </c>
    </row>
    <row r="22" spans="2:13" ht="17.25" thickBot="1">
      <c r="B22" s="27" t="s">
        <v>61</v>
      </c>
      <c r="C22" s="27" t="s">
        <v>62</v>
      </c>
      <c r="D22" s="27" t="s">
        <v>63</v>
      </c>
      <c r="E22" s="27" t="s">
        <v>64</v>
      </c>
      <c r="F22" s="27" t="s">
        <v>65</v>
      </c>
      <c r="G22" s="27" t="s">
        <v>66</v>
      </c>
      <c r="H22" s="26" t="s">
        <v>67</v>
      </c>
      <c r="I22" s="27" t="s">
        <v>68</v>
      </c>
      <c r="J22" s="27" t="s">
        <v>69</v>
      </c>
      <c r="K22" s="27" t="s">
        <v>70</v>
      </c>
      <c r="L22" s="27" t="s">
        <v>71</v>
      </c>
      <c r="M22" s="27" t="s">
        <v>72</v>
      </c>
    </row>
    <row r="23" spans="1:13" ht="14.25">
      <c r="A23" t="s">
        <v>82</v>
      </c>
      <c r="B23">
        <f>B21*B4</f>
        <v>27.9375</v>
      </c>
      <c r="C23">
        <f>B21*C4</f>
        <v>23.4375</v>
      </c>
      <c r="D23">
        <f>B21*D4</f>
        <v>18.9375</v>
      </c>
      <c r="E23">
        <f>B21*E4</f>
        <v>15.562500000000002</v>
      </c>
      <c r="F23">
        <f>B21*F4</f>
        <v>8.250000000000002</v>
      </c>
      <c r="G23">
        <f>B21*G4</f>
        <v>5.8125</v>
      </c>
      <c r="H23">
        <f>B21*H4</f>
        <v>3.75</v>
      </c>
      <c r="I23">
        <f>B21*I4</f>
        <v>3.375</v>
      </c>
      <c r="J23">
        <f>B21*J4</f>
        <v>3.75</v>
      </c>
      <c r="K23">
        <f>B21*K4</f>
        <v>5.8125</v>
      </c>
      <c r="L23">
        <f>B21*L4</f>
        <v>11.8125</v>
      </c>
      <c r="M23">
        <f>B21*M4</f>
        <v>21.5625</v>
      </c>
    </row>
    <row r="24" spans="1:13" ht="14.25">
      <c r="A24" t="s">
        <v>47</v>
      </c>
      <c r="B24" s="4">
        <f>MIN(B23,gsblk1)*_gsw1</f>
        <v>271.79443875</v>
      </c>
      <c r="C24" s="4">
        <f>MIN(C23,gsblk1)*_gsw1</f>
        <v>228.01546875</v>
      </c>
      <c r="D24" s="4">
        <f>MIN(D23,gsblk1)*_gsw1</f>
        <v>184.23649874999998</v>
      </c>
      <c r="E24" s="4">
        <f aca="true" t="shared" si="6" ref="E24:K24">MIN(E23,gsblk1)*_gss1</f>
        <v>138.1582725</v>
      </c>
      <c r="F24" s="4">
        <f t="shared" si="6"/>
        <v>73.24053</v>
      </c>
      <c r="G24" s="4">
        <f t="shared" si="6"/>
        <v>51.601282499999996</v>
      </c>
      <c r="H24" s="4">
        <f t="shared" si="6"/>
        <v>33.29115</v>
      </c>
      <c r="I24" s="4">
        <f t="shared" si="6"/>
        <v>29.962035</v>
      </c>
      <c r="J24" s="4">
        <f t="shared" si="6"/>
        <v>33.29115</v>
      </c>
      <c r="K24" s="4">
        <f t="shared" si="6"/>
        <v>51.601282499999996</v>
      </c>
      <c r="L24" s="4">
        <f>MIN(L23,gsblk1)*_gsw1</f>
        <v>114.91979624999999</v>
      </c>
      <c r="M24" s="4">
        <f>MIN(M23,gsblk1)*_gsw1</f>
        <v>209.77423124999999</v>
      </c>
    </row>
    <row r="25" spans="1:14" ht="14.25">
      <c r="A25" t="s">
        <v>48</v>
      </c>
      <c r="B25" s="29">
        <f>MAX(0,B23-gsblk1)*_gsw2</f>
        <v>0</v>
      </c>
      <c r="C25" s="29">
        <f>MAX(0,C23-gsblk1)*_gsw2</f>
        <v>0</v>
      </c>
      <c r="D25" s="29">
        <f>MAX(0,D23-gsblk1)*_gsw2</f>
        <v>0</v>
      </c>
      <c r="E25" s="30">
        <f aca="true" t="shared" si="7" ref="E25:K25">MAX(0,E23-gsblk1)*_gss2</f>
        <v>0</v>
      </c>
      <c r="F25" s="30">
        <f t="shared" si="7"/>
        <v>0</v>
      </c>
      <c r="G25" s="30">
        <f t="shared" si="7"/>
        <v>0</v>
      </c>
      <c r="H25" s="30">
        <f t="shared" si="7"/>
        <v>0</v>
      </c>
      <c r="I25" s="30">
        <f t="shared" si="7"/>
        <v>0</v>
      </c>
      <c r="J25" s="30">
        <f t="shared" si="7"/>
        <v>0</v>
      </c>
      <c r="K25" s="30">
        <f t="shared" si="7"/>
        <v>0</v>
      </c>
      <c r="L25" s="29">
        <f>MAX(0,L23-gsblk1)*_gsw2</f>
        <v>0</v>
      </c>
      <c r="M25" s="29">
        <f>MAX(0,M23-gsblk1)*_gsw2</f>
        <v>0</v>
      </c>
      <c r="N25" t="s">
        <v>73</v>
      </c>
    </row>
    <row r="26" spans="2:14" ht="15">
      <c r="B26" s="4">
        <f>SUM(B24:B25)+B27</f>
        <v>276.79443875</v>
      </c>
      <c r="C26" s="4">
        <f>SUM(C24:C25)+B27</f>
        <v>233.01546875</v>
      </c>
      <c r="D26" s="9">
        <f>SUM(D24:D25)+B27</f>
        <v>189.23649874999998</v>
      </c>
      <c r="E26" s="9">
        <f>SUM(E24:E25)+B27</f>
        <v>143.1582725</v>
      </c>
      <c r="F26" s="9">
        <f>SUM(F24:F25)+B27</f>
        <v>78.24053</v>
      </c>
      <c r="G26" s="9">
        <f>SUM(G24:G25)+B27</f>
        <v>56.601282499999996</v>
      </c>
      <c r="H26" s="9">
        <f>SUM(H24:H25)+B27</f>
        <v>38.29115</v>
      </c>
      <c r="I26" s="9">
        <f>SUM(I24:I25)+B27</f>
        <v>34.962035</v>
      </c>
      <c r="J26" s="9">
        <f>SUM(J24:J25)+B27</f>
        <v>38.29115</v>
      </c>
      <c r="K26" s="9">
        <f>SUM(K24:K25)+B27</f>
        <v>56.601282499999996</v>
      </c>
      <c r="L26" s="9">
        <f>SUM(L24:L25)+B27</f>
        <v>119.91979624999999</v>
      </c>
      <c r="M26" s="9">
        <f>SUM(M24:M25)+B27</f>
        <v>214.77423124999999</v>
      </c>
      <c r="N26" s="31">
        <f>SUM(B26:M26)</f>
        <v>1479.8861362500002</v>
      </c>
    </row>
    <row r="27" spans="1:14" ht="14.25">
      <c r="A27" t="s">
        <v>85</v>
      </c>
      <c r="B27" s="18">
        <v>5</v>
      </c>
      <c r="C27" s="4"/>
      <c r="N27" s="5"/>
    </row>
    <row r="28" spans="2:14" ht="14.25">
      <c r="B28" s="18"/>
      <c r="C28" s="4"/>
      <c r="N28" s="5"/>
    </row>
    <row r="29" spans="1:14" ht="15">
      <c r="A29" t="s">
        <v>49</v>
      </c>
      <c r="B29" s="41">
        <v>2100</v>
      </c>
      <c r="C29" s="4"/>
      <c r="N29" s="5"/>
    </row>
    <row r="30" spans="2:13" ht="17.25" thickBot="1">
      <c r="B30" s="27" t="s">
        <v>61</v>
      </c>
      <c r="C30" s="27" t="s">
        <v>62</v>
      </c>
      <c r="D30" s="27" t="s">
        <v>63</v>
      </c>
      <c r="E30" s="27" t="s">
        <v>64</v>
      </c>
      <c r="F30" s="27" t="s">
        <v>65</v>
      </c>
      <c r="G30" s="27" t="s">
        <v>66</v>
      </c>
      <c r="H30" s="26" t="s">
        <v>67</v>
      </c>
      <c r="I30" s="27" t="s">
        <v>68</v>
      </c>
      <c r="J30" s="27" t="s">
        <v>69</v>
      </c>
      <c r="K30" s="27" t="s">
        <v>70</v>
      </c>
      <c r="L30" s="27" t="s">
        <v>71</v>
      </c>
      <c r="M30" s="27" t="s">
        <v>72</v>
      </c>
    </row>
    <row r="31" spans="1:13" ht="14.25">
      <c r="A31" t="s">
        <v>82</v>
      </c>
      <c r="B31">
        <f>B29*B4</f>
        <v>391.125</v>
      </c>
      <c r="C31">
        <f>B29*C4</f>
        <v>328.125</v>
      </c>
      <c r="D31">
        <f>B29*D4</f>
        <v>265.125</v>
      </c>
      <c r="E31">
        <f>B29*E4</f>
        <v>217.87500000000003</v>
      </c>
      <c r="F31">
        <f>B29*F4</f>
        <v>115.50000000000001</v>
      </c>
      <c r="G31">
        <f>B29*G4</f>
        <v>81.375</v>
      </c>
      <c r="H31">
        <f>B29*H4</f>
        <v>52.5</v>
      </c>
      <c r="I31">
        <f>I4*B29</f>
        <v>47.25</v>
      </c>
      <c r="J31">
        <f>B29*J4</f>
        <v>52.5</v>
      </c>
      <c r="K31">
        <f>B29*K4</f>
        <v>81.375</v>
      </c>
      <c r="L31">
        <f>B29*L4</f>
        <v>165.375</v>
      </c>
      <c r="M31">
        <f>B29*M4</f>
        <v>301.875</v>
      </c>
    </row>
    <row r="32" spans="1:13" ht="14.25">
      <c r="A32" t="s">
        <v>47</v>
      </c>
      <c r="B32" s="4">
        <f>MIN(B31,gsblk1)*_gsw1</f>
        <v>437.7897</v>
      </c>
      <c r="C32" s="4">
        <f>MIN(C31,gsblk1)*_gsw1</f>
        <v>437.7897</v>
      </c>
      <c r="D32" s="4">
        <f>MIN(D31,gsblk1)*_gsw1</f>
        <v>437.7897</v>
      </c>
      <c r="E32" s="4">
        <f aca="true" t="shared" si="8" ref="E32:K32">MIN(E31,gsblk1)*_gss1</f>
        <v>399.49379999999996</v>
      </c>
      <c r="F32" s="4">
        <f t="shared" si="8"/>
        <v>399.49379999999996</v>
      </c>
      <c r="G32" s="4">
        <f t="shared" si="8"/>
        <v>399.49379999999996</v>
      </c>
      <c r="H32" s="4">
        <f t="shared" si="8"/>
        <v>399.49379999999996</v>
      </c>
      <c r="I32" s="4">
        <f t="shared" si="8"/>
        <v>399.49379999999996</v>
      </c>
      <c r="J32" s="4">
        <f t="shared" si="8"/>
        <v>399.49379999999996</v>
      </c>
      <c r="K32" s="4">
        <f t="shared" si="8"/>
        <v>399.49379999999996</v>
      </c>
      <c r="L32" s="4">
        <f>MIN(L31,gsblk1)*_gsw1</f>
        <v>437.7897</v>
      </c>
      <c r="M32" s="4">
        <f>MIN(M31,gsblk1)*_gsw1</f>
        <v>437.7897</v>
      </c>
    </row>
    <row r="33" spans="1:14" ht="14.25">
      <c r="A33" t="s">
        <v>48</v>
      </c>
      <c r="B33" s="29">
        <f>MAX(0,B31-gsblk1)*_gsw2</f>
        <v>2939.141205</v>
      </c>
      <c r="C33" s="29">
        <f>MAX(0,C31-gsblk1)*_gsw2</f>
        <v>2404.172925</v>
      </c>
      <c r="D33" s="29">
        <f>MAX(0,D31-gsblk1)*_gsw2</f>
        <v>1869.204645</v>
      </c>
      <c r="E33" s="30">
        <f aca="true" t="shared" si="9" ref="E33:K33">MAX(0,E31-gsblk1)*_gss2</f>
        <v>1341.0622537500003</v>
      </c>
      <c r="F33" s="30">
        <f t="shared" si="9"/>
        <v>546.8974050000002</v>
      </c>
      <c r="G33" s="30">
        <f t="shared" si="9"/>
        <v>282.17578875</v>
      </c>
      <c r="H33" s="30">
        <f t="shared" si="9"/>
        <v>58.180575000000005</v>
      </c>
      <c r="I33" s="30">
        <f t="shared" si="9"/>
        <v>17.4541725</v>
      </c>
      <c r="J33" s="30">
        <f t="shared" si="9"/>
        <v>58.180575000000005</v>
      </c>
      <c r="K33" s="30">
        <f t="shared" si="9"/>
        <v>282.17578875</v>
      </c>
      <c r="L33" s="29">
        <f>MAX(0,L31-gsblk1)*_gsw2</f>
        <v>1022.171535</v>
      </c>
      <c r="M33" s="29">
        <f>MAX(0,M31-gsblk1)*_gsw2</f>
        <v>2181.269475</v>
      </c>
      <c r="N33" t="s">
        <v>73</v>
      </c>
    </row>
    <row r="34" spans="2:14" ht="15">
      <c r="B34" s="4">
        <f aca="true" t="shared" si="10" ref="B34:M34">SUM(B32:B33)</f>
        <v>3376.9309049999997</v>
      </c>
      <c r="C34" s="4">
        <f t="shared" si="10"/>
        <v>2841.9626249999997</v>
      </c>
      <c r="D34">
        <f t="shared" si="10"/>
        <v>2306.994345</v>
      </c>
      <c r="E34">
        <f t="shared" si="10"/>
        <v>1740.5560537500003</v>
      </c>
      <c r="F34">
        <f t="shared" si="10"/>
        <v>946.3912050000001</v>
      </c>
      <c r="G34">
        <f t="shared" si="10"/>
        <v>681.66958875</v>
      </c>
      <c r="H34">
        <f t="shared" si="10"/>
        <v>457.67437499999994</v>
      </c>
      <c r="I34">
        <f t="shared" si="10"/>
        <v>416.9479725</v>
      </c>
      <c r="J34">
        <f t="shared" si="10"/>
        <v>457.67437499999994</v>
      </c>
      <c r="K34">
        <f t="shared" si="10"/>
        <v>681.66958875</v>
      </c>
      <c r="L34">
        <f t="shared" si="10"/>
        <v>1459.961235</v>
      </c>
      <c r="M34">
        <f t="shared" si="10"/>
        <v>2619.059175</v>
      </c>
      <c r="N34" s="31">
        <f>SUM(B34:M34)+12*B35</f>
        <v>18239.491443750005</v>
      </c>
    </row>
    <row r="35" spans="1:14" ht="14.25">
      <c r="A35" t="s">
        <v>85</v>
      </c>
      <c r="B35" s="18">
        <v>21</v>
      </c>
      <c r="C35" s="4"/>
      <c r="N35" s="5"/>
    </row>
    <row r="36" spans="2:14" ht="14.25">
      <c r="B36" s="18"/>
      <c r="C36" s="4"/>
      <c r="N36" s="5"/>
    </row>
    <row r="37" spans="1:2" ht="15">
      <c r="A37" t="s">
        <v>49</v>
      </c>
      <c r="B37" s="7">
        <v>45000</v>
      </c>
    </row>
    <row r="38" spans="2:13" ht="17.25" thickBot="1">
      <c r="B38" s="27" t="s">
        <v>61</v>
      </c>
      <c r="C38" s="27" t="s">
        <v>62</v>
      </c>
      <c r="D38" s="27" t="s">
        <v>63</v>
      </c>
      <c r="E38" s="27" t="s">
        <v>64</v>
      </c>
      <c r="F38" s="27" t="s">
        <v>65</v>
      </c>
      <c r="G38" s="27" t="s">
        <v>66</v>
      </c>
      <c r="H38" s="26" t="s">
        <v>67</v>
      </c>
      <c r="I38" s="27" t="s">
        <v>68</v>
      </c>
      <c r="J38" s="27" t="s">
        <v>69</v>
      </c>
      <c r="K38" s="27" t="s">
        <v>70</v>
      </c>
      <c r="L38" s="27" t="s">
        <v>71</v>
      </c>
      <c r="M38" s="27" t="s">
        <v>72</v>
      </c>
    </row>
    <row r="39" spans="1:13" ht="14.25">
      <c r="A39" t="s">
        <v>83</v>
      </c>
      <c r="B39">
        <f>B37*B4</f>
        <v>8381.25</v>
      </c>
      <c r="C39">
        <f>B37*C4</f>
        <v>7031.25</v>
      </c>
      <c r="D39">
        <f>B37*D4</f>
        <v>5681.25</v>
      </c>
      <c r="E39">
        <f>B37*E4</f>
        <v>4668.75</v>
      </c>
      <c r="F39">
        <f>B37*F4</f>
        <v>2475.0000000000005</v>
      </c>
      <c r="G39">
        <f>B37*G4</f>
        <v>1743.75</v>
      </c>
      <c r="H39">
        <f>B37*H4</f>
        <v>1125</v>
      </c>
      <c r="I39">
        <f>B37*I4</f>
        <v>1012.5</v>
      </c>
      <c r="J39">
        <f>B37*J4</f>
        <v>1125</v>
      </c>
      <c r="K39">
        <f>B37*K4</f>
        <v>1743.75</v>
      </c>
      <c r="L39">
        <f>B37*L4</f>
        <v>3543.75</v>
      </c>
      <c r="M39">
        <f>B37*M4</f>
        <v>6468.749999999999</v>
      </c>
    </row>
    <row r="40" spans="1:13" ht="14.25">
      <c r="A40" t="s">
        <v>47</v>
      </c>
      <c r="B40" s="4">
        <f>MIN(B39,gsblk1)*_gsw1</f>
        <v>437.7897</v>
      </c>
      <c r="C40" s="4">
        <f>MIN(C39,gsblk1)*_gsw1</f>
        <v>437.7897</v>
      </c>
      <c r="D40" s="4">
        <f>MIN(D39,gsblk1)*_gsw1</f>
        <v>437.7897</v>
      </c>
      <c r="E40" s="4">
        <f aca="true" t="shared" si="11" ref="E40:K40">MIN(E39,gsblk1)*_gss1</f>
        <v>399.49379999999996</v>
      </c>
      <c r="F40" s="4">
        <f t="shared" si="11"/>
        <v>399.49379999999996</v>
      </c>
      <c r="G40" s="4">
        <f t="shared" si="11"/>
        <v>399.49379999999996</v>
      </c>
      <c r="H40" s="4">
        <f t="shared" si="11"/>
        <v>399.49379999999996</v>
      </c>
      <c r="I40" s="4">
        <f t="shared" si="11"/>
        <v>399.49379999999996</v>
      </c>
      <c r="J40" s="4">
        <f t="shared" si="11"/>
        <v>399.49379999999996</v>
      </c>
      <c r="K40" s="4">
        <f t="shared" si="11"/>
        <v>399.49379999999996</v>
      </c>
      <c r="L40" s="4">
        <f>MIN(L39,gsblk1)*_gsw1</f>
        <v>437.7897</v>
      </c>
      <c r="M40" s="4">
        <f>MIN(M39,gsblk1)*_gsw1</f>
        <v>437.7897</v>
      </c>
    </row>
    <row r="41" spans="1:14" ht="14.25">
      <c r="A41" t="s">
        <v>48</v>
      </c>
      <c r="B41" s="29">
        <f>MAX(0,B39-gsblk1)*_gsw2</f>
        <v>70787.76705</v>
      </c>
      <c r="C41" s="29">
        <f>MAX(0,C39-gsblk1)*_gsw2</f>
        <v>59324.161049999995</v>
      </c>
      <c r="D41" s="29">
        <f>MAX(0,D39-gsblk1)*_gsw2</f>
        <v>47860.555049999995</v>
      </c>
      <c r="E41" s="30">
        <f aca="true" t="shared" si="12" ref="E41:K41">MAX(0,E39-gsblk1)*_gss2</f>
        <v>35868.3244875</v>
      </c>
      <c r="F41" s="30">
        <f t="shared" si="12"/>
        <v>18850.506300000005</v>
      </c>
      <c r="G41" s="30">
        <f t="shared" si="12"/>
        <v>13177.9002375</v>
      </c>
      <c r="H41" s="30">
        <f t="shared" si="12"/>
        <v>8378.0028</v>
      </c>
      <c r="I41" s="30">
        <f t="shared" si="12"/>
        <v>7505.294175</v>
      </c>
      <c r="J41" s="30">
        <f t="shared" si="12"/>
        <v>8378.0028</v>
      </c>
      <c r="K41" s="30">
        <f t="shared" si="12"/>
        <v>13177.9002375</v>
      </c>
      <c r="L41" s="29">
        <f>MAX(0,L39-gsblk1)*_gsw2</f>
        <v>29709.84555</v>
      </c>
      <c r="M41" s="29">
        <f>MAX(0,M39-gsblk1)*_gsw2</f>
        <v>54547.65854999999</v>
      </c>
      <c r="N41" t="s">
        <v>73</v>
      </c>
    </row>
    <row r="42" spans="2:14" ht="15">
      <c r="B42" s="4">
        <f aca="true" t="shared" si="13" ref="B42:M42">SUM(B40:B41)</f>
        <v>71225.55674999999</v>
      </c>
      <c r="C42" s="4">
        <f t="shared" si="13"/>
        <v>59761.950749999996</v>
      </c>
      <c r="D42">
        <f t="shared" si="13"/>
        <v>48298.34475</v>
      </c>
      <c r="E42">
        <f t="shared" si="13"/>
        <v>36267.8182875</v>
      </c>
      <c r="F42">
        <f t="shared" si="13"/>
        <v>19250.000100000005</v>
      </c>
      <c r="G42">
        <f t="shared" si="13"/>
        <v>13577.3940375</v>
      </c>
      <c r="H42">
        <f t="shared" si="13"/>
        <v>8777.4966</v>
      </c>
      <c r="I42">
        <f t="shared" si="13"/>
        <v>7904.787975</v>
      </c>
      <c r="J42">
        <f t="shared" si="13"/>
        <v>8777.4966</v>
      </c>
      <c r="K42">
        <f t="shared" si="13"/>
        <v>13577.3940375</v>
      </c>
      <c r="L42">
        <f t="shared" si="13"/>
        <v>30147.63525</v>
      </c>
      <c r="M42">
        <f t="shared" si="13"/>
        <v>54985.448249999994</v>
      </c>
      <c r="N42" s="31">
        <f>SUM(B42:M42)+12*B43</f>
        <v>375479.3233875</v>
      </c>
    </row>
    <row r="43" spans="1:14" ht="14.25">
      <c r="A43" t="s">
        <v>85</v>
      </c>
      <c r="B43" s="18">
        <v>244</v>
      </c>
      <c r="C43" s="4"/>
      <c r="N43" s="5"/>
    </row>
    <row r="46" spans="1:2" ht="15">
      <c r="A46" t="s">
        <v>49</v>
      </c>
      <c r="B46" s="7">
        <v>150</v>
      </c>
    </row>
    <row r="47" spans="2:13" ht="17.25" thickBot="1">
      <c r="B47" s="27" t="s">
        <v>61</v>
      </c>
      <c r="C47" s="27" t="s">
        <v>62</v>
      </c>
      <c r="D47" s="27" t="s">
        <v>63</v>
      </c>
      <c r="E47" s="27" t="s">
        <v>64</v>
      </c>
      <c r="F47" s="27" t="s">
        <v>65</v>
      </c>
      <c r="G47" s="27" t="s">
        <v>66</v>
      </c>
      <c r="H47" s="26" t="s">
        <v>67</v>
      </c>
      <c r="I47" s="27" t="s">
        <v>68</v>
      </c>
      <c r="J47" s="27" t="s">
        <v>69</v>
      </c>
      <c r="K47" s="27" t="s">
        <v>70</v>
      </c>
      <c r="L47" s="27" t="s">
        <v>71</v>
      </c>
      <c r="M47" s="27" t="s">
        <v>72</v>
      </c>
    </row>
    <row r="48" spans="1:13" ht="14.25">
      <c r="A48" t="s">
        <v>83</v>
      </c>
      <c r="B48">
        <f>B46*B4</f>
        <v>27.9375</v>
      </c>
      <c r="C48">
        <f>B46*C4</f>
        <v>23.4375</v>
      </c>
      <c r="D48">
        <f>B46*D4</f>
        <v>18.9375</v>
      </c>
      <c r="E48">
        <f>B46*E4</f>
        <v>15.562500000000002</v>
      </c>
      <c r="F48">
        <f>B46*F4</f>
        <v>8.250000000000002</v>
      </c>
      <c r="G48">
        <f>B46*G4</f>
        <v>5.8125</v>
      </c>
      <c r="H48">
        <f>B46*H4</f>
        <v>3.75</v>
      </c>
      <c r="I48">
        <f>B46*I4</f>
        <v>3.375</v>
      </c>
      <c r="J48">
        <f>B46*J4</f>
        <v>3.75</v>
      </c>
      <c r="K48">
        <f>B46*K4</f>
        <v>5.8125</v>
      </c>
      <c r="L48">
        <f>B46*L4</f>
        <v>11.8125</v>
      </c>
      <c r="M48">
        <f>B46*M4</f>
        <v>21.5625</v>
      </c>
    </row>
    <row r="49" spans="1:13" ht="14.25">
      <c r="A49" t="s">
        <v>47</v>
      </c>
      <c r="B49" s="4">
        <f>MIN(B48,gsblk1)*_gsw1</f>
        <v>271.79443875</v>
      </c>
      <c r="C49" s="4">
        <f>MIN(C48,gsblk1)*_gsw1</f>
        <v>228.01546875</v>
      </c>
      <c r="D49" s="4">
        <f>MIN(D48,gsblk1)*_gsw1</f>
        <v>184.23649874999998</v>
      </c>
      <c r="E49" s="4">
        <f aca="true" t="shared" si="14" ref="E49:K49">MIN(E48,gsblk1)*_gss1</f>
        <v>138.1582725</v>
      </c>
      <c r="F49" s="4">
        <f t="shared" si="14"/>
        <v>73.24053</v>
      </c>
      <c r="G49" s="4">
        <f t="shared" si="14"/>
        <v>51.601282499999996</v>
      </c>
      <c r="H49" s="4">
        <f t="shared" si="14"/>
        <v>33.29115</v>
      </c>
      <c r="I49" s="4">
        <f t="shared" si="14"/>
        <v>29.962035</v>
      </c>
      <c r="J49" s="4">
        <f t="shared" si="14"/>
        <v>33.29115</v>
      </c>
      <c r="K49" s="4">
        <f t="shared" si="14"/>
        <v>51.601282499999996</v>
      </c>
      <c r="L49" s="4">
        <f>MIN(L48,gsblk1)*_gsw1</f>
        <v>114.91979624999999</v>
      </c>
      <c r="M49" s="4">
        <f>MIN(M48,gsblk1)*_gsw1</f>
        <v>209.77423124999999</v>
      </c>
    </row>
    <row r="50" spans="1:14" ht="14.25">
      <c r="A50" t="s">
        <v>48</v>
      </c>
      <c r="B50" s="29">
        <f>MAX(0,B48-gsblk1)*_gsw2</f>
        <v>0</v>
      </c>
      <c r="C50" s="29">
        <f>MAX(0,C48-gsblk1)*_gsw2</f>
        <v>0</v>
      </c>
      <c r="D50" s="29">
        <f>MAX(0,D48-gsblk1)*_gsw2</f>
        <v>0</v>
      </c>
      <c r="E50" s="30">
        <f aca="true" t="shared" si="15" ref="E50:K50">MAX(0,E48-gsblk1)*_gss2</f>
        <v>0</v>
      </c>
      <c r="F50" s="30">
        <f t="shared" si="15"/>
        <v>0</v>
      </c>
      <c r="G50" s="30">
        <f t="shared" si="15"/>
        <v>0</v>
      </c>
      <c r="H50" s="30">
        <f t="shared" si="15"/>
        <v>0</v>
      </c>
      <c r="I50" s="30">
        <f t="shared" si="15"/>
        <v>0</v>
      </c>
      <c r="J50" s="30">
        <f t="shared" si="15"/>
        <v>0</v>
      </c>
      <c r="K50" s="30">
        <f t="shared" si="15"/>
        <v>0</v>
      </c>
      <c r="L50" s="29">
        <f>MAX(0,L48-gsblk1)*_gsw2</f>
        <v>0</v>
      </c>
      <c r="M50" s="29">
        <f>MAX(0,M48-gsblk1)*_gsw2</f>
        <v>0</v>
      </c>
      <c r="N50" t="s">
        <v>73</v>
      </c>
    </row>
    <row r="51" spans="2:14" ht="15">
      <c r="B51" s="4">
        <f aca="true" t="shared" si="16" ref="B51:M51">SUM(B49:B50)</f>
        <v>271.79443875</v>
      </c>
      <c r="C51" s="4">
        <f t="shared" si="16"/>
        <v>228.01546875</v>
      </c>
      <c r="D51">
        <f t="shared" si="16"/>
        <v>184.23649874999998</v>
      </c>
      <c r="E51">
        <f t="shared" si="16"/>
        <v>138.1582725</v>
      </c>
      <c r="F51">
        <f t="shared" si="16"/>
        <v>73.24053</v>
      </c>
      <c r="G51">
        <f t="shared" si="16"/>
        <v>51.601282499999996</v>
      </c>
      <c r="H51">
        <f t="shared" si="16"/>
        <v>33.29115</v>
      </c>
      <c r="I51">
        <f t="shared" si="16"/>
        <v>29.962035</v>
      </c>
      <c r="J51">
        <f t="shared" si="16"/>
        <v>33.29115</v>
      </c>
      <c r="K51">
        <f t="shared" si="16"/>
        <v>51.601282499999996</v>
      </c>
      <c r="L51">
        <f t="shared" si="16"/>
        <v>114.91979624999999</v>
      </c>
      <c r="M51">
        <f t="shared" si="16"/>
        <v>209.77423124999999</v>
      </c>
      <c r="N51" s="31">
        <f>SUM(B51:M51)+12*B52</f>
        <v>1479.8861362500002</v>
      </c>
    </row>
    <row r="52" spans="1:14" ht="14.25">
      <c r="A52" t="s">
        <v>85</v>
      </c>
      <c r="B52" s="18">
        <v>5</v>
      </c>
      <c r="C52" s="4"/>
      <c r="N52" s="5"/>
    </row>
    <row r="54" spans="2:6" ht="15.75">
      <c r="B54" s="2" t="s">
        <v>28</v>
      </c>
      <c r="C54" s="2" t="s">
        <v>40</v>
      </c>
      <c r="D54" s="2" t="s">
        <v>41</v>
      </c>
      <c r="E54" s="2" t="s">
        <v>42</v>
      </c>
      <c r="F54" s="2" t="s">
        <v>43</v>
      </c>
    </row>
    <row r="55" spans="1:6" ht="15.75">
      <c r="A55" t="s">
        <v>98</v>
      </c>
      <c r="B55" s="2">
        <v>45</v>
      </c>
      <c r="C55" s="6">
        <v>9.72866</v>
      </c>
      <c r="D55" s="6">
        <v>8.49156</v>
      </c>
      <c r="E55" s="6">
        <v>8.87764</v>
      </c>
      <c r="F55" s="6">
        <v>7.75741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21">
      <selection activeCell="C32" sqref="C32"/>
    </sheetView>
  </sheetViews>
  <sheetFormatPr defaultColWidth="9.140625" defaultRowHeight="15"/>
  <cols>
    <col min="1" max="1" width="12.57421875" style="0" customWidth="1"/>
    <col min="2" max="4" width="10.140625" style="0" bestFit="1" customWidth="1"/>
    <col min="5" max="5" width="10.57421875" style="0" customWidth="1"/>
    <col min="6" max="6" width="9.57421875" style="0" bestFit="1" customWidth="1"/>
    <col min="7" max="7" width="9.28125" style="0" bestFit="1" customWidth="1"/>
    <col min="8" max="8" width="9.140625" style="0" bestFit="1" customWidth="1"/>
    <col min="9" max="10" width="9.28125" style="0" bestFit="1" customWidth="1"/>
    <col min="11" max="11" width="11.00390625" style="0" bestFit="1" customWidth="1"/>
    <col min="12" max="12" width="9.28125" style="0" bestFit="1" customWidth="1"/>
    <col min="13" max="13" width="10.28125" style="0" customWidth="1"/>
    <col min="14" max="14" width="10.57421875" style="0" bestFit="1" customWidth="1"/>
    <col min="15" max="15" width="10.00390625" style="0" customWidth="1"/>
    <col min="16" max="16" width="9.421875" style="0" bestFit="1" customWidth="1"/>
    <col min="18" max="18" width="12.8515625" style="0" bestFit="1" customWidth="1"/>
    <col min="21" max="21" width="10.57421875" style="0" bestFit="1" customWidth="1"/>
    <col min="22" max="22" width="9.7109375" style="0" bestFit="1" customWidth="1"/>
    <col min="23" max="23" width="16.140625" style="0" bestFit="1" customWidth="1"/>
    <col min="24" max="24" width="9.7109375" style="0" bestFit="1" customWidth="1"/>
  </cols>
  <sheetData>
    <row r="1" ht="14.25">
      <c r="A1" t="s">
        <v>167</v>
      </c>
    </row>
    <row r="2" spans="1:8" ht="16.5">
      <c r="A2" t="s">
        <v>81</v>
      </c>
      <c r="H2" s="11"/>
    </row>
    <row r="3" spans="2:15" ht="17.25" thickBot="1">
      <c r="B3" s="27" t="s">
        <v>61</v>
      </c>
      <c r="C3" s="27" t="s">
        <v>62</v>
      </c>
      <c r="D3" s="27" t="s">
        <v>63</v>
      </c>
      <c r="E3" s="27" t="s">
        <v>64</v>
      </c>
      <c r="F3" s="27" t="s">
        <v>65</v>
      </c>
      <c r="G3" s="27" t="s">
        <v>66</v>
      </c>
      <c r="H3" s="26" t="s">
        <v>67</v>
      </c>
      <c r="I3" s="27" t="s">
        <v>68</v>
      </c>
      <c r="J3" s="27" t="s">
        <v>69</v>
      </c>
      <c r="K3" s="27" t="s">
        <v>70</v>
      </c>
      <c r="L3" s="27" t="s">
        <v>71</v>
      </c>
      <c r="M3" s="27" t="s">
        <v>72</v>
      </c>
      <c r="N3" s="69"/>
      <c r="O3" s="13"/>
    </row>
    <row r="4" spans="1:13" ht="14.25">
      <c r="A4" t="s">
        <v>75</v>
      </c>
      <c r="B4" s="105">
        <f>'Typical Volumes'!C25</f>
        <v>0.18625</v>
      </c>
      <c r="C4" s="105">
        <f>'Typical Volumes'!C26</f>
        <v>0.15625</v>
      </c>
      <c r="D4" s="105">
        <f>'Typical Volumes'!C27</f>
        <v>0.12625</v>
      </c>
      <c r="E4" s="105">
        <f>'Typical Volumes'!C28</f>
        <v>0.10375000000000001</v>
      </c>
      <c r="F4" s="105">
        <f>'Typical Volumes'!C29</f>
        <v>0.05500000000000001</v>
      </c>
      <c r="G4" s="105">
        <f>'Typical Volumes'!C30</f>
        <v>0.03875</v>
      </c>
      <c r="H4" s="105">
        <f>'Typical Volumes'!C31</f>
        <v>0.025</v>
      </c>
      <c r="I4" s="105">
        <f>'Typical Volumes'!C32</f>
        <v>0.0225</v>
      </c>
      <c r="J4" s="105">
        <f>'Typical Volumes'!C33</f>
        <v>0.025</v>
      </c>
      <c r="K4" s="105">
        <f>'Typical Volumes'!C34</f>
        <v>0.03875</v>
      </c>
      <c r="L4" s="105">
        <f>'Typical Volumes'!C35</f>
        <v>0.07875</v>
      </c>
      <c r="M4" s="105">
        <f>'Typical Volumes'!C36</f>
        <v>0.14375</v>
      </c>
    </row>
    <row r="6" spans="1:2" ht="15">
      <c r="A6" t="s">
        <v>49</v>
      </c>
      <c r="B6" s="10">
        <v>50</v>
      </c>
    </row>
    <row r="7" spans="2:13" ht="17.25" thickBot="1">
      <c r="B7" s="27" t="s">
        <v>61</v>
      </c>
      <c r="C7" s="27" t="s">
        <v>62</v>
      </c>
      <c r="D7" s="27" t="s">
        <v>63</v>
      </c>
      <c r="E7" s="27" t="s">
        <v>64</v>
      </c>
      <c r="F7" s="27" t="s">
        <v>65</v>
      </c>
      <c r="G7" s="27" t="s">
        <v>66</v>
      </c>
      <c r="H7" s="26" t="s">
        <v>67</v>
      </c>
      <c r="I7" s="27" t="s">
        <v>68</v>
      </c>
      <c r="J7" s="27" t="s">
        <v>69</v>
      </c>
      <c r="K7" s="27" t="s">
        <v>70</v>
      </c>
      <c r="L7" s="27" t="s">
        <v>71</v>
      </c>
      <c r="M7" s="27" t="s">
        <v>72</v>
      </c>
    </row>
    <row r="8" spans="1:13" ht="14.25">
      <c r="A8" t="s">
        <v>82</v>
      </c>
      <c r="B8">
        <f>B6*B4</f>
        <v>9.3125</v>
      </c>
      <c r="C8">
        <f>B6*C4</f>
        <v>7.8125</v>
      </c>
      <c r="D8">
        <f>B6*D4</f>
        <v>6.3125</v>
      </c>
      <c r="E8">
        <f>B6*E4</f>
        <v>5.1875</v>
      </c>
      <c r="F8">
        <f>F4*B6</f>
        <v>2.7500000000000004</v>
      </c>
      <c r="G8">
        <f>G4*B6</f>
        <v>1.9375</v>
      </c>
      <c r="H8">
        <f>H4*B6</f>
        <v>1.25</v>
      </c>
      <c r="I8">
        <f>I4*B6</f>
        <v>1.125</v>
      </c>
      <c r="J8">
        <f>J4*B6</f>
        <v>1.25</v>
      </c>
      <c r="K8">
        <f>K4*B6</f>
        <v>1.9375</v>
      </c>
      <c r="L8">
        <f>L4*B6</f>
        <v>3.9375</v>
      </c>
      <c r="M8">
        <f>M4*B6</f>
        <v>7.187499999999999</v>
      </c>
    </row>
    <row r="9" spans="1:13" ht="14.25">
      <c r="A9" t="s">
        <v>47</v>
      </c>
      <c r="B9" s="4">
        <f>MIN(B8,gsblock1)*gswinter1</f>
        <v>89.016045625</v>
      </c>
      <c r="C9" s="4">
        <f>MIN(C8,gsblock1)*gswinter1</f>
        <v>74.677890625</v>
      </c>
      <c r="D9" s="4">
        <f>MIN(D8,gsblock1)*gswinter1</f>
        <v>60.339735625</v>
      </c>
      <c r="E9" s="4">
        <f aca="true" t="shared" si="0" ref="E9:K9">MIN(E8,gsblock1)*gssummer1</f>
        <v>43.834323125</v>
      </c>
      <c r="F9" s="4">
        <f t="shared" si="0"/>
        <v>23.237472500000003</v>
      </c>
      <c r="G9" s="4">
        <f t="shared" si="0"/>
        <v>16.371855625</v>
      </c>
      <c r="H9" s="4">
        <f t="shared" si="0"/>
        <v>10.5624875</v>
      </c>
      <c r="I9" s="4">
        <f t="shared" si="0"/>
        <v>9.50623875</v>
      </c>
      <c r="J9" s="4">
        <f t="shared" si="0"/>
        <v>10.5624875</v>
      </c>
      <c r="K9" s="4">
        <f t="shared" si="0"/>
        <v>16.371855625</v>
      </c>
      <c r="L9" s="4">
        <f>MIN(L8,gsblock1)*gswinter1</f>
        <v>37.637656875000005</v>
      </c>
      <c r="M9" s="4">
        <f>MIN(M8,gsblock1)*gswinter1</f>
        <v>68.703659375</v>
      </c>
    </row>
    <row r="10" spans="1:14" ht="14.25">
      <c r="A10" t="s">
        <v>48</v>
      </c>
      <c r="B10" s="29">
        <f>MAX(0,B8-gsblock1)*gswinter2</f>
        <v>0</v>
      </c>
      <c r="C10" s="29">
        <f>MAX(0,C8-gsblock1)*gswinter2</f>
        <v>0</v>
      </c>
      <c r="D10" s="29">
        <f>MAX(0,D8-gsblock1)*gswinter2</f>
        <v>0</v>
      </c>
      <c r="E10" s="30">
        <f aca="true" t="shared" si="1" ref="E10:K10">MAX(0,E8-gsblock1)*gssummer2</f>
        <v>0</v>
      </c>
      <c r="F10" s="30">
        <f t="shared" si="1"/>
        <v>0</v>
      </c>
      <c r="G10" s="30">
        <f t="shared" si="1"/>
        <v>0</v>
      </c>
      <c r="H10" s="30">
        <f t="shared" si="1"/>
        <v>0</v>
      </c>
      <c r="I10" s="30">
        <f t="shared" si="1"/>
        <v>0</v>
      </c>
      <c r="J10" s="30">
        <f t="shared" si="1"/>
        <v>0</v>
      </c>
      <c r="K10" s="30">
        <f t="shared" si="1"/>
        <v>0</v>
      </c>
      <c r="L10" s="29">
        <f>MAX(0,L8-gsblock1)*gswinter2</f>
        <v>0</v>
      </c>
      <c r="M10" s="29">
        <f>MAX(0,M8-gsblock1)*gswinter2</f>
        <v>0</v>
      </c>
      <c r="N10" t="s">
        <v>73</v>
      </c>
    </row>
    <row r="11" spans="2:14" ht="15">
      <c r="B11" s="4">
        <f aca="true" t="shared" si="2" ref="B11:M11">SUM(B9:B10)</f>
        <v>89.016045625</v>
      </c>
      <c r="C11" s="4">
        <f t="shared" si="2"/>
        <v>74.677890625</v>
      </c>
      <c r="D11">
        <f t="shared" si="2"/>
        <v>60.339735625</v>
      </c>
      <c r="E11">
        <f t="shared" si="2"/>
        <v>43.834323125</v>
      </c>
      <c r="F11">
        <f t="shared" si="2"/>
        <v>23.237472500000003</v>
      </c>
      <c r="G11">
        <f t="shared" si="2"/>
        <v>16.371855625</v>
      </c>
      <c r="H11">
        <f t="shared" si="2"/>
        <v>10.5624875</v>
      </c>
      <c r="I11">
        <f t="shared" si="2"/>
        <v>9.50623875</v>
      </c>
      <c r="J11">
        <f t="shared" si="2"/>
        <v>10.5624875</v>
      </c>
      <c r="K11">
        <f t="shared" si="2"/>
        <v>16.371855625</v>
      </c>
      <c r="L11">
        <f t="shared" si="2"/>
        <v>37.637656875000005</v>
      </c>
      <c r="M11">
        <f t="shared" si="2"/>
        <v>68.703659375</v>
      </c>
      <c r="N11" s="31">
        <f>SUM(B11:M11)+12*B12</f>
        <v>532.8217087500001</v>
      </c>
    </row>
    <row r="12" spans="1:14" ht="14.25">
      <c r="A12" t="s">
        <v>85</v>
      </c>
      <c r="B12" s="72">
        <v>6</v>
      </c>
      <c r="C12" s="4"/>
      <c r="N12" s="72"/>
    </row>
    <row r="13" spans="2:14" ht="14.25">
      <c r="B13" s="72"/>
      <c r="C13" s="4"/>
      <c r="N13" s="72"/>
    </row>
    <row r="14" spans="1:2" ht="15">
      <c r="A14" t="s">
        <v>49</v>
      </c>
      <c r="B14" s="10">
        <v>80</v>
      </c>
    </row>
    <row r="15" spans="2:13" ht="17.25" thickBot="1">
      <c r="B15" s="27" t="s">
        <v>61</v>
      </c>
      <c r="C15" s="27" t="s">
        <v>62</v>
      </c>
      <c r="D15" s="27" t="s">
        <v>63</v>
      </c>
      <c r="E15" s="27" t="s">
        <v>64</v>
      </c>
      <c r="F15" s="27" t="s">
        <v>65</v>
      </c>
      <c r="G15" s="27" t="s">
        <v>66</v>
      </c>
      <c r="H15" s="26" t="s">
        <v>67</v>
      </c>
      <c r="I15" s="27" t="s">
        <v>68</v>
      </c>
      <c r="J15" s="27" t="s">
        <v>69</v>
      </c>
      <c r="K15" s="27" t="s">
        <v>70</v>
      </c>
      <c r="L15" s="27" t="s">
        <v>71</v>
      </c>
      <c r="M15" s="27" t="s">
        <v>72</v>
      </c>
    </row>
    <row r="16" spans="1:13" ht="14.25">
      <c r="A16" t="s">
        <v>82</v>
      </c>
      <c r="B16">
        <f>B14*B4</f>
        <v>14.9</v>
      </c>
      <c r="C16">
        <f>B14*C4</f>
        <v>12.5</v>
      </c>
      <c r="D16">
        <f>B14*D4</f>
        <v>10.1</v>
      </c>
      <c r="E16">
        <f>B14*E4</f>
        <v>8.3</v>
      </c>
      <c r="F16">
        <f>B14*F4</f>
        <v>4.4</v>
      </c>
      <c r="G16">
        <f>B14*G4</f>
        <v>3.1</v>
      </c>
      <c r="H16">
        <f>B14*H4</f>
        <v>2</v>
      </c>
      <c r="I16">
        <f>B14*I4</f>
        <v>1.7999999999999998</v>
      </c>
      <c r="J16">
        <f>B14*J4</f>
        <v>2</v>
      </c>
      <c r="K16">
        <f>B14*K4</f>
        <v>3.1</v>
      </c>
      <c r="L16">
        <f>L4*B14</f>
        <v>6.3</v>
      </c>
      <c r="M16">
        <f>M4*B14</f>
        <v>11.5</v>
      </c>
    </row>
    <row r="17" spans="1:13" ht="14.25">
      <c r="A17" t="s">
        <v>47</v>
      </c>
      <c r="B17" s="4">
        <f>MIN(B16,gsblock1)*gswinter1</f>
        <v>142.42567300000002</v>
      </c>
      <c r="C17" s="4">
        <f>MIN(C16,gsblock1)*gswinter1</f>
        <v>119.48462500000001</v>
      </c>
      <c r="D17" s="4">
        <f>MIN(D16,gsblock1)*gswinter1</f>
        <v>96.543577</v>
      </c>
      <c r="E17" s="4">
        <f aca="true" t="shared" si="3" ref="E17:K17">MIN(E16,gsblock1)*gssummer1</f>
        <v>70.134917</v>
      </c>
      <c r="F17" s="4">
        <f t="shared" si="3"/>
        <v>37.179956000000004</v>
      </c>
      <c r="G17" s="4">
        <f t="shared" si="3"/>
        <v>26.194969</v>
      </c>
      <c r="H17" s="4">
        <f t="shared" si="3"/>
        <v>16.89998</v>
      </c>
      <c r="I17" s="4">
        <f t="shared" si="3"/>
        <v>15.209981999999998</v>
      </c>
      <c r="J17" s="4">
        <f t="shared" si="3"/>
        <v>16.89998</v>
      </c>
      <c r="K17" s="4">
        <f t="shared" si="3"/>
        <v>26.194969</v>
      </c>
      <c r="L17" s="4">
        <f>MIN(L16,gsblock1)*gswinter1</f>
        <v>60.220251000000005</v>
      </c>
      <c r="M17" s="4">
        <f>MIN(M16,gsblock1)*gswinter1</f>
        <v>109.92585500000001</v>
      </c>
    </row>
    <row r="18" spans="1:14" ht="14.25">
      <c r="A18" t="s">
        <v>48</v>
      </c>
      <c r="B18" s="29">
        <f>MAX(0,B16-gsblock1)*gswinter2</f>
        <v>0</v>
      </c>
      <c r="C18" s="29">
        <f>MAX(0,C16-gsblock1)*gswinter2</f>
        <v>0</v>
      </c>
      <c r="D18" s="29">
        <f>MAX(0,D16-gsblock1)*gswinter2</f>
        <v>0</v>
      </c>
      <c r="E18" s="30">
        <f aca="true" t="shared" si="4" ref="E18:K18">MAX(0,E16-gsblock1)*gssummer2</f>
        <v>0</v>
      </c>
      <c r="F18" s="30">
        <f t="shared" si="4"/>
        <v>0</v>
      </c>
      <c r="G18" s="30">
        <f t="shared" si="4"/>
        <v>0</v>
      </c>
      <c r="H18" s="30">
        <f t="shared" si="4"/>
        <v>0</v>
      </c>
      <c r="I18" s="30">
        <f t="shared" si="4"/>
        <v>0</v>
      </c>
      <c r="J18" s="30">
        <f>MAX(0,J16-gsblock1)*gssummer2</f>
        <v>0</v>
      </c>
      <c r="K18" s="30">
        <f t="shared" si="4"/>
        <v>0</v>
      </c>
      <c r="L18" s="29">
        <f>MAX(0,L16-gsblock1)*gswinter2</f>
        <v>0</v>
      </c>
      <c r="M18" s="29">
        <f>MAX(0,M16-gsblock1)*gswinter2</f>
        <v>0</v>
      </c>
      <c r="N18" t="s">
        <v>73</v>
      </c>
    </row>
    <row r="19" spans="2:14" ht="15">
      <c r="B19" s="4">
        <f aca="true" t="shared" si="5" ref="B19:L19">SUM(B17:B18)</f>
        <v>142.42567300000002</v>
      </c>
      <c r="C19" s="4">
        <f t="shared" si="5"/>
        <v>119.48462500000001</v>
      </c>
      <c r="D19" s="4">
        <f t="shared" si="5"/>
        <v>96.543577</v>
      </c>
      <c r="E19" s="4">
        <f t="shared" si="5"/>
        <v>70.134917</v>
      </c>
      <c r="F19" s="4">
        <f t="shared" si="5"/>
        <v>37.179956000000004</v>
      </c>
      <c r="G19" s="4">
        <f t="shared" si="5"/>
        <v>26.194969</v>
      </c>
      <c r="H19" s="4">
        <f t="shared" si="5"/>
        <v>16.89998</v>
      </c>
      <c r="I19" s="4">
        <f t="shared" si="5"/>
        <v>15.209981999999998</v>
      </c>
      <c r="J19" s="4">
        <f t="shared" si="5"/>
        <v>16.89998</v>
      </c>
      <c r="K19" s="4">
        <f t="shared" si="5"/>
        <v>26.194969</v>
      </c>
      <c r="L19" s="4">
        <f t="shared" si="5"/>
        <v>60.220251000000005</v>
      </c>
      <c r="M19" s="4">
        <f>SUM(M17:M18)+12*B20</f>
        <v>205.925855</v>
      </c>
      <c r="N19" s="31">
        <f>SUM(B19:M19)</f>
        <v>833.314734</v>
      </c>
    </row>
    <row r="20" spans="1:14" ht="14.25">
      <c r="A20" t="s">
        <v>85</v>
      </c>
      <c r="B20" s="72">
        <v>8</v>
      </c>
      <c r="C20" s="4"/>
      <c r="N20" s="72"/>
    </row>
    <row r="21" spans="2:14" ht="14.25">
      <c r="B21" s="72"/>
      <c r="C21" s="4"/>
      <c r="N21" s="72"/>
    </row>
    <row r="22" spans="1:2" ht="15">
      <c r="A22" t="s">
        <v>49</v>
      </c>
      <c r="B22" s="10">
        <v>150</v>
      </c>
    </row>
    <row r="23" spans="2:13" ht="17.25" thickBot="1">
      <c r="B23" s="27" t="s">
        <v>61</v>
      </c>
      <c r="C23" s="27" t="s">
        <v>62</v>
      </c>
      <c r="D23" s="27" t="s">
        <v>63</v>
      </c>
      <c r="E23" s="27" t="s">
        <v>64</v>
      </c>
      <c r="F23" s="27" t="s">
        <v>65</v>
      </c>
      <c r="G23" s="27" t="s">
        <v>66</v>
      </c>
      <c r="H23" s="26" t="s">
        <v>67</v>
      </c>
      <c r="I23" s="27" t="s">
        <v>68</v>
      </c>
      <c r="J23" s="27" t="s">
        <v>69</v>
      </c>
      <c r="K23" s="27" t="s">
        <v>70</v>
      </c>
      <c r="L23" s="27" t="s">
        <v>71</v>
      </c>
      <c r="M23" s="27" t="s">
        <v>72</v>
      </c>
    </row>
    <row r="24" spans="1:13" ht="14.25">
      <c r="A24" t="s">
        <v>82</v>
      </c>
      <c r="B24">
        <f>B22*B4</f>
        <v>27.9375</v>
      </c>
      <c r="C24">
        <f>B22*C4</f>
        <v>23.4375</v>
      </c>
      <c r="D24">
        <f>B22*D4</f>
        <v>18.9375</v>
      </c>
      <c r="E24">
        <f>B22*E4</f>
        <v>15.562500000000002</v>
      </c>
      <c r="F24">
        <f>B22*F4</f>
        <v>8.250000000000002</v>
      </c>
      <c r="G24">
        <f>B22*G4</f>
        <v>5.8125</v>
      </c>
      <c r="H24">
        <f>B22*H4</f>
        <v>3.75</v>
      </c>
      <c r="I24">
        <f>B22*I4</f>
        <v>3.375</v>
      </c>
      <c r="J24">
        <f>B22*J4</f>
        <v>3.75</v>
      </c>
      <c r="K24">
        <f>B22*K4</f>
        <v>5.8125</v>
      </c>
      <c r="L24">
        <f>B22*L4</f>
        <v>11.8125</v>
      </c>
      <c r="M24">
        <f>B22*M4</f>
        <v>21.5625</v>
      </c>
    </row>
    <row r="25" spans="1:13" ht="14.25">
      <c r="A25" t="s">
        <v>47</v>
      </c>
      <c r="B25" s="4">
        <f>MIN(B24,gsblock1)*gswinter1</f>
        <v>267.048136875</v>
      </c>
      <c r="C25" s="4">
        <f>MIN(C24,gsblock1)*gswinter1</f>
        <v>224.033671875</v>
      </c>
      <c r="D25" s="4">
        <f>MIN(D24,gsblock1)*gswinter1</f>
        <v>181.019206875</v>
      </c>
      <c r="E25" s="4">
        <f aca="true" t="shared" si="6" ref="E25:K25">MIN(E24,gsblock1)*gssummer1</f>
        <v>131.50296937500002</v>
      </c>
      <c r="F25" s="4">
        <f t="shared" si="6"/>
        <v>69.71241750000002</v>
      </c>
      <c r="G25" s="4">
        <f t="shared" si="6"/>
        <v>49.115566875</v>
      </c>
      <c r="H25" s="4">
        <f t="shared" si="6"/>
        <v>31.6874625</v>
      </c>
      <c r="I25" s="4">
        <f t="shared" si="6"/>
        <v>28.518716249999997</v>
      </c>
      <c r="J25" s="4">
        <f t="shared" si="6"/>
        <v>31.6874625</v>
      </c>
      <c r="K25" s="4">
        <f t="shared" si="6"/>
        <v>49.115566875</v>
      </c>
      <c r="L25" s="4">
        <f>MIN(L24,gsblock1)*gswinter1</f>
        <v>112.91297062500001</v>
      </c>
      <c r="M25" s="4">
        <f>MIN(M24,gsblock1)*gswinter1</f>
        <v>206.11097812500003</v>
      </c>
    </row>
    <row r="26" spans="1:14" ht="14.25">
      <c r="A26" t="s">
        <v>48</v>
      </c>
      <c r="B26" s="29">
        <f>MAX(0,B24-gsblock1)*gswinter2</f>
        <v>0</v>
      </c>
      <c r="C26" s="29">
        <f>MAX(0,C24-gsblock1)*gswinter2</f>
        <v>0</v>
      </c>
      <c r="D26" s="29">
        <f>MAX(0,D24-gsblock1)*gswinter2</f>
        <v>0</v>
      </c>
      <c r="E26" s="30">
        <f aca="true" t="shared" si="7" ref="E26:K26">MAX(0,E24-gsblock1)*gssummer2</f>
        <v>0</v>
      </c>
      <c r="F26" s="30">
        <f t="shared" si="7"/>
        <v>0</v>
      </c>
      <c r="G26" s="30">
        <f t="shared" si="7"/>
        <v>0</v>
      </c>
      <c r="H26" s="30">
        <f t="shared" si="7"/>
        <v>0</v>
      </c>
      <c r="I26" s="30">
        <f t="shared" si="7"/>
        <v>0</v>
      </c>
      <c r="J26" s="30">
        <f t="shared" si="7"/>
        <v>0</v>
      </c>
      <c r="K26" s="30">
        <f t="shared" si="7"/>
        <v>0</v>
      </c>
      <c r="L26" s="29">
        <f>MAX(0,L24-gsblock1)*gswinter2</f>
        <v>0</v>
      </c>
      <c r="M26" s="29">
        <f>MAX(0,M24-gsblock1)*gswinter2</f>
        <v>0</v>
      </c>
      <c r="N26" t="s">
        <v>73</v>
      </c>
    </row>
    <row r="27" spans="2:14" ht="15">
      <c r="B27" s="4">
        <f>SUM(B25:B26)+B28</f>
        <v>275.048136875</v>
      </c>
      <c r="C27" s="4">
        <f>SUM(C25:C26)+B28</f>
        <v>232.033671875</v>
      </c>
      <c r="D27" s="9">
        <f>SUM(D25:D26)+B28</f>
        <v>189.019206875</v>
      </c>
      <c r="E27" s="9">
        <f>SUM(E25:E26)+B28</f>
        <v>139.50296937500002</v>
      </c>
      <c r="F27" s="9">
        <f>SUM(F25:F26)+B28</f>
        <v>77.71241750000002</v>
      </c>
      <c r="G27" s="9">
        <f>SUM(G25:G26)+B28</f>
        <v>57.115566875</v>
      </c>
      <c r="H27" s="9">
        <f>SUM(H25:H26)+B28</f>
        <v>39.687462499999995</v>
      </c>
      <c r="I27" s="9">
        <f>SUM(I25:I26)+B28</f>
        <v>36.51871625</v>
      </c>
      <c r="J27" s="9">
        <f>SUM(J25:J26)+B28</f>
        <v>39.687462499999995</v>
      </c>
      <c r="K27" s="9">
        <f>SUM(K25:K26)+B28</f>
        <v>57.115566875</v>
      </c>
      <c r="L27" s="9">
        <f>SUM(L25:L26)+B28</f>
        <v>120.91297062500001</v>
      </c>
      <c r="M27" s="9">
        <f>SUM(M25:M26)+B28</f>
        <v>214.11097812500003</v>
      </c>
      <c r="N27" s="31">
        <f>SUM(B27:M27)</f>
        <v>1478.4651262500001</v>
      </c>
    </row>
    <row r="28" spans="1:14" ht="14.25">
      <c r="A28" t="s">
        <v>85</v>
      </c>
      <c r="B28" s="72">
        <v>8</v>
      </c>
      <c r="C28" s="4"/>
      <c r="N28" s="72"/>
    </row>
    <row r="29" spans="2:14" ht="14.25">
      <c r="B29" s="72"/>
      <c r="C29" s="4"/>
      <c r="N29" s="72"/>
    </row>
    <row r="31" spans="2:6" ht="15.75">
      <c r="B31" s="2" t="s">
        <v>28</v>
      </c>
      <c r="C31" s="2" t="s">
        <v>40</v>
      </c>
      <c r="D31" s="2" t="s">
        <v>41</v>
      </c>
      <c r="E31" s="2" t="s">
        <v>42</v>
      </c>
      <c r="F31" s="2" t="s">
        <v>43</v>
      </c>
    </row>
    <row r="32" spans="1:6" ht="15.75">
      <c r="A32" t="s">
        <v>86</v>
      </c>
      <c r="B32" s="2"/>
      <c r="C32" s="6">
        <f>1.94072+SUM(F35,F36,F39,F40)</f>
        <v>9.55877</v>
      </c>
      <c r="D32" s="6"/>
      <c r="E32" s="6">
        <f>1.34999+SUM(E35,E36,E39,E40)</f>
        <v>8.44999</v>
      </c>
      <c r="F32" s="6"/>
    </row>
    <row r="34" spans="5:6" ht="14.25">
      <c r="E34" t="s">
        <v>195</v>
      </c>
      <c r="F34" t="s">
        <v>196</v>
      </c>
    </row>
    <row r="35" spans="3:6" ht="14.25">
      <c r="C35" t="s">
        <v>169</v>
      </c>
      <c r="E35">
        <v>0.00396</v>
      </c>
      <c r="F35">
        <v>0.0047</v>
      </c>
    </row>
    <row r="36" spans="3:8" ht="14.25">
      <c r="C36" t="s">
        <v>170</v>
      </c>
      <c r="E36" s="30">
        <v>0.09552</v>
      </c>
      <c r="F36" s="30">
        <v>0.09552</v>
      </c>
      <c r="G36" s="30"/>
      <c r="H36" s="30"/>
    </row>
    <row r="37" spans="5:6" ht="14.25">
      <c r="E37">
        <v>0.09948</v>
      </c>
      <c r="F37">
        <v>0.10021999999999999</v>
      </c>
    </row>
    <row r="39" spans="3:6" ht="14.25">
      <c r="C39" t="s">
        <v>4</v>
      </c>
      <c r="E39">
        <v>0.45786</v>
      </c>
      <c r="F39">
        <v>0.97517</v>
      </c>
    </row>
    <row r="40" spans="3:6" ht="14.25">
      <c r="C40" t="s">
        <v>197</v>
      </c>
      <c r="E40">
        <v>6.54266</v>
      </c>
      <c r="F40">
        <v>6.54266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33"/>
  <sheetViews>
    <sheetView zoomScalePageLayoutView="0" workbookViewId="0" topLeftCell="F16">
      <selection activeCell="O29" sqref="O29"/>
    </sheetView>
  </sheetViews>
  <sheetFormatPr defaultColWidth="9.140625" defaultRowHeight="15"/>
  <cols>
    <col min="1" max="1" width="12.00390625" style="0" customWidth="1"/>
    <col min="2" max="2" width="8.140625" style="0" customWidth="1"/>
    <col min="3" max="3" width="0" style="0" hidden="1" customWidth="1"/>
    <col min="4" max="4" width="7.7109375" style="0" hidden="1" customWidth="1"/>
    <col min="5" max="5" width="9.8515625" style="0" customWidth="1"/>
    <col min="6" max="6" width="10.28125" style="0" customWidth="1"/>
    <col min="7" max="7" width="10.8515625" style="0" customWidth="1"/>
    <col min="8" max="8" width="11.421875" style="0" customWidth="1"/>
    <col min="9" max="9" width="10.57421875" style="0" customWidth="1"/>
    <col min="10" max="10" width="12.7109375" style="0" customWidth="1"/>
    <col min="11" max="11" width="12.421875" style="0" customWidth="1"/>
    <col min="12" max="12" width="11.140625" style="0" customWidth="1"/>
    <col min="13" max="13" width="11.421875" style="0" customWidth="1"/>
    <col min="14" max="17" width="12.00390625" style="0" bestFit="1" customWidth="1"/>
    <col min="18" max="18" width="12.7109375" style="0" customWidth="1"/>
    <col min="21" max="22" width="9.57421875" style="0" bestFit="1" customWidth="1"/>
    <col min="23" max="23" width="9.421875" style="0" bestFit="1" customWidth="1"/>
    <col min="24" max="28" width="9.7109375" style="0" bestFit="1" customWidth="1"/>
  </cols>
  <sheetData>
    <row r="1" spans="1:18" ht="15.75">
      <c r="A1" s="1" t="s">
        <v>168</v>
      </c>
      <c r="B1" s="1"/>
      <c r="C1" s="1"/>
      <c r="D1" s="1"/>
      <c r="E1" s="2"/>
      <c r="F1" s="2" t="s">
        <v>61</v>
      </c>
      <c r="G1" s="2" t="s">
        <v>62</v>
      </c>
      <c r="H1" s="2" t="s">
        <v>63</v>
      </c>
      <c r="I1" s="2" t="s">
        <v>64</v>
      </c>
      <c r="J1" s="2" t="s">
        <v>65</v>
      </c>
      <c r="K1" s="2" t="s">
        <v>66</v>
      </c>
      <c r="L1" s="2" t="s">
        <v>67</v>
      </c>
      <c r="M1" s="2" t="s">
        <v>68</v>
      </c>
      <c r="N1" s="2" t="s">
        <v>69</v>
      </c>
      <c r="O1" s="2" t="s">
        <v>70</v>
      </c>
      <c r="P1" s="2" t="s">
        <v>71</v>
      </c>
      <c r="Q1" s="2" t="s">
        <v>72</v>
      </c>
      <c r="R1" s="2" t="s">
        <v>158</v>
      </c>
    </row>
    <row r="2" spans="1:28" ht="15.75">
      <c r="A2" s="1" t="s">
        <v>78</v>
      </c>
      <c r="B2" s="1" t="s">
        <v>12</v>
      </c>
      <c r="C2" s="1"/>
      <c r="D2" s="1"/>
      <c r="E2" s="2" t="s">
        <v>75</v>
      </c>
      <c r="F2" s="24">
        <f>'Typical Volumes'!$C$25</f>
        <v>0.18625</v>
      </c>
      <c r="G2" s="24">
        <f>'Typical Volumes'!$C$26</f>
        <v>0.15625</v>
      </c>
      <c r="H2" s="24">
        <f>'Typical Volumes'!$C$27</f>
        <v>0.12625</v>
      </c>
      <c r="I2" s="24">
        <f>'Typical Volumes'!$C$28</f>
        <v>0.10375000000000001</v>
      </c>
      <c r="J2" s="24">
        <f>'Typical Volumes'!$C$29</f>
        <v>0.05500000000000001</v>
      </c>
      <c r="K2" s="24">
        <f>'Typical Volumes'!$C$30</f>
        <v>0.03875</v>
      </c>
      <c r="L2" s="24">
        <f>'Typical Volumes'!$C$31</f>
        <v>0.025</v>
      </c>
      <c r="M2" s="24">
        <f>'Typical Volumes'!$C$32</f>
        <v>0.0225</v>
      </c>
      <c r="N2" s="24">
        <f>'Typical Volumes'!$C$33</f>
        <v>0.025</v>
      </c>
      <c r="O2" s="24">
        <f>'Typical Volumes'!$C34</f>
        <v>0.03875</v>
      </c>
      <c r="P2" s="24">
        <f>'Typical Volumes'!$C$35</f>
        <v>0.07875</v>
      </c>
      <c r="Q2" s="24">
        <f>'Typical Volumes'!$C$36</f>
        <v>0.14375</v>
      </c>
      <c r="R2" s="23"/>
      <c r="T2" s="2"/>
      <c r="U2" s="2"/>
      <c r="V2" s="2"/>
      <c r="W2" s="2"/>
      <c r="X2" s="2"/>
      <c r="Y2" s="2"/>
      <c r="Z2" s="2"/>
      <c r="AA2" s="2"/>
      <c r="AB2" s="2"/>
    </row>
    <row r="3" spans="1:18" ht="15.75">
      <c r="A3" s="1" t="s">
        <v>49</v>
      </c>
      <c r="B3" s="8">
        <v>80</v>
      </c>
      <c r="D3" s="1"/>
      <c r="E3" s="2" t="s">
        <v>76</v>
      </c>
      <c r="F3" s="9">
        <f>F2*B3</f>
        <v>14.9</v>
      </c>
      <c r="G3" s="9">
        <f>G2*B3</f>
        <v>12.5</v>
      </c>
      <c r="H3" s="9">
        <f>H2*B3</f>
        <v>10.1</v>
      </c>
      <c r="I3" s="9">
        <f>B3*I2</f>
        <v>8.3</v>
      </c>
      <c r="J3" s="9">
        <f>J2*B3</f>
        <v>4.4</v>
      </c>
      <c r="K3" s="9">
        <f>K2*B3</f>
        <v>3.1</v>
      </c>
      <c r="L3" s="9">
        <f>L2*B3</f>
        <v>2</v>
      </c>
      <c r="M3" s="9">
        <f>M2*B3</f>
        <v>1.7999999999999998</v>
      </c>
      <c r="N3" s="9">
        <f>N2*B3</f>
        <v>2</v>
      </c>
      <c r="O3" s="9">
        <f>O2*B3</f>
        <v>3.1</v>
      </c>
      <c r="P3" s="9">
        <f>B3*P2</f>
        <v>6.3</v>
      </c>
      <c r="Q3" s="9">
        <f>Q2*B3</f>
        <v>11.5</v>
      </c>
      <c r="R3" s="12">
        <f>SUM(F3:Q3)</f>
        <v>80</v>
      </c>
    </row>
    <row r="4" spans="2:17" ht="14.25">
      <c r="B4" s="8"/>
      <c r="E4" t="s">
        <v>37</v>
      </c>
      <c r="F4" s="4">
        <f>MIN(F3,pgscf1blk1)*pgscf1w1</f>
        <v>142.425673</v>
      </c>
      <c r="G4" s="4">
        <f>MIN(G3,pgscf1blk1)*pgscf1w1</f>
        <v>119.484625</v>
      </c>
      <c r="H4">
        <f>MIN(H3,pgscf1blk1)*pgscf1w1</f>
        <v>96.54357699999998</v>
      </c>
      <c r="I4">
        <f aca="true" t="shared" si="0" ref="I4:O4">MIN(I3,pgscf1blk1)*pgscf1s1</f>
        <v>70.134917</v>
      </c>
      <c r="J4">
        <f t="shared" si="0"/>
        <v>37.179956000000004</v>
      </c>
      <c r="K4">
        <f t="shared" si="0"/>
        <v>26.194969</v>
      </c>
      <c r="L4">
        <f t="shared" si="0"/>
        <v>16.89998</v>
      </c>
      <c r="M4">
        <f t="shared" si="0"/>
        <v>15.209981999999998</v>
      </c>
      <c r="N4">
        <f t="shared" si="0"/>
        <v>16.89998</v>
      </c>
      <c r="O4">
        <f t="shared" si="0"/>
        <v>26.194969</v>
      </c>
      <c r="P4">
        <f>MIN(P3,pgscf1blk1)*pgscf1w1</f>
        <v>60.22025099999999</v>
      </c>
      <c r="Q4">
        <f>MIN(Q3,pgscf1blk1)*pgscf1w1</f>
        <v>109.92585499999998</v>
      </c>
    </row>
    <row r="5" spans="5:17" ht="14.25">
      <c r="E5" t="s">
        <v>38</v>
      </c>
      <c r="F5">
        <f>MIN(MAX(0,F3-pgscf1blk1),pgscf1blk2)*pgscf1w2</f>
        <v>0</v>
      </c>
      <c r="G5">
        <f>MIN(MAX(0,G3-pgscf1blk1),pgscf1blk2)*pgscf1w2</f>
        <v>0</v>
      </c>
      <c r="H5">
        <f>MIN(MAX(0,H3-pgscf1blk1),pgscf1blk2)*pgscf1w2</f>
        <v>0</v>
      </c>
      <c r="I5">
        <f aca="true" t="shared" si="1" ref="I5:O5">MIN(MAX(0,I3-pgscf1blk1),pgscf1blk2)*pgscf1s2</f>
        <v>0</v>
      </c>
      <c r="J5">
        <f t="shared" si="1"/>
        <v>0</v>
      </c>
      <c r="K5">
        <f t="shared" si="1"/>
        <v>0</v>
      </c>
      <c r="L5">
        <f t="shared" si="1"/>
        <v>0</v>
      </c>
      <c r="M5">
        <f t="shared" si="1"/>
        <v>0</v>
      </c>
      <c r="N5">
        <f t="shared" si="1"/>
        <v>0</v>
      </c>
      <c r="O5">
        <f t="shared" si="1"/>
        <v>0</v>
      </c>
      <c r="P5">
        <f>MIN(MAX(0,P3-pgscf1blk1),pgscf1blk2)*pgscf1w2</f>
        <v>0</v>
      </c>
      <c r="Q5">
        <f>MIN(MAX(0,Q3-pgscf1blk1),pgscf1blk2)*pgscf1w2</f>
        <v>0</v>
      </c>
    </row>
    <row r="6" spans="5:17" ht="14.25">
      <c r="E6" t="s">
        <v>39</v>
      </c>
      <c r="F6" s="4">
        <f>MAX(0,(F3-pgscf1blk1-pgscf1blk2))*pgscf1w3</f>
        <v>0</v>
      </c>
      <c r="G6" s="4">
        <f>MAX(0,(G3-pgscf1blk1-pgscf1blk2))*pgscf1w3</f>
        <v>0</v>
      </c>
      <c r="H6" s="4">
        <f>MAX(0,(H3-pgscf1blk1-pgscf1blk2))*pgscf1w3</f>
        <v>0</v>
      </c>
      <c r="I6" s="4">
        <f aca="true" t="shared" si="2" ref="I6:O6">MAX(0,(I3-pgscf1blk1-pgscf1blk2))*pgscf1s3</f>
        <v>0</v>
      </c>
      <c r="J6" s="4">
        <f t="shared" si="2"/>
        <v>0</v>
      </c>
      <c r="K6" s="4">
        <f t="shared" si="2"/>
        <v>0</v>
      </c>
      <c r="L6" s="4">
        <f t="shared" si="2"/>
        <v>0</v>
      </c>
      <c r="M6" s="4">
        <f t="shared" si="2"/>
        <v>0</v>
      </c>
      <c r="N6" s="4">
        <f t="shared" si="2"/>
        <v>0</v>
      </c>
      <c r="O6" s="4">
        <f t="shared" si="2"/>
        <v>0</v>
      </c>
      <c r="P6" s="4">
        <f>MAX(0,(P3-pgscf1blk1-pgscf1blk2))*pgscf1w3</f>
        <v>0</v>
      </c>
      <c r="Q6" s="4">
        <f>MAX(0,(Q3-pgscf1blk1-pgscf1blk2))*pgscf1w3</f>
        <v>0</v>
      </c>
    </row>
    <row r="7" spans="5:18" ht="14.25">
      <c r="E7" t="s">
        <v>52</v>
      </c>
      <c r="F7" s="4">
        <f aca="true" t="shared" si="3" ref="F7:Q7">SUM(F4:F6)</f>
        <v>142.425673</v>
      </c>
      <c r="G7" s="4">
        <f t="shared" si="3"/>
        <v>119.484625</v>
      </c>
      <c r="H7">
        <f t="shared" si="3"/>
        <v>96.54357699999998</v>
      </c>
      <c r="I7">
        <f t="shared" si="3"/>
        <v>70.134917</v>
      </c>
      <c r="J7">
        <f t="shared" si="3"/>
        <v>37.179956000000004</v>
      </c>
      <c r="K7">
        <f t="shared" si="3"/>
        <v>26.194969</v>
      </c>
      <c r="L7">
        <f t="shared" si="3"/>
        <v>16.89998</v>
      </c>
      <c r="M7">
        <f t="shared" si="3"/>
        <v>15.209981999999998</v>
      </c>
      <c r="N7">
        <f t="shared" si="3"/>
        <v>16.89998</v>
      </c>
      <c r="O7">
        <f t="shared" si="3"/>
        <v>26.194969</v>
      </c>
      <c r="P7">
        <f t="shared" si="3"/>
        <v>60.22025099999999</v>
      </c>
      <c r="Q7">
        <f t="shared" si="3"/>
        <v>109.92585499999998</v>
      </c>
      <c r="R7" s="72">
        <f>SUM(F7:Q7)+12*G8</f>
        <v>833.3147339999999</v>
      </c>
    </row>
    <row r="8" spans="6:7" ht="15">
      <c r="F8" t="s">
        <v>51</v>
      </c>
      <c r="G8" s="25">
        <v>8</v>
      </c>
    </row>
    <row r="10" spans="1:28" ht="15.75">
      <c r="A10" s="1" t="s">
        <v>79</v>
      </c>
      <c r="B10" s="1"/>
      <c r="C10" s="1"/>
      <c r="D10" s="1" t="s">
        <v>145</v>
      </c>
      <c r="E10" s="2"/>
      <c r="F10" s="2" t="s">
        <v>11</v>
      </c>
      <c r="G10" s="2" t="s">
        <v>62</v>
      </c>
      <c r="H10" s="2" t="s">
        <v>63</v>
      </c>
      <c r="I10" s="2" t="s">
        <v>64</v>
      </c>
      <c r="J10" s="2" t="s">
        <v>65</v>
      </c>
      <c r="K10" s="2" t="s">
        <v>66</v>
      </c>
      <c r="L10" s="2" t="s">
        <v>67</v>
      </c>
      <c r="M10" s="2" t="s">
        <v>68</v>
      </c>
      <c r="N10" s="2" t="s">
        <v>69</v>
      </c>
      <c r="O10" s="2" t="s">
        <v>70</v>
      </c>
      <c r="P10" s="2" t="s">
        <v>71</v>
      </c>
      <c r="Q10" s="2" t="s">
        <v>72</v>
      </c>
      <c r="R10" s="2" t="s">
        <v>158</v>
      </c>
      <c r="T10" s="2"/>
      <c r="U10" s="2"/>
      <c r="V10" s="2"/>
      <c r="W10" s="2"/>
      <c r="X10" s="2"/>
      <c r="Y10" s="2"/>
      <c r="Z10" s="2"/>
      <c r="AA10" s="2"/>
      <c r="AB10" s="2"/>
    </row>
    <row r="11" spans="1:28" ht="15.75">
      <c r="A11" t="s">
        <v>49</v>
      </c>
      <c r="B11" s="8">
        <v>2100</v>
      </c>
      <c r="D11" s="1"/>
      <c r="E11" t="s">
        <v>76</v>
      </c>
      <c r="F11" s="9">
        <f>F2*B11</f>
        <v>391.125</v>
      </c>
      <c r="G11" s="9">
        <f>G2*B11</f>
        <v>328.125</v>
      </c>
      <c r="H11" s="9">
        <f>H2*B11</f>
        <v>265.125</v>
      </c>
      <c r="I11" s="9">
        <f>I2*B11</f>
        <v>217.87500000000003</v>
      </c>
      <c r="J11" s="9">
        <f>J2*B11</f>
        <v>115.50000000000001</v>
      </c>
      <c r="K11" s="9">
        <f>K2*B11</f>
        <v>81.375</v>
      </c>
      <c r="L11" s="9">
        <f>L2*B11</f>
        <v>52.5</v>
      </c>
      <c r="M11" s="9">
        <f>M2*B11</f>
        <v>47.25</v>
      </c>
      <c r="N11" s="9">
        <f>N2*B11</f>
        <v>52.5</v>
      </c>
      <c r="O11" s="9">
        <f>O2*B11</f>
        <v>81.375</v>
      </c>
      <c r="P11" s="9">
        <f>P2*B11</f>
        <v>165.375</v>
      </c>
      <c r="Q11" s="9">
        <f>Q2*B11</f>
        <v>301.875</v>
      </c>
      <c r="R11" s="12">
        <f>SUM(F11:Q11)</f>
        <v>2100</v>
      </c>
      <c r="T11" s="2"/>
      <c r="U11" s="2"/>
      <c r="V11" s="2"/>
      <c r="W11" s="2"/>
      <c r="X11" s="2"/>
      <c r="Y11" s="2"/>
      <c r="Z11" s="2"/>
      <c r="AA11" s="2"/>
      <c r="AB11" s="2"/>
    </row>
    <row r="12" spans="5:17" ht="14.25">
      <c r="E12" t="s">
        <v>37</v>
      </c>
      <c r="F12" s="4">
        <f>MIN(F11,pgscf1blk1)*pgscf1w1</f>
        <v>430.14464999999996</v>
      </c>
      <c r="G12" s="4">
        <f>MIN(G11,pgscf1blk1)*pgscf1w1</f>
        <v>430.14464999999996</v>
      </c>
      <c r="H12">
        <f>MIN(H11,pgscf1blk1)*pgscf1w1</f>
        <v>430.14464999999996</v>
      </c>
      <c r="I12">
        <f aca="true" t="shared" si="4" ref="I12:O12">MIN(I11,pgscf1blk1)*pgscf1s1</f>
        <v>380.24955</v>
      </c>
      <c r="J12">
        <f t="shared" si="4"/>
        <v>380.24955</v>
      </c>
      <c r="K12">
        <f t="shared" si="4"/>
        <v>380.24955</v>
      </c>
      <c r="L12">
        <f t="shared" si="4"/>
        <v>380.24955</v>
      </c>
      <c r="M12">
        <f t="shared" si="4"/>
        <v>380.24955</v>
      </c>
      <c r="N12">
        <f t="shared" si="4"/>
        <v>380.24955</v>
      </c>
      <c r="O12">
        <f t="shared" si="4"/>
        <v>380.24955</v>
      </c>
      <c r="P12">
        <f>MIN(P11,pgscf1blk1)*pgscf1w1</f>
        <v>430.14464999999996</v>
      </c>
      <c r="Q12">
        <f>MIN(Q11,pgscf1blk1)*pgscf1w1</f>
        <v>430.14464999999996</v>
      </c>
    </row>
    <row r="13" spans="5:17" ht="14.25">
      <c r="E13" t="s">
        <v>38</v>
      </c>
      <c r="F13">
        <f>MIN(MAX(0,F11-pgscf1blk1),pgscf1blk2)*pgscf1w2</f>
        <v>1394.7473499999999</v>
      </c>
      <c r="G13">
        <f>MIN(MAX(0,G11-pgscf1blk1),pgscf1blk2)*pgscf1w2</f>
        <v>1394.7473499999999</v>
      </c>
      <c r="H13">
        <f>MIN(MAX(0,H11-pgscf1blk1),pgscf1blk2)*pgscf1w2</f>
        <v>1394.7473499999999</v>
      </c>
      <c r="I13">
        <f aca="true" t="shared" si="5" ref="I13:O13">MIN(MAX(0,I11-pgscf1blk1),pgscf1blk2)*pgscf1s2</f>
        <v>1222.9267499999999</v>
      </c>
      <c r="J13">
        <f t="shared" si="5"/>
        <v>556.2344250000001</v>
      </c>
      <c r="K13">
        <f t="shared" si="5"/>
        <v>286.99329374999996</v>
      </c>
      <c r="L13">
        <f t="shared" si="5"/>
        <v>59.173874999999995</v>
      </c>
      <c r="M13">
        <f t="shared" si="5"/>
        <v>17.752162499999997</v>
      </c>
      <c r="N13">
        <f t="shared" si="5"/>
        <v>59.173874999999995</v>
      </c>
      <c r="O13">
        <f t="shared" si="5"/>
        <v>286.99329374999996</v>
      </c>
      <c r="P13">
        <f>MIN(MAX(0,P11-pgscf1blk1),pgscf1blk2)*pgscf1w2</f>
        <v>1083.17878875</v>
      </c>
      <c r="Q13">
        <f>MIN(MAX(0,Q11-pgscf1blk1),pgscf1blk2)*pgscf1w2</f>
        <v>1394.7473499999999</v>
      </c>
    </row>
    <row r="14" spans="5:17" ht="14.25">
      <c r="E14" t="s">
        <v>39</v>
      </c>
      <c r="F14" s="4">
        <f>MAX(0,(F11-pgscf1blk1-pgscf1blk2))*pgscf1w3</f>
        <v>1614.0773824999997</v>
      </c>
      <c r="G14" s="4">
        <f>MAX(0,(G11-pgscf1blk1-pgscf1blk2))*pgscf1w3</f>
        <v>1082.0335624999998</v>
      </c>
      <c r="H14" s="4">
        <f>MAX(0,(H11-pgscf1blk1-pgscf1blk2))*pgscf1w3</f>
        <v>549.9897424999999</v>
      </c>
      <c r="I14" s="4">
        <f aca="true" t="shared" si="6" ref="I14:O14">MAX(0,(I11-pgscf1blk1-pgscf1blk2))*pgscf1s3</f>
        <v>131.1420825000002</v>
      </c>
      <c r="J14" s="4">
        <f t="shared" si="6"/>
        <v>0</v>
      </c>
      <c r="K14" s="4">
        <f t="shared" si="6"/>
        <v>0</v>
      </c>
      <c r="L14" s="4">
        <f t="shared" si="6"/>
        <v>0</v>
      </c>
      <c r="M14" s="4">
        <f t="shared" si="6"/>
        <v>0</v>
      </c>
      <c r="N14" s="4">
        <f t="shared" si="6"/>
        <v>0</v>
      </c>
      <c r="O14" s="4">
        <f t="shared" si="6"/>
        <v>0</v>
      </c>
      <c r="P14" s="4">
        <f>MAX(0,(P11-pgscf1blk1-pgscf1blk2))*pgscf1w3</f>
        <v>0</v>
      </c>
      <c r="Q14" s="4">
        <f>MAX(0,(Q11-pgscf1blk1-pgscf1blk2))*pgscf1w3</f>
        <v>860.3486374999999</v>
      </c>
    </row>
    <row r="15" spans="5:18" ht="14.25">
      <c r="E15" t="s">
        <v>52</v>
      </c>
      <c r="F15" s="4">
        <f aca="true" t="shared" si="7" ref="F15:Q15">SUM(F12:F14)</f>
        <v>3438.9693824999995</v>
      </c>
      <c r="G15" s="4">
        <f t="shared" si="7"/>
        <v>2906.9255624999996</v>
      </c>
      <c r="H15">
        <f t="shared" si="7"/>
        <v>2374.8817424999997</v>
      </c>
      <c r="I15">
        <f t="shared" si="7"/>
        <v>1734.3183825</v>
      </c>
      <c r="J15">
        <f t="shared" si="7"/>
        <v>936.4839750000001</v>
      </c>
      <c r="K15">
        <f t="shared" si="7"/>
        <v>667.24284375</v>
      </c>
      <c r="L15">
        <f t="shared" si="7"/>
        <v>439.423425</v>
      </c>
      <c r="M15">
        <f t="shared" si="7"/>
        <v>398.0017125</v>
      </c>
      <c r="N15">
        <f t="shared" si="7"/>
        <v>439.423425</v>
      </c>
      <c r="O15">
        <f t="shared" si="7"/>
        <v>667.24284375</v>
      </c>
      <c r="P15">
        <f t="shared" si="7"/>
        <v>1513.32343875</v>
      </c>
      <c r="Q15">
        <f t="shared" si="7"/>
        <v>2685.2406374999996</v>
      </c>
      <c r="R15" s="72">
        <f>SUM(F15:Q15)+G16*12</f>
        <v>18597.47737125</v>
      </c>
    </row>
    <row r="16" spans="6:7" ht="15">
      <c r="F16" t="s">
        <v>51</v>
      </c>
      <c r="G16" s="25">
        <v>33</v>
      </c>
    </row>
    <row r="18" spans="1:28" ht="15.75">
      <c r="A18" s="1" t="s">
        <v>80</v>
      </c>
      <c r="B18" s="1"/>
      <c r="C18" s="1"/>
      <c r="D18" s="1" t="s">
        <v>145</v>
      </c>
      <c r="E18" s="2"/>
      <c r="F18" s="2" t="s">
        <v>61</v>
      </c>
      <c r="G18" s="2" t="s">
        <v>62</v>
      </c>
      <c r="H18" s="2" t="s">
        <v>63</v>
      </c>
      <c r="I18" s="2" t="s">
        <v>64</v>
      </c>
      <c r="J18" s="2" t="s">
        <v>65</v>
      </c>
      <c r="K18" s="2" t="s">
        <v>66</v>
      </c>
      <c r="L18" s="2" t="s">
        <v>67</v>
      </c>
      <c r="M18" s="2" t="s">
        <v>68</v>
      </c>
      <c r="N18" s="2" t="s">
        <v>69</v>
      </c>
      <c r="O18" s="2" t="s">
        <v>70</v>
      </c>
      <c r="P18" s="2" t="s">
        <v>71</v>
      </c>
      <c r="Q18" s="2" t="s">
        <v>72</v>
      </c>
      <c r="R18" s="2" t="s">
        <v>158</v>
      </c>
      <c r="T18" s="2"/>
      <c r="U18" s="2"/>
      <c r="V18" s="2"/>
      <c r="W18" s="2"/>
      <c r="X18" s="2"/>
      <c r="Y18" s="2"/>
      <c r="Z18" s="2"/>
      <c r="AA18" s="2"/>
      <c r="AB18" s="2"/>
    </row>
    <row r="19" spans="1:28" ht="15.75">
      <c r="A19" s="1" t="s">
        <v>49</v>
      </c>
      <c r="B19" s="3">
        <v>45000</v>
      </c>
      <c r="D19" s="1" t="s">
        <v>144</v>
      </c>
      <c r="E19" s="2"/>
      <c r="F19" s="9">
        <f>F2*B19</f>
        <v>8381.25</v>
      </c>
      <c r="G19" s="9">
        <f>G2*B19</f>
        <v>7031.25</v>
      </c>
      <c r="H19" s="9">
        <f>H2*B19</f>
        <v>5681.25</v>
      </c>
      <c r="I19" s="9">
        <f>I2*B19</f>
        <v>4668.75</v>
      </c>
      <c r="J19" s="9">
        <f>J2*B19</f>
        <v>2475.0000000000005</v>
      </c>
      <c r="K19" s="9">
        <f>K2*B19</f>
        <v>1743.75</v>
      </c>
      <c r="L19" s="9">
        <f>L2*B19</f>
        <v>1125</v>
      </c>
      <c r="M19" s="9">
        <f>M2*B19</f>
        <v>1012.5</v>
      </c>
      <c r="N19" s="9">
        <f>N2*B19</f>
        <v>1125</v>
      </c>
      <c r="O19" s="9">
        <f>O2*B19</f>
        <v>1743.75</v>
      </c>
      <c r="P19" s="9">
        <f>P2*B19</f>
        <v>3543.75</v>
      </c>
      <c r="Q19" s="9">
        <f>Q2*B19</f>
        <v>6468.749999999999</v>
      </c>
      <c r="R19" s="12">
        <f>SUM(F19:Q19)</f>
        <v>45000</v>
      </c>
      <c r="T19" s="2"/>
      <c r="U19" s="2"/>
      <c r="V19" s="2"/>
      <c r="W19" s="2"/>
      <c r="X19" s="2"/>
      <c r="Y19" s="2"/>
      <c r="Z19" s="2"/>
      <c r="AA19" s="2"/>
      <c r="AB19" s="2"/>
    </row>
    <row r="20" spans="5:17" ht="14.25">
      <c r="E20" t="s">
        <v>37</v>
      </c>
      <c r="F20" s="4">
        <f>MIN(F19,pgscf1blk1)*pgscf1w1</f>
        <v>430.14464999999996</v>
      </c>
      <c r="G20" s="4">
        <f>MIN(G19,pgscf1blk1)*pgscf1w1</f>
        <v>430.14464999999996</v>
      </c>
      <c r="H20">
        <f>MIN(H19,pgscf1blk1)*pgscf1w1</f>
        <v>430.14464999999996</v>
      </c>
      <c r="I20">
        <f aca="true" t="shared" si="8" ref="I20:O20">MIN(I19,pgscf1blk1)*pgscf1s1</f>
        <v>380.24955</v>
      </c>
      <c r="J20">
        <f t="shared" si="8"/>
        <v>380.24955</v>
      </c>
      <c r="K20">
        <f t="shared" si="8"/>
        <v>380.24955</v>
      </c>
      <c r="L20">
        <f t="shared" si="8"/>
        <v>380.24955</v>
      </c>
      <c r="M20">
        <f t="shared" si="8"/>
        <v>380.24955</v>
      </c>
      <c r="N20">
        <f t="shared" si="8"/>
        <v>380.24955</v>
      </c>
      <c r="O20">
        <f t="shared" si="8"/>
        <v>380.24955</v>
      </c>
      <c r="P20">
        <f>MIN(P19,pgscf1blk1)*pgscf1w1</f>
        <v>430.14464999999996</v>
      </c>
      <c r="Q20">
        <f>MIN(Q19,pgscf1blk1)*pgscf1w1</f>
        <v>430.14464999999996</v>
      </c>
    </row>
    <row r="21" spans="5:17" ht="14.25">
      <c r="E21" t="s">
        <v>38</v>
      </c>
      <c r="F21">
        <f>MIN(MAX(0,F19-pgscf1blk1),pgscf1blk2)*pgscf1w2</f>
        <v>1394.7473499999999</v>
      </c>
      <c r="G21">
        <f>MIN(MAX(0,G19-pgscf1blk1),pgscf1blk2)*pgscf1w2</f>
        <v>1394.7473499999999</v>
      </c>
      <c r="H21">
        <f>MIN(MAX(0,H19-pgscf1blk1),pgscf1blk2)*pgscf1w2</f>
        <v>1394.7473499999999</v>
      </c>
      <c r="I21">
        <f aca="true" t="shared" si="9" ref="I21:O21">MIN(MAX(0,I19-pgscf1blk1),pgscf1blk2)*pgscf1s2</f>
        <v>1222.9267499999999</v>
      </c>
      <c r="J21">
        <f t="shared" si="9"/>
        <v>1222.9267499999999</v>
      </c>
      <c r="K21">
        <f t="shared" si="9"/>
        <v>1222.9267499999999</v>
      </c>
      <c r="L21">
        <f t="shared" si="9"/>
        <v>1222.9267499999999</v>
      </c>
      <c r="M21">
        <f t="shared" si="9"/>
        <v>1222.9267499999999</v>
      </c>
      <c r="N21">
        <f t="shared" si="9"/>
        <v>1222.9267499999999</v>
      </c>
      <c r="O21">
        <f t="shared" si="9"/>
        <v>1222.9267499999999</v>
      </c>
      <c r="P21">
        <f>MIN(MAX(0,P19-pgscf1blk1),pgscf1blk2)*pgscf1w2</f>
        <v>1394.7473499999999</v>
      </c>
      <c r="Q21">
        <f>MIN(MAX(0,Q19-pgscf1blk1),pgscf1blk2)*pgscf1w2</f>
        <v>1394.7473499999999</v>
      </c>
    </row>
    <row r="22" spans="5:17" ht="14.25">
      <c r="E22" t="s">
        <v>39</v>
      </c>
      <c r="F22" s="4">
        <f>MAX(0,(F19-pgscf1blk1-pgscf1blk2))*pgscf1w3</f>
        <v>69091.801625</v>
      </c>
      <c r="G22" s="4">
        <f>MAX(0,(G19-pgscf1blk1-pgscf1blk2))*pgscf1w3</f>
        <v>57690.86262499999</v>
      </c>
      <c r="H22" s="4">
        <f>MAX(0,(H19-pgscf1blk1-pgscf1blk2))*pgscf1w3</f>
        <v>46289.92362499999</v>
      </c>
      <c r="I22" s="4">
        <f aca="true" t="shared" si="10" ref="I22:O22">MAX(0,(I19-pgscf1blk1-pgscf1blk2))*pgscf1s3</f>
        <v>32785.520625</v>
      </c>
      <c r="J22" s="4">
        <f t="shared" si="10"/>
        <v>16690.810500000003</v>
      </c>
      <c r="K22" s="4">
        <f t="shared" si="10"/>
        <v>11325.907125</v>
      </c>
      <c r="L22" s="4">
        <f t="shared" si="10"/>
        <v>6786.3735</v>
      </c>
      <c r="M22" s="4">
        <f t="shared" si="10"/>
        <v>5961.00375</v>
      </c>
      <c r="N22" s="4">
        <f t="shared" si="10"/>
        <v>6786.3735</v>
      </c>
      <c r="O22" s="4">
        <f t="shared" si="10"/>
        <v>11325.907125</v>
      </c>
      <c r="P22" s="4">
        <f>MAX(0,(P19-pgscf1blk1-pgscf1blk2))*pgscf1w3</f>
        <v>28238.436874999996</v>
      </c>
      <c r="Q22" s="4">
        <f>MAX(0,(Q19-pgscf1blk1-pgscf1blk2))*pgscf1w3</f>
        <v>52940.47137499999</v>
      </c>
    </row>
    <row r="23" spans="6:18" ht="14.25">
      <c r="F23" s="4">
        <f aca="true" t="shared" si="11" ref="F23:Q23">SUM(F20:F22)</f>
        <v>70916.69362499999</v>
      </c>
      <c r="G23" s="4">
        <f t="shared" si="11"/>
        <v>59515.75462499999</v>
      </c>
      <c r="H23">
        <f t="shared" si="11"/>
        <v>48114.81562499999</v>
      </c>
      <c r="I23">
        <f t="shared" si="11"/>
        <v>34388.696925</v>
      </c>
      <c r="J23">
        <f t="shared" si="11"/>
        <v>18293.986800000002</v>
      </c>
      <c r="K23">
        <f t="shared" si="11"/>
        <v>12929.083424999999</v>
      </c>
      <c r="L23">
        <f t="shared" si="11"/>
        <v>8389.549799999999</v>
      </c>
      <c r="M23">
        <f t="shared" si="11"/>
        <v>7564.18005</v>
      </c>
      <c r="N23">
        <f t="shared" si="11"/>
        <v>8389.549799999999</v>
      </c>
      <c r="O23">
        <f t="shared" si="11"/>
        <v>12929.083424999999</v>
      </c>
      <c r="P23">
        <f t="shared" si="11"/>
        <v>30063.328874999996</v>
      </c>
      <c r="Q23">
        <f t="shared" si="11"/>
        <v>54765.363374999986</v>
      </c>
      <c r="R23" s="72">
        <f>SUM(F23:Q23)+12*G24</f>
        <v>370856.08635</v>
      </c>
    </row>
    <row r="24" spans="6:7" ht="15">
      <c r="F24" t="s">
        <v>51</v>
      </c>
      <c r="G24" s="25">
        <v>383</v>
      </c>
    </row>
    <row r="27" spans="8:16" ht="15.75">
      <c r="H27" s="2" t="s">
        <v>28</v>
      </c>
      <c r="I27" s="2" t="s">
        <v>29</v>
      </c>
      <c r="J27" s="2" t="s">
        <v>30</v>
      </c>
      <c r="K27" s="2" t="s">
        <v>199</v>
      </c>
      <c r="L27" s="2" t="s">
        <v>200</v>
      </c>
      <c r="M27" s="2" t="s">
        <v>201</v>
      </c>
      <c r="N27" s="2" t="s">
        <v>202</v>
      </c>
      <c r="O27" s="2" t="s">
        <v>203</v>
      </c>
      <c r="P27" s="2" t="s">
        <v>204</v>
      </c>
    </row>
    <row r="28" spans="6:16" ht="15.75">
      <c r="F28" s="40" t="s">
        <v>86</v>
      </c>
      <c r="H28" s="2">
        <v>45</v>
      </c>
      <c r="I28" s="2">
        <v>155</v>
      </c>
      <c r="J28" s="2">
        <v>200</v>
      </c>
      <c r="K28" s="6">
        <f>1.94072+0.97517+6.54266+I33</f>
        <v>9.558769999999999</v>
      </c>
      <c r="L28" s="6">
        <f>1.38307+0.97517+6.54266+K33</f>
        <v>8.99837</v>
      </c>
      <c r="M28" s="6">
        <f>0.82984+0.97517+6.54266+K33</f>
        <v>8.445139999999999</v>
      </c>
      <c r="N28" s="6">
        <f>1.34999+0.45786+6.54266+H33</f>
        <v>8.44999</v>
      </c>
      <c r="O28" s="6">
        <f>0.79234+0.45786+6.54266+J33</f>
        <v>7.889849999999999</v>
      </c>
      <c r="P28" s="6">
        <f>0.23911+0.45786+6.54266+J33</f>
        <v>7.33662</v>
      </c>
    </row>
    <row r="29" ht="14.25">
      <c r="F29" s="40"/>
    </row>
    <row r="30" spans="8:11" ht="14.25">
      <c r="H30" t="s">
        <v>205</v>
      </c>
      <c r="I30" t="s">
        <v>206</v>
      </c>
      <c r="J30" t="s">
        <v>207</v>
      </c>
      <c r="K30" t="s">
        <v>208</v>
      </c>
    </row>
    <row r="31" spans="6:11" ht="14.25">
      <c r="F31" t="s">
        <v>169</v>
      </c>
      <c r="H31">
        <v>0.00396</v>
      </c>
      <c r="I31">
        <v>0.0047</v>
      </c>
      <c r="J31">
        <v>0.00147</v>
      </c>
      <c r="K31">
        <v>0.00195</v>
      </c>
    </row>
    <row r="32" spans="6:11" ht="14.25">
      <c r="F32" t="s">
        <v>170</v>
      </c>
      <c r="H32" s="30">
        <v>0.09552</v>
      </c>
      <c r="I32" s="30">
        <v>0.09552</v>
      </c>
      <c r="J32" s="30">
        <v>0.09552</v>
      </c>
      <c r="K32" s="30">
        <v>0.09552</v>
      </c>
    </row>
    <row r="33" spans="8:11" ht="14.25">
      <c r="H33">
        <f>SUM(H31:H32)</f>
        <v>0.09948</v>
      </c>
      <c r="I33">
        <f>SUM(I31:I32)</f>
        <v>0.10021999999999999</v>
      </c>
      <c r="J33">
        <f>SUM(J31:J32)</f>
        <v>0.09698999999999999</v>
      </c>
      <c r="K33">
        <f>SUM(K31:K32)</f>
        <v>0.09746999999999999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7">
      <selection activeCell="D32" sqref="D32"/>
    </sheetView>
  </sheetViews>
  <sheetFormatPr defaultColWidth="9.140625" defaultRowHeight="15"/>
  <cols>
    <col min="1" max="1" width="12.7109375" style="0" customWidth="1"/>
    <col min="2" max="2" width="10.8515625" style="0" customWidth="1"/>
    <col min="4" max="4" width="12.8515625" style="0" customWidth="1"/>
    <col min="5" max="5" width="10.57421875" style="0" bestFit="1" customWidth="1"/>
    <col min="7" max="7" width="9.8515625" style="0" customWidth="1"/>
    <col min="8" max="8" width="10.421875" style="0" customWidth="1"/>
    <col min="9" max="9" width="10.00390625" style="0" customWidth="1"/>
    <col min="10" max="10" width="9.8515625" style="0" customWidth="1"/>
    <col min="11" max="11" width="10.57421875" style="0" customWidth="1"/>
    <col min="12" max="12" width="10.8515625" style="0" customWidth="1"/>
    <col min="14" max="14" width="12.8515625" style="0" bestFit="1" customWidth="1"/>
    <col min="18" max="18" width="12.8515625" style="0" bestFit="1" customWidth="1"/>
    <col min="20" max="20" width="11.28125" style="0" customWidth="1"/>
    <col min="23" max="23" width="10.57421875" style="0" bestFit="1" customWidth="1"/>
    <col min="24" max="24" width="9.7109375" style="0" bestFit="1" customWidth="1"/>
    <col min="25" max="25" width="9.7109375" style="0" customWidth="1"/>
    <col min="26" max="26" width="16.140625" style="0" bestFit="1" customWidth="1"/>
    <col min="27" max="27" width="9.7109375" style="0" bestFit="1" customWidth="1"/>
  </cols>
  <sheetData>
    <row r="1" spans="1:5" ht="14.25">
      <c r="A1" t="s">
        <v>45</v>
      </c>
      <c r="E1" t="s">
        <v>108</v>
      </c>
    </row>
    <row r="3" spans="1:8" ht="16.5">
      <c r="A3" t="s">
        <v>81</v>
      </c>
      <c r="H3" s="11"/>
    </row>
    <row r="4" spans="2:15" ht="17.25" thickBot="1">
      <c r="B4" s="27" t="s">
        <v>61</v>
      </c>
      <c r="C4" s="27" t="s">
        <v>62</v>
      </c>
      <c r="D4" s="27" t="s">
        <v>63</v>
      </c>
      <c r="E4" s="27" t="s">
        <v>64</v>
      </c>
      <c r="F4" s="27" t="s">
        <v>65</v>
      </c>
      <c r="G4" s="27" t="s">
        <v>66</v>
      </c>
      <c r="H4" s="26" t="s">
        <v>67</v>
      </c>
      <c r="I4" s="27" t="s">
        <v>68</v>
      </c>
      <c r="J4" s="27" t="s">
        <v>69</v>
      </c>
      <c r="K4" s="27" t="s">
        <v>70</v>
      </c>
      <c r="L4" s="27" t="s">
        <v>71</v>
      </c>
      <c r="M4" s="27" t="s">
        <v>72</v>
      </c>
      <c r="N4" s="69" t="s">
        <v>84</v>
      </c>
      <c r="O4" s="13"/>
    </row>
    <row r="5" spans="2:13" ht="14.25">
      <c r="B5">
        <f>'Typical Volumes'!C25</f>
        <v>0.18625</v>
      </c>
      <c r="C5">
        <f>'Typical Volumes'!C26</f>
        <v>0.15625</v>
      </c>
      <c r="D5">
        <f>'Typical Volumes'!C27</f>
        <v>0.12625</v>
      </c>
      <c r="E5">
        <f>'Typical Volumes'!C28</f>
        <v>0.10375000000000001</v>
      </c>
      <c r="F5">
        <f>'Typical Volumes'!C29</f>
        <v>0.05500000000000001</v>
      </c>
      <c r="G5">
        <f>'Typical Volumes'!C30</f>
        <v>0.03875</v>
      </c>
      <c r="H5">
        <f>'Typical Volumes'!C31</f>
        <v>0.025</v>
      </c>
      <c r="I5">
        <f>'Typical Volumes'!C32</f>
        <v>0.0225</v>
      </c>
      <c r="J5">
        <f>'Typical Volumes'!C33</f>
        <v>0.025</v>
      </c>
      <c r="K5">
        <f>'Typical Volumes'!C34</f>
        <v>0.03875</v>
      </c>
      <c r="L5">
        <f>'Typical Volumes'!C35</f>
        <v>0.07875</v>
      </c>
      <c r="M5">
        <f>'Typical Volumes'!C36</f>
        <v>0.14375</v>
      </c>
    </row>
    <row r="7" spans="1:2" ht="15">
      <c r="A7" t="s">
        <v>49</v>
      </c>
      <c r="B7" s="10">
        <v>80</v>
      </c>
    </row>
    <row r="8" spans="2:13" ht="17.25" thickBot="1">
      <c r="B8" s="27" t="s">
        <v>61</v>
      </c>
      <c r="C8" s="27" t="s">
        <v>62</v>
      </c>
      <c r="D8" s="27" t="s">
        <v>63</v>
      </c>
      <c r="E8" s="27" t="s">
        <v>64</v>
      </c>
      <c r="F8" s="27" t="s">
        <v>65</v>
      </c>
      <c r="G8" s="27" t="s">
        <v>66</v>
      </c>
      <c r="H8" s="26" t="s">
        <v>67</v>
      </c>
      <c r="I8" s="27" t="s">
        <v>68</v>
      </c>
      <c r="J8" s="27" t="s">
        <v>69</v>
      </c>
      <c r="K8" s="27" t="s">
        <v>70</v>
      </c>
      <c r="L8" s="27" t="s">
        <v>71</v>
      </c>
      <c r="M8" s="27" t="s">
        <v>72</v>
      </c>
    </row>
    <row r="9" spans="1:13" ht="14.25">
      <c r="A9" t="s">
        <v>82</v>
      </c>
      <c r="B9">
        <f>B7*B5</f>
        <v>14.9</v>
      </c>
      <c r="C9">
        <f>B7*C5</f>
        <v>12.5</v>
      </c>
      <c r="D9">
        <f>B7*D5</f>
        <v>10.1</v>
      </c>
      <c r="E9">
        <f>B7*E5</f>
        <v>8.3</v>
      </c>
      <c r="F9">
        <f>F5*B7</f>
        <v>4.4</v>
      </c>
      <c r="G9">
        <f>G5*B7</f>
        <v>3.1</v>
      </c>
      <c r="H9">
        <f>H5*B7</f>
        <v>2</v>
      </c>
      <c r="I9">
        <f>I5*B7</f>
        <v>1.7999999999999998</v>
      </c>
      <c r="J9">
        <f>J5*B7</f>
        <v>2</v>
      </c>
      <c r="K9">
        <f>K5*B7</f>
        <v>3.1</v>
      </c>
      <c r="L9">
        <f>L5*B7</f>
        <v>6.3</v>
      </c>
      <c r="M9">
        <f>M5*B7</f>
        <v>11.5</v>
      </c>
    </row>
    <row r="10" spans="1:13" ht="14.25">
      <c r="A10" t="s">
        <v>47</v>
      </c>
      <c r="B10" s="4">
        <f>MIN(B9,pgsrblk1)*gsrw1</f>
        <v>142.42567300000002</v>
      </c>
      <c r="C10" s="4">
        <f>MIN(C9,pgsrblk1)*gsrw1</f>
        <v>119.48462500000001</v>
      </c>
      <c r="D10" s="4">
        <f>MIN(D9,pgsrblk1)*gsrw1</f>
        <v>96.543577</v>
      </c>
      <c r="E10" s="4">
        <f aca="true" t="shared" si="0" ref="E10:K10">MIN(E9,pgsrblk1)*pgsrs1</f>
        <v>70.134917</v>
      </c>
      <c r="F10" s="4">
        <f t="shared" si="0"/>
        <v>37.179956000000004</v>
      </c>
      <c r="G10" s="4">
        <f t="shared" si="0"/>
        <v>26.194969</v>
      </c>
      <c r="H10" s="4">
        <f t="shared" si="0"/>
        <v>16.89998</v>
      </c>
      <c r="I10" s="4">
        <f t="shared" si="0"/>
        <v>15.209981999999998</v>
      </c>
      <c r="J10" s="4">
        <f t="shared" si="0"/>
        <v>16.89998</v>
      </c>
      <c r="K10" s="4">
        <f t="shared" si="0"/>
        <v>26.194969</v>
      </c>
      <c r="L10" s="4">
        <f>MIN(L9,pgsrblk1)*gsrw1</f>
        <v>60.220251000000005</v>
      </c>
      <c r="M10" s="4">
        <f>MIN(M9,pgsrblk1)*gsrw1</f>
        <v>109.92585500000001</v>
      </c>
    </row>
    <row r="11" spans="1:14" ht="14.25">
      <c r="A11" t="s">
        <v>48</v>
      </c>
      <c r="B11" s="29">
        <f>MAX(0,B9-pgsrblk1)*gsrw2</f>
        <v>0</v>
      </c>
      <c r="C11" s="29">
        <f>MAX(0,C9-pgsrblk1)*gsrw2</f>
        <v>0</v>
      </c>
      <c r="D11" s="29">
        <f>MAX(0,D9-pgsrblk1)*gsrw2</f>
        <v>0</v>
      </c>
      <c r="E11" s="29">
        <f>MAX(0,E9-pgsrblk1)*pgsrs2</f>
        <v>0</v>
      </c>
      <c r="F11" s="30">
        <f aca="true" t="shared" si="1" ref="F11:K11">MAX(0,F9-pgsrblk1)*pgsrs2</f>
        <v>0</v>
      </c>
      <c r="G11" s="30">
        <f t="shared" si="1"/>
        <v>0</v>
      </c>
      <c r="H11" s="30">
        <f t="shared" si="1"/>
        <v>0</v>
      </c>
      <c r="I11" s="30">
        <f t="shared" si="1"/>
        <v>0</v>
      </c>
      <c r="J11" s="30">
        <f t="shared" si="1"/>
        <v>0</v>
      </c>
      <c r="K11" s="30">
        <f t="shared" si="1"/>
        <v>0</v>
      </c>
      <c r="L11" s="29">
        <f>MAX(0,L9-pgsrblk1)*gsrw2</f>
        <v>0</v>
      </c>
      <c r="M11" s="29">
        <f>MAX(0,M9-pgsrblk1)*gsrw2</f>
        <v>0</v>
      </c>
      <c r="N11" t="s">
        <v>73</v>
      </c>
    </row>
    <row r="12" spans="2:14" ht="15">
      <c r="B12" s="9">
        <f>SUM(B10:B11)+B13</f>
        <v>150.42567300000002</v>
      </c>
      <c r="C12" s="9">
        <f>SUM(C10:C11)+B13</f>
        <v>127.48462500000001</v>
      </c>
      <c r="D12" s="9">
        <f>SUM(D10:D11)+B13</f>
        <v>104.543577</v>
      </c>
      <c r="E12" s="9">
        <f>SUM(E10:E11)+B13</f>
        <v>78.134917</v>
      </c>
      <c r="F12" s="9">
        <f>SUM(F10:F11)+B13</f>
        <v>45.179956000000004</v>
      </c>
      <c r="G12" s="9">
        <f>SUM(G10:G11)+B13</f>
        <v>34.194969</v>
      </c>
      <c r="H12" s="9">
        <f>SUM(H10:H11)+B13</f>
        <v>24.89998</v>
      </c>
      <c r="I12" s="9">
        <f>SUM(I10:I11)+B13</f>
        <v>23.209981999999997</v>
      </c>
      <c r="J12" s="9">
        <f>SUM(J10:J11)+B13</f>
        <v>24.89998</v>
      </c>
      <c r="K12" s="9">
        <f>SUM(K10:K11)+B13</f>
        <v>34.194969</v>
      </c>
      <c r="L12" s="9">
        <f>SUM(L10:L11)+B13</f>
        <v>68.220251</v>
      </c>
      <c r="M12" s="9">
        <f>SUM(M10:M11)+B13</f>
        <v>117.92585500000001</v>
      </c>
      <c r="N12" s="31">
        <f>SUM(B12:M12)</f>
        <v>833.314734</v>
      </c>
    </row>
    <row r="13" spans="1:14" ht="14.25">
      <c r="A13" t="s">
        <v>85</v>
      </c>
      <c r="B13" s="18">
        <v>8</v>
      </c>
      <c r="C13" s="4"/>
      <c r="N13" s="5"/>
    </row>
    <row r="15" spans="1:9" ht="14.25">
      <c r="A15" t="s">
        <v>49</v>
      </c>
      <c r="B15">
        <v>150</v>
      </c>
      <c r="I15" s="51"/>
    </row>
    <row r="16" spans="2:13" ht="14.25">
      <c r="B16" t="s">
        <v>61</v>
      </c>
      <c r="C16" t="s">
        <v>62</v>
      </c>
      <c r="D16" t="s">
        <v>63</v>
      </c>
      <c r="E16" t="s">
        <v>64</v>
      </c>
      <c r="F16" t="s">
        <v>65</v>
      </c>
      <c r="G16" t="s">
        <v>66</v>
      </c>
      <c r="H16" t="s">
        <v>67</v>
      </c>
      <c r="I16" t="s">
        <v>68</v>
      </c>
      <c r="J16" t="s">
        <v>69</v>
      </c>
      <c r="K16" t="s">
        <v>70</v>
      </c>
      <c r="L16" t="s">
        <v>71</v>
      </c>
      <c r="M16" t="s">
        <v>72</v>
      </c>
    </row>
    <row r="17" spans="1:13" ht="14.25">
      <c r="A17" t="s">
        <v>82</v>
      </c>
      <c r="B17">
        <v>27.9375</v>
      </c>
      <c r="C17">
        <v>23.4375</v>
      </c>
      <c r="D17">
        <v>18.9375</v>
      </c>
      <c r="E17">
        <v>15.562500000000002</v>
      </c>
      <c r="F17">
        <v>8.250000000000002</v>
      </c>
      <c r="G17">
        <v>5.8125</v>
      </c>
      <c r="H17">
        <v>3.75</v>
      </c>
      <c r="I17">
        <v>3.375</v>
      </c>
      <c r="J17">
        <v>3.75</v>
      </c>
      <c r="K17">
        <v>5.8125</v>
      </c>
      <c r="L17">
        <v>11.8125</v>
      </c>
      <c r="M17">
        <v>21.5625</v>
      </c>
    </row>
    <row r="18" spans="1:13" ht="14.25">
      <c r="A18" t="s">
        <v>47</v>
      </c>
      <c r="B18" s="68">
        <v>268.34918625</v>
      </c>
      <c r="C18">
        <v>225.12515625</v>
      </c>
      <c r="D18">
        <v>181.90112625</v>
      </c>
      <c r="E18">
        <v>132.227870625</v>
      </c>
      <c r="F18">
        <v>70.09670250000002</v>
      </c>
      <c r="G18">
        <v>49.386313125</v>
      </c>
      <c r="H18">
        <v>31.8621375</v>
      </c>
      <c r="I18">
        <v>28.67592375</v>
      </c>
      <c r="J18">
        <v>31.8621375</v>
      </c>
      <c r="K18">
        <v>49.386313125</v>
      </c>
      <c r="L18">
        <v>113.46307875</v>
      </c>
      <c r="M18">
        <v>207.11514375</v>
      </c>
    </row>
    <row r="19" spans="1:14" ht="14.25">
      <c r="A19" t="s">
        <v>48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 t="s">
        <v>73</v>
      </c>
    </row>
    <row r="20" spans="2:14" ht="14.25">
      <c r="B20">
        <v>276.34918625</v>
      </c>
      <c r="C20">
        <v>233.12515625</v>
      </c>
      <c r="D20">
        <v>189.90112625</v>
      </c>
      <c r="E20">
        <v>140.227870625</v>
      </c>
      <c r="F20">
        <v>78.09670250000002</v>
      </c>
      <c r="G20">
        <v>57.386313125</v>
      </c>
      <c r="H20">
        <v>39.8621375</v>
      </c>
      <c r="I20">
        <v>36.675923749999995</v>
      </c>
      <c r="J20">
        <v>39.8621375</v>
      </c>
      <c r="K20">
        <v>57.386313125</v>
      </c>
      <c r="L20">
        <v>121.46307875</v>
      </c>
      <c r="M20">
        <v>215.11514375</v>
      </c>
      <c r="N20" s="18">
        <v>1485.451089375</v>
      </c>
    </row>
    <row r="21" spans="1:2" ht="14.25">
      <c r="A21" t="s">
        <v>85</v>
      </c>
      <c r="B21">
        <v>8</v>
      </c>
    </row>
    <row r="23" spans="1:2" ht="14.25">
      <c r="A23" t="s">
        <v>49</v>
      </c>
      <c r="B23">
        <v>50</v>
      </c>
    </row>
    <row r="24" spans="2:13" ht="14.25">
      <c r="B24" t="s">
        <v>61</v>
      </c>
      <c r="C24" t="s">
        <v>62</v>
      </c>
      <c r="D24" t="s">
        <v>63</v>
      </c>
      <c r="E24" t="s">
        <v>64</v>
      </c>
      <c r="F24" t="s">
        <v>65</v>
      </c>
      <c r="G24" t="s">
        <v>66</v>
      </c>
      <c r="H24" t="s">
        <v>67</v>
      </c>
      <c r="I24" t="s">
        <v>68</v>
      </c>
      <c r="J24" t="s">
        <v>69</v>
      </c>
      <c r="K24" t="s">
        <v>70</v>
      </c>
      <c r="L24" t="s">
        <v>71</v>
      </c>
      <c r="M24" t="s">
        <v>72</v>
      </c>
    </row>
    <row r="25" spans="1:13" ht="14.25">
      <c r="A25" t="s">
        <v>82</v>
      </c>
      <c r="B25">
        <v>9.3125</v>
      </c>
      <c r="C25">
        <v>7.8125</v>
      </c>
      <c r="D25">
        <v>6.3125</v>
      </c>
      <c r="E25">
        <v>5.1875</v>
      </c>
      <c r="F25">
        <v>2.7500000000000004</v>
      </c>
      <c r="G25">
        <v>1.9375</v>
      </c>
      <c r="H25">
        <v>1.25</v>
      </c>
      <c r="I25">
        <v>1.125</v>
      </c>
      <c r="J25">
        <v>1.25</v>
      </c>
      <c r="K25">
        <v>1.9375</v>
      </c>
      <c r="L25">
        <v>3.9375</v>
      </c>
      <c r="M25">
        <v>7.187499999999999</v>
      </c>
    </row>
    <row r="26" spans="1:13" ht="14.25">
      <c r="A26" t="s">
        <v>47</v>
      </c>
      <c r="B26">
        <v>89.44972875</v>
      </c>
      <c r="C26">
        <v>75.04171875</v>
      </c>
      <c r="D26">
        <v>60.63370875</v>
      </c>
      <c r="E26">
        <v>44.075956875</v>
      </c>
      <c r="F26">
        <v>23.365567500000004</v>
      </c>
      <c r="G26">
        <v>16.462104375</v>
      </c>
      <c r="H26">
        <v>10.6207125</v>
      </c>
      <c r="I26">
        <v>9.55864125</v>
      </c>
      <c r="J26">
        <v>10.6207125</v>
      </c>
      <c r="K26">
        <v>16.462104375</v>
      </c>
      <c r="L26">
        <v>37.82102625</v>
      </c>
      <c r="M26">
        <v>69.03838124999999</v>
      </c>
    </row>
    <row r="27" spans="1:14" ht="14.25">
      <c r="A27" t="s">
        <v>48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 t="s">
        <v>73</v>
      </c>
    </row>
    <row r="28" spans="2:14" ht="14.25">
      <c r="B28">
        <v>95.44972875</v>
      </c>
      <c r="C28">
        <v>81.04171875</v>
      </c>
      <c r="D28">
        <v>66.63370875</v>
      </c>
      <c r="E28">
        <v>50.075956875</v>
      </c>
      <c r="F28">
        <v>29.365567500000004</v>
      </c>
      <c r="G28">
        <v>22.462104375</v>
      </c>
      <c r="H28">
        <v>16.6207125</v>
      </c>
      <c r="I28">
        <v>15.55864125</v>
      </c>
      <c r="J28">
        <v>16.6207125</v>
      </c>
      <c r="K28">
        <v>22.462104375</v>
      </c>
      <c r="L28">
        <v>43.82102625</v>
      </c>
      <c r="M28">
        <v>75.03838124999999</v>
      </c>
      <c r="N28" s="102">
        <v>535.150363125</v>
      </c>
    </row>
    <row r="29" spans="1:2" ht="14.25">
      <c r="A29" t="s">
        <v>85</v>
      </c>
      <c r="B29">
        <v>6</v>
      </c>
    </row>
    <row r="31" spans="3:7" ht="15" thickBot="1">
      <c r="C31" s="50" t="s">
        <v>57</v>
      </c>
      <c r="D31" s="50" t="s">
        <v>106</v>
      </c>
      <c r="E31" s="50" t="s">
        <v>107</v>
      </c>
      <c r="F31" s="50" t="s">
        <v>104</v>
      </c>
      <c r="G31" s="50" t="s">
        <v>105</v>
      </c>
    </row>
    <row r="32" spans="1:7" ht="14.25">
      <c r="A32" t="s">
        <v>86</v>
      </c>
      <c r="C32" s="34">
        <v>45</v>
      </c>
      <c r="D32" s="51">
        <f>gswinter1</f>
        <v>9.55877</v>
      </c>
      <c r="E32" s="51"/>
      <c r="F32" s="51">
        <f>gssummer1</f>
        <v>8.44999</v>
      </c>
      <c r="G32" s="51"/>
    </row>
    <row r="33" spans="1:7" ht="14.25">
      <c r="A33" t="s">
        <v>99</v>
      </c>
      <c r="C33" s="34">
        <v>45</v>
      </c>
      <c r="D33" s="51">
        <v>9.57798</v>
      </c>
      <c r="E33" s="51">
        <v>8.429</v>
      </c>
      <c r="F33" s="51">
        <v>8.75073</v>
      </c>
      <c r="G33" s="51">
        <v>7.7103</v>
      </c>
    </row>
    <row r="34" spans="1:7" ht="14.25">
      <c r="A34" t="s">
        <v>98</v>
      </c>
      <c r="C34" s="34">
        <v>45</v>
      </c>
      <c r="D34" s="51">
        <v>9.72866</v>
      </c>
      <c r="E34" s="51">
        <v>8.49156</v>
      </c>
      <c r="F34" s="51">
        <v>8.87764</v>
      </c>
      <c r="G34" s="51">
        <v>7.75741</v>
      </c>
    </row>
    <row r="36" spans="2:3" ht="14.25">
      <c r="B36" t="s">
        <v>2</v>
      </c>
      <c r="C36" t="s">
        <v>9</v>
      </c>
    </row>
    <row r="37" spans="1:3" ht="14.25">
      <c r="A37" t="s">
        <v>166</v>
      </c>
      <c r="B37">
        <f>0.09552+0.00396</f>
        <v>0.09948</v>
      </c>
      <c r="C37">
        <f>0.09552+0.0047</f>
        <v>0.10021999999999999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6"/>
  <sheetViews>
    <sheetView zoomScalePageLayoutView="0" workbookViewId="0" topLeftCell="M1">
      <selection activeCell="P13" sqref="P13"/>
    </sheetView>
  </sheetViews>
  <sheetFormatPr defaultColWidth="9.140625" defaultRowHeight="15"/>
  <cols>
    <col min="1" max="1" width="13.00390625" style="0" customWidth="1"/>
    <col min="2" max="2" width="10.140625" style="0" customWidth="1"/>
    <col min="14" max="14" width="12.8515625" style="0" customWidth="1"/>
    <col min="15" max="15" width="13.28125" style="0" customWidth="1"/>
    <col min="19" max="19" width="10.7109375" style="0" customWidth="1"/>
    <col min="20" max="20" width="9.7109375" style="0" bestFit="1" customWidth="1"/>
    <col min="21" max="21" width="10.28125" style="0" customWidth="1"/>
    <col min="22" max="22" width="9.7109375" style="0" bestFit="1" customWidth="1"/>
  </cols>
  <sheetData>
    <row r="1" spans="1:8" ht="16.5">
      <c r="A1" t="s">
        <v>81</v>
      </c>
      <c r="H1" s="11"/>
    </row>
    <row r="2" spans="2:24" ht="17.25" thickBot="1">
      <c r="B2" s="27" t="s">
        <v>61</v>
      </c>
      <c r="C2" s="27" t="s">
        <v>62</v>
      </c>
      <c r="D2" s="27" t="s">
        <v>63</v>
      </c>
      <c r="E2" s="27" t="s">
        <v>64</v>
      </c>
      <c r="F2" s="27" t="s">
        <v>65</v>
      </c>
      <c r="G2" s="27" t="s">
        <v>66</v>
      </c>
      <c r="H2" s="26" t="s">
        <v>67</v>
      </c>
      <c r="I2" s="27" t="s">
        <v>68</v>
      </c>
      <c r="J2" s="27" t="s">
        <v>69</v>
      </c>
      <c r="K2" s="27" t="s">
        <v>70</v>
      </c>
      <c r="L2" s="27" t="s">
        <v>71</v>
      </c>
      <c r="M2" s="27" t="s">
        <v>72</v>
      </c>
      <c r="N2" s="69" t="s">
        <v>84</v>
      </c>
      <c r="O2" s="13"/>
      <c r="P2" s="2" t="s">
        <v>28</v>
      </c>
      <c r="Q2" s="2" t="s">
        <v>29</v>
      </c>
      <c r="R2" s="2" t="s">
        <v>30</v>
      </c>
      <c r="S2" s="2" t="s">
        <v>116</v>
      </c>
      <c r="T2" s="2" t="s">
        <v>117</v>
      </c>
      <c r="U2" s="2" t="s">
        <v>115</v>
      </c>
      <c r="V2" s="2" t="s">
        <v>118</v>
      </c>
      <c r="W2" s="2" t="s">
        <v>119</v>
      </c>
      <c r="X2" s="2" t="s">
        <v>120</v>
      </c>
    </row>
    <row r="3" spans="2:24" ht="17.25" thickTop="1">
      <c r="B3" s="70">
        <v>14.9</v>
      </c>
      <c r="C3" s="70">
        <v>12.5</v>
      </c>
      <c r="D3" s="70">
        <v>10.1</v>
      </c>
      <c r="E3" s="70">
        <v>8.3</v>
      </c>
      <c r="F3" s="70">
        <v>4.4</v>
      </c>
      <c r="G3" s="70">
        <v>3.1</v>
      </c>
      <c r="H3" s="71">
        <v>2</v>
      </c>
      <c r="I3" s="70">
        <v>1.8</v>
      </c>
      <c r="J3" s="70">
        <v>2</v>
      </c>
      <c r="K3" s="70">
        <v>3.1</v>
      </c>
      <c r="L3" s="70">
        <v>6.3</v>
      </c>
      <c r="M3" s="70">
        <v>11.5</v>
      </c>
      <c r="N3" s="8">
        <f>SUM(B3:M3)</f>
        <v>80</v>
      </c>
      <c r="O3" t="s">
        <v>121</v>
      </c>
      <c r="P3" s="2">
        <v>45</v>
      </c>
      <c r="Q3" s="2">
        <v>155</v>
      </c>
      <c r="R3" s="2">
        <v>200</v>
      </c>
      <c r="S3" s="6">
        <f>S10</f>
        <v>9.558769999999999</v>
      </c>
      <c r="T3" s="6">
        <f>S11</f>
        <v>8.99837</v>
      </c>
      <c r="U3" s="6">
        <f>S12</f>
        <v>8.445139999999999</v>
      </c>
      <c r="V3" s="6">
        <f>S5</f>
        <v>8.44999</v>
      </c>
      <c r="W3">
        <f>S6</f>
        <v>7.889849999999999</v>
      </c>
      <c r="X3">
        <f>S7</f>
        <v>7.33662</v>
      </c>
    </row>
    <row r="4" spans="2:18" ht="14.25">
      <c r="B4">
        <f>B3/N3</f>
        <v>0.18625</v>
      </c>
      <c r="C4">
        <f>C3/N3</f>
        <v>0.15625</v>
      </c>
      <c r="D4">
        <f>D3/N3</f>
        <v>0.12625</v>
      </c>
      <c r="E4">
        <f>E3/N3</f>
        <v>0.10375000000000001</v>
      </c>
      <c r="F4">
        <f>F3/N3</f>
        <v>0.05500000000000001</v>
      </c>
      <c r="G4">
        <f>G3/N3</f>
        <v>0.03875</v>
      </c>
      <c r="H4">
        <f>H3/N3</f>
        <v>0.025</v>
      </c>
      <c r="I4">
        <f>I3/N3</f>
        <v>0.0225</v>
      </c>
      <c r="J4">
        <f>J3/N3</f>
        <v>0.025</v>
      </c>
      <c r="K4">
        <f>K3/N3</f>
        <v>0.03875</v>
      </c>
      <c r="L4">
        <f>L3/N3</f>
        <v>0.07875</v>
      </c>
      <c r="M4">
        <f>M3/N3</f>
        <v>0.14375</v>
      </c>
      <c r="O4" t="s">
        <v>2</v>
      </c>
      <c r="P4" t="s">
        <v>3</v>
      </c>
      <c r="Q4" t="s">
        <v>4</v>
      </c>
      <c r="R4" t="s">
        <v>5</v>
      </c>
    </row>
    <row r="5" spans="15:19" ht="14.25">
      <c r="O5" t="s">
        <v>6</v>
      </c>
      <c r="P5">
        <v>1.34999</v>
      </c>
      <c r="Q5">
        <v>0.45786</v>
      </c>
      <c r="R5">
        <v>6.54266</v>
      </c>
      <c r="S5">
        <f>SUM(P5:R5)+O14</f>
        <v>8.44999</v>
      </c>
    </row>
    <row r="6" spans="1:19" ht="15">
      <c r="A6" t="s">
        <v>49</v>
      </c>
      <c r="B6" s="10">
        <v>2100</v>
      </c>
      <c r="O6" t="s">
        <v>7</v>
      </c>
      <c r="P6">
        <v>0.79234</v>
      </c>
      <c r="Q6">
        <v>0.45786</v>
      </c>
      <c r="R6">
        <v>6.54266</v>
      </c>
      <c r="S6">
        <f>SUM(P6:R6)+P14</f>
        <v>7.889849999999999</v>
      </c>
    </row>
    <row r="7" spans="2:19" ht="17.25" thickBot="1">
      <c r="B7" s="27" t="s">
        <v>61</v>
      </c>
      <c r="C7" s="27" t="s">
        <v>62</v>
      </c>
      <c r="D7" s="27" t="s">
        <v>63</v>
      </c>
      <c r="E7" s="27" t="s">
        <v>64</v>
      </c>
      <c r="F7" s="27" t="s">
        <v>65</v>
      </c>
      <c r="G7" s="27" t="s">
        <v>66</v>
      </c>
      <c r="H7" s="26" t="s">
        <v>67</v>
      </c>
      <c r="I7" s="27" t="s">
        <v>68</v>
      </c>
      <c r="J7" s="27" t="s">
        <v>69</v>
      </c>
      <c r="K7" s="27" t="s">
        <v>70</v>
      </c>
      <c r="L7" s="27" t="s">
        <v>71</v>
      </c>
      <c r="M7" s="27" t="s">
        <v>72</v>
      </c>
      <c r="O7" s="69" t="s">
        <v>8</v>
      </c>
      <c r="P7">
        <v>0.23911</v>
      </c>
      <c r="Q7">
        <v>0.45786</v>
      </c>
      <c r="R7">
        <v>6.54266</v>
      </c>
      <c r="S7">
        <f>SUM(P7:R7)+P14</f>
        <v>7.33662</v>
      </c>
    </row>
    <row r="8" spans="1:13" ht="14.25">
      <c r="A8" t="s">
        <v>82</v>
      </c>
      <c r="B8">
        <f>B6*B4</f>
        <v>391.125</v>
      </c>
      <c r="C8">
        <f>B6*C4</f>
        <v>328.125</v>
      </c>
      <c r="D8">
        <f>B6*D4</f>
        <v>265.125</v>
      </c>
      <c r="E8">
        <f>B6*E4</f>
        <v>217.87500000000003</v>
      </c>
      <c r="F8">
        <f>F4*B6</f>
        <v>115.50000000000001</v>
      </c>
      <c r="G8">
        <f>G4*B6</f>
        <v>81.375</v>
      </c>
      <c r="H8">
        <f>H4*B6</f>
        <v>52.5</v>
      </c>
      <c r="I8">
        <f>I4*B6</f>
        <v>47.25</v>
      </c>
      <c r="J8">
        <f>J4*B6</f>
        <v>52.5</v>
      </c>
      <c r="K8">
        <f>K4*B6</f>
        <v>81.375</v>
      </c>
      <c r="L8">
        <f>L4*B6</f>
        <v>165.375</v>
      </c>
      <c r="M8">
        <f>M4*B6</f>
        <v>301.875</v>
      </c>
    </row>
    <row r="9" spans="1:18" ht="14.25">
      <c r="A9" t="s">
        <v>47</v>
      </c>
      <c r="B9" s="4">
        <f>MIN(B8,g2100scblk2)*pgs21cw1</f>
        <v>430.14464999999996</v>
      </c>
      <c r="C9" s="4">
        <f>MIN(C8,g2100scblk2)*pgs21cw1</f>
        <v>430.14464999999996</v>
      </c>
      <c r="D9" s="4">
        <f>MIN(D8,g2100scblk2)*pgs21cw1</f>
        <v>430.14464999999996</v>
      </c>
      <c r="E9">
        <f aca="true" t="shared" si="0" ref="E9:K9">MIN(E8,g2100scblk2)*pg21cs1</f>
        <v>380.24955</v>
      </c>
      <c r="F9">
        <f t="shared" si="0"/>
        <v>380.24955</v>
      </c>
      <c r="G9">
        <f t="shared" si="0"/>
        <v>380.24955</v>
      </c>
      <c r="H9">
        <f t="shared" si="0"/>
        <v>380.24955</v>
      </c>
      <c r="I9">
        <f t="shared" si="0"/>
        <v>380.24955</v>
      </c>
      <c r="J9">
        <f t="shared" si="0"/>
        <v>380.24955</v>
      </c>
      <c r="K9">
        <f t="shared" si="0"/>
        <v>380.24955</v>
      </c>
      <c r="L9" s="4">
        <f>MIN(L8,g2100scblk2)*pgs21cw1</f>
        <v>430.14464999999996</v>
      </c>
      <c r="M9" s="4">
        <f>MIN(M8,g2100scblk2)*pgs21cw1</f>
        <v>430.14464999999996</v>
      </c>
      <c r="O9" t="s">
        <v>9</v>
      </c>
      <c r="P9" t="s">
        <v>3</v>
      </c>
      <c r="Q9" t="s">
        <v>4</v>
      </c>
      <c r="R9" t="s">
        <v>5</v>
      </c>
    </row>
    <row r="10" spans="1:19" ht="14.25">
      <c r="A10" t="s">
        <v>48</v>
      </c>
      <c r="B10">
        <f>MIN(MAX(0,B8-g2100scblk2),gsc21blk2)*pgs21w2</f>
        <v>1394.7473499999999</v>
      </c>
      <c r="C10">
        <f>MIN(MAX(0,C8-g2100scblk2),gsc21blk2)*pgs21w2</f>
        <v>1394.7473499999999</v>
      </c>
      <c r="D10">
        <f>MIN(MAX(0,D8-g2100scblk2),gsc21blk2)*pgs21w2</f>
        <v>1394.7473499999999</v>
      </c>
      <c r="E10">
        <f aca="true" t="shared" si="1" ref="E10:K10">MIN(MAX(0,E8-g2100scblk2),gsc21blk2)*pg21cs2</f>
        <v>1222.9267499999999</v>
      </c>
      <c r="F10">
        <f t="shared" si="1"/>
        <v>556.2344250000001</v>
      </c>
      <c r="G10">
        <f t="shared" si="1"/>
        <v>286.99329374999996</v>
      </c>
      <c r="H10">
        <f t="shared" si="1"/>
        <v>59.173874999999995</v>
      </c>
      <c r="I10">
        <f t="shared" si="1"/>
        <v>17.752162499999997</v>
      </c>
      <c r="J10">
        <f t="shared" si="1"/>
        <v>59.173874999999995</v>
      </c>
      <c r="K10">
        <f t="shared" si="1"/>
        <v>286.99329374999996</v>
      </c>
      <c r="L10">
        <f>MIN(MAX(0,L8-g2100scblk2),gsc21blk2)*pgs21w2</f>
        <v>1083.17878875</v>
      </c>
      <c r="M10">
        <f>MIN(MAX(0,M8-g2100scblk2),gsc21blk2)*pgs21w2</f>
        <v>1394.7473499999999</v>
      </c>
      <c r="O10" t="s">
        <v>6</v>
      </c>
      <c r="P10">
        <v>1.94072</v>
      </c>
      <c r="Q10">
        <v>0.97517</v>
      </c>
      <c r="R10">
        <v>6.54266</v>
      </c>
      <c r="S10">
        <f>SUM(P10:R10)+O16</f>
        <v>9.558769999999999</v>
      </c>
    </row>
    <row r="11" spans="1:19" ht="14.25">
      <c r="A11" t="s">
        <v>39</v>
      </c>
      <c r="B11" s="73">
        <f>MAX(0,(B8-g2100scblk2-gsc21blk2))*pgsc21w3</f>
        <v>1614.0773824999997</v>
      </c>
      <c r="C11" s="73">
        <f>MAX(0,(C8-g2100scblk2-gsc21blk2))*pgsc21w3</f>
        <v>1082.0335624999998</v>
      </c>
      <c r="D11" s="73">
        <f>MAX(0,(D8-g2100scblk2-gsc21blk2))*pgsc21w3</f>
        <v>549.9897424999999</v>
      </c>
      <c r="E11" s="73">
        <f aca="true" t="shared" si="2" ref="E11:K11">MAX(0,(E8-g2100scblk2-gsc21blk2))*pgs21s3</f>
        <v>131.1420825000002</v>
      </c>
      <c r="F11" s="73">
        <f t="shared" si="2"/>
        <v>0</v>
      </c>
      <c r="G11" s="73">
        <f t="shared" si="2"/>
        <v>0</v>
      </c>
      <c r="H11" s="73">
        <f t="shared" si="2"/>
        <v>0</v>
      </c>
      <c r="I11" s="73">
        <f t="shared" si="2"/>
        <v>0</v>
      </c>
      <c r="J11" s="73">
        <f t="shared" si="2"/>
        <v>0</v>
      </c>
      <c r="K11" s="73">
        <f t="shared" si="2"/>
        <v>0</v>
      </c>
      <c r="L11" s="73">
        <f>MAX(0,(L8-g2100scblk2-gsc21blk2))*pgsc21w3</f>
        <v>0</v>
      </c>
      <c r="M11" s="73">
        <f>MAX(0,(M8-g2100scblk2-gsc21blk2))*pgsc21w3</f>
        <v>860.3486374999999</v>
      </c>
      <c r="N11" t="s">
        <v>73</v>
      </c>
      <c r="O11" t="s">
        <v>7</v>
      </c>
      <c r="P11">
        <v>1.38307</v>
      </c>
      <c r="Q11">
        <v>0.97517</v>
      </c>
      <c r="R11">
        <v>6.54266</v>
      </c>
      <c r="S11">
        <f>SUM(P11:R11)+P16</f>
        <v>8.99837</v>
      </c>
    </row>
    <row r="12" spans="2:19" ht="15">
      <c r="B12" s="9">
        <f>SUM(B9:B11)+B13</f>
        <v>3471.9693824999995</v>
      </c>
      <c r="C12" s="4">
        <f>SUM(C9:C11)+B13</f>
        <v>2939.9255624999996</v>
      </c>
      <c r="D12" s="4">
        <f>SUM(D9:D11)+B13</f>
        <v>2407.8817424999997</v>
      </c>
      <c r="E12" s="4">
        <f>SUM(E9:E11)+B13</f>
        <v>1767.3183825</v>
      </c>
      <c r="F12" s="4">
        <f>SUM(F9:F11)+B13</f>
        <v>969.4839750000001</v>
      </c>
      <c r="G12" s="4">
        <f>SUM(G9:G11)+B13</f>
        <v>700.24284375</v>
      </c>
      <c r="H12" s="4">
        <f>SUM(H9:H11)+B13</f>
        <v>472.423425</v>
      </c>
      <c r="I12" s="4">
        <f>SUM(I9:I11)+B13</f>
        <v>431.0017125</v>
      </c>
      <c r="J12" s="4">
        <f>SUM(J9:J11)+B13</f>
        <v>472.423425</v>
      </c>
      <c r="K12" s="4">
        <f>SUM(K9:K11)+B13</f>
        <v>700.24284375</v>
      </c>
      <c r="L12" s="4">
        <f>SUM(L9:L11)+B13</f>
        <v>1546.32343875</v>
      </c>
      <c r="M12" s="4">
        <f>SUM(M9:M11)+B13</f>
        <v>2718.2406374999996</v>
      </c>
      <c r="N12" s="31">
        <f>SUM(B12:M12)</f>
        <v>18597.47737125</v>
      </c>
      <c r="O12" t="s">
        <v>8</v>
      </c>
      <c r="P12">
        <v>0.82984</v>
      </c>
      <c r="Q12">
        <v>0.97517</v>
      </c>
      <c r="R12">
        <v>6.54266</v>
      </c>
      <c r="S12">
        <f>SUM(P12:R12)+P16</f>
        <v>8.445139999999999</v>
      </c>
    </row>
    <row r="13" spans="1:16" ht="14.25">
      <c r="A13" t="s">
        <v>85</v>
      </c>
      <c r="B13" s="18">
        <v>33</v>
      </c>
      <c r="C13" s="4"/>
      <c r="N13" s="72"/>
      <c r="O13" t="s">
        <v>205</v>
      </c>
      <c r="P13" t="s">
        <v>207</v>
      </c>
    </row>
    <row r="14" spans="14:16" ht="14.25">
      <c r="N14" t="s">
        <v>10</v>
      </c>
      <c r="O14">
        <f>PGSC!H33</f>
        <v>0.09948</v>
      </c>
      <c r="P14">
        <f>PGSC!J33</f>
        <v>0.09698999999999999</v>
      </c>
    </row>
    <row r="15" spans="15:16" ht="14.25">
      <c r="O15" t="s">
        <v>206</v>
      </c>
      <c r="P15" t="s">
        <v>208</v>
      </c>
    </row>
    <row r="16" spans="14:16" ht="14.25">
      <c r="N16" t="s">
        <v>10</v>
      </c>
      <c r="O16">
        <f>PGSC!I33</f>
        <v>0.10021999999999999</v>
      </c>
      <c r="P16">
        <f>PGSC!K33</f>
        <v>0.09746999999999999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9"/>
  <sheetViews>
    <sheetView zoomScalePageLayoutView="0" workbookViewId="0" topLeftCell="M1">
      <selection activeCell="P13" sqref="P13"/>
    </sheetView>
  </sheetViews>
  <sheetFormatPr defaultColWidth="9.140625" defaultRowHeight="15"/>
  <cols>
    <col min="1" max="1" width="13.00390625" style="0" customWidth="1"/>
    <col min="2" max="2" width="11.57421875" style="0" customWidth="1"/>
    <col min="14" max="14" width="12.8515625" style="0" customWidth="1"/>
    <col min="15" max="15" width="13.28125" style="0" customWidth="1"/>
    <col min="19" max="19" width="10.7109375" style="0" customWidth="1"/>
    <col min="20" max="20" width="9.7109375" style="0" bestFit="1" customWidth="1"/>
    <col min="21" max="21" width="10.28125" style="0" customWidth="1"/>
    <col min="22" max="22" width="9.7109375" style="0" bestFit="1" customWidth="1"/>
  </cols>
  <sheetData>
    <row r="1" spans="1:8" ht="16.5">
      <c r="A1" t="s">
        <v>81</v>
      </c>
      <c r="H1" s="11"/>
    </row>
    <row r="2" spans="2:24" ht="17.25" thickBot="1">
      <c r="B2" s="27" t="s">
        <v>61</v>
      </c>
      <c r="C2" s="27" t="s">
        <v>62</v>
      </c>
      <c r="D2" s="27" t="s">
        <v>63</v>
      </c>
      <c r="E2" s="27" t="s">
        <v>64</v>
      </c>
      <c r="F2" s="27" t="s">
        <v>65</v>
      </c>
      <c r="G2" s="27" t="s">
        <v>66</v>
      </c>
      <c r="H2" s="26" t="s">
        <v>67</v>
      </c>
      <c r="I2" s="27" t="s">
        <v>68</v>
      </c>
      <c r="J2" s="27" t="s">
        <v>69</v>
      </c>
      <c r="K2" s="27" t="s">
        <v>70</v>
      </c>
      <c r="L2" s="27" t="s">
        <v>71</v>
      </c>
      <c r="M2" s="27" t="s">
        <v>72</v>
      </c>
      <c r="N2" s="28" t="s">
        <v>84</v>
      </c>
      <c r="P2" s="2" t="s">
        <v>28</v>
      </c>
      <c r="Q2" s="2" t="s">
        <v>29</v>
      </c>
      <c r="R2" s="2" t="s">
        <v>30</v>
      </c>
      <c r="S2" s="2" t="s">
        <v>116</v>
      </c>
      <c r="T2" s="2" t="s">
        <v>117</v>
      </c>
      <c r="U2" s="2" t="s">
        <v>115</v>
      </c>
      <c r="V2" s="2" t="s">
        <v>118</v>
      </c>
      <c r="W2" s="2" t="s">
        <v>119</v>
      </c>
      <c r="X2" s="2" t="s">
        <v>120</v>
      </c>
    </row>
    <row r="3" spans="2:24" ht="17.25" thickTop="1">
      <c r="B3" s="70">
        <v>14.9</v>
      </c>
      <c r="C3" s="70">
        <v>12.5</v>
      </c>
      <c r="D3" s="70">
        <v>10.1</v>
      </c>
      <c r="E3" s="70">
        <v>8.3</v>
      </c>
      <c r="F3" s="70">
        <v>4.4</v>
      </c>
      <c r="G3" s="70">
        <v>3.1</v>
      </c>
      <c r="H3" s="71">
        <v>2</v>
      </c>
      <c r="I3" s="70">
        <v>1.8</v>
      </c>
      <c r="J3" s="70">
        <v>2</v>
      </c>
      <c r="K3" s="70">
        <v>3.1</v>
      </c>
      <c r="L3" s="70">
        <v>6.3</v>
      </c>
      <c r="M3" s="70">
        <v>11.5</v>
      </c>
      <c r="N3" s="8">
        <f>SUM(B3:M3)</f>
        <v>80</v>
      </c>
      <c r="O3" t="s">
        <v>121</v>
      </c>
      <c r="P3" s="2">
        <v>45</v>
      </c>
      <c r="Q3" s="2">
        <v>155</v>
      </c>
      <c r="R3" s="2">
        <v>200</v>
      </c>
      <c r="S3" s="6">
        <f>S10</f>
        <v>9.558769999999999</v>
      </c>
      <c r="T3" s="6">
        <f>S11</f>
        <v>8.99837</v>
      </c>
      <c r="U3" s="6">
        <f>S12</f>
        <v>8.445139999999999</v>
      </c>
      <c r="V3" s="6">
        <f>S5</f>
        <v>8.44999</v>
      </c>
      <c r="W3">
        <f>S6</f>
        <v>7.889849999999999</v>
      </c>
      <c r="X3">
        <f>S7</f>
        <v>7.33662</v>
      </c>
    </row>
    <row r="4" spans="2:18" ht="14.25">
      <c r="B4">
        <f>B3/N3</f>
        <v>0.18625</v>
      </c>
      <c r="C4">
        <f>C3/N3</f>
        <v>0.15625</v>
      </c>
      <c r="D4">
        <f>D3/N3</f>
        <v>0.12625</v>
      </c>
      <c r="E4">
        <f>E3/N3</f>
        <v>0.10375000000000001</v>
      </c>
      <c r="F4">
        <f>F3/N3</f>
        <v>0.05500000000000001</v>
      </c>
      <c r="G4">
        <f>G3/N3</f>
        <v>0.03875</v>
      </c>
      <c r="H4">
        <f>H3/N3</f>
        <v>0.025</v>
      </c>
      <c r="I4">
        <f>I3/N3</f>
        <v>0.0225</v>
      </c>
      <c r="J4">
        <f>J3/N3</f>
        <v>0.025</v>
      </c>
      <c r="K4">
        <f>K3/N3</f>
        <v>0.03875</v>
      </c>
      <c r="L4">
        <f>L3/N3</f>
        <v>0.07875</v>
      </c>
      <c r="M4">
        <f>M3/N3</f>
        <v>0.14375</v>
      </c>
      <c r="O4" t="s">
        <v>2</v>
      </c>
      <c r="P4" t="s">
        <v>3</v>
      </c>
      <c r="Q4" t="s">
        <v>4</v>
      </c>
      <c r="R4" t="s">
        <v>5</v>
      </c>
    </row>
    <row r="5" spans="15:19" ht="14.25">
      <c r="O5" t="s">
        <v>6</v>
      </c>
      <c r="P5">
        <v>1.34999</v>
      </c>
      <c r="Q5">
        <v>0.45786</v>
      </c>
      <c r="R5">
        <v>6.54266</v>
      </c>
      <c r="S5">
        <f>SUM(P5:R5)+O14</f>
        <v>8.44999</v>
      </c>
    </row>
    <row r="6" spans="1:19" ht="15">
      <c r="A6" t="s">
        <v>49</v>
      </c>
      <c r="B6" s="10">
        <v>45000</v>
      </c>
      <c r="O6" t="s">
        <v>7</v>
      </c>
      <c r="P6">
        <v>0.79234</v>
      </c>
      <c r="Q6">
        <v>0.45786</v>
      </c>
      <c r="R6">
        <v>6.54266</v>
      </c>
      <c r="S6">
        <f>SUM(P6:R6)+P14</f>
        <v>7.889849999999999</v>
      </c>
    </row>
    <row r="7" spans="2:19" ht="17.25" thickBot="1">
      <c r="B7" s="27">
        <v>200801</v>
      </c>
      <c r="C7" s="27" t="s">
        <v>153</v>
      </c>
      <c r="D7" s="27" t="s">
        <v>154</v>
      </c>
      <c r="E7" s="27" t="s">
        <v>155</v>
      </c>
      <c r="F7" s="27" t="s">
        <v>156</v>
      </c>
      <c r="G7" s="27" t="s">
        <v>157</v>
      </c>
      <c r="H7" s="26" t="s">
        <v>146</v>
      </c>
      <c r="I7" s="27" t="s">
        <v>147</v>
      </c>
      <c r="J7" s="27" t="s">
        <v>148</v>
      </c>
      <c r="K7" s="27" t="s">
        <v>149</v>
      </c>
      <c r="L7" s="27" t="s">
        <v>150</v>
      </c>
      <c r="M7" s="27" t="s">
        <v>151</v>
      </c>
      <c r="O7" s="69" t="s">
        <v>8</v>
      </c>
      <c r="P7">
        <v>0.23911</v>
      </c>
      <c r="Q7">
        <v>0.45786</v>
      </c>
      <c r="R7">
        <v>6.54266</v>
      </c>
      <c r="S7">
        <f>SUM(P7:R7)+P14</f>
        <v>7.33662</v>
      </c>
    </row>
    <row r="8" spans="1:13" ht="14.25">
      <c r="A8" t="s">
        <v>82</v>
      </c>
      <c r="B8">
        <f>B6*B4</f>
        <v>8381.25</v>
      </c>
      <c r="C8">
        <f>B6*C4</f>
        <v>7031.25</v>
      </c>
      <c r="D8">
        <f>B6*D4</f>
        <v>5681.25</v>
      </c>
      <c r="E8">
        <f>B6*E4</f>
        <v>4668.75</v>
      </c>
      <c r="F8">
        <f>F4*B6</f>
        <v>2475.0000000000005</v>
      </c>
      <c r="G8">
        <f>G4*B6</f>
        <v>1743.75</v>
      </c>
      <c r="H8">
        <f>H4*B6</f>
        <v>1125</v>
      </c>
      <c r="I8">
        <f>I4*B6</f>
        <v>1012.5</v>
      </c>
      <c r="J8">
        <f>J4*B6</f>
        <v>1125</v>
      </c>
      <c r="K8">
        <f>K4*B6</f>
        <v>1743.75</v>
      </c>
      <c r="L8">
        <f>L4*B6</f>
        <v>3543.75</v>
      </c>
      <c r="M8">
        <f>M4*B6</f>
        <v>6468.749999999999</v>
      </c>
    </row>
    <row r="9" spans="1:18" ht="14.25">
      <c r="A9" t="s">
        <v>47</v>
      </c>
      <c r="B9" s="4">
        <f>MIN(B8,lgscblk1)*lpgscw1</f>
        <v>430.14464999999996</v>
      </c>
      <c r="C9" s="4">
        <f>MIN(C8,lgscblk1)*lpgscw1</f>
        <v>430.14464999999996</v>
      </c>
      <c r="D9" s="4">
        <f>MIN(D8,lgscblk1)*lpgscw1</f>
        <v>430.14464999999996</v>
      </c>
      <c r="E9">
        <f aca="true" t="shared" si="0" ref="E9:K9">MIN(E8,lgscblk1)*lgscs1</f>
        <v>380.24955</v>
      </c>
      <c r="F9">
        <f t="shared" si="0"/>
        <v>380.24955</v>
      </c>
      <c r="G9">
        <f t="shared" si="0"/>
        <v>380.24955</v>
      </c>
      <c r="H9">
        <f t="shared" si="0"/>
        <v>380.24955</v>
      </c>
      <c r="I9">
        <f t="shared" si="0"/>
        <v>380.24955</v>
      </c>
      <c r="J9">
        <f t="shared" si="0"/>
        <v>380.24955</v>
      </c>
      <c r="K9">
        <f t="shared" si="0"/>
        <v>380.24955</v>
      </c>
      <c r="L9" s="4">
        <f>MIN(L8,lgscblk1)*lpgscw1</f>
        <v>430.14464999999996</v>
      </c>
      <c r="M9" s="4">
        <f>MIN(M8,lgscblk1)*lpgscw1</f>
        <v>430.14464999999996</v>
      </c>
      <c r="O9" t="s">
        <v>9</v>
      </c>
      <c r="P9" t="s">
        <v>3</v>
      </c>
      <c r="Q9" t="s">
        <v>4</v>
      </c>
      <c r="R9" t="s">
        <v>5</v>
      </c>
    </row>
    <row r="10" spans="1:19" ht="14.25">
      <c r="A10" t="s">
        <v>48</v>
      </c>
      <c r="B10">
        <f>MIN(MAX(0,B8-lgscblk1),lgscblk2)*lgscw2</f>
        <v>1394.7473499999999</v>
      </c>
      <c r="C10">
        <f>MIN(MAX(0,C8-lgscblk1),lgscblk2)*lgscw2</f>
        <v>1394.7473499999999</v>
      </c>
      <c r="D10">
        <f>MIN(MAX(0,D8-lgscblk1),lgscblk2)*lgscw2</f>
        <v>1394.7473499999999</v>
      </c>
      <c r="E10">
        <f aca="true" t="shared" si="1" ref="E10:K10">MIN(MAX(0,E8-lgscblk1),lgscblk2)*lgscs2</f>
        <v>1222.9267499999999</v>
      </c>
      <c r="F10">
        <f t="shared" si="1"/>
        <v>1222.9267499999999</v>
      </c>
      <c r="G10">
        <f t="shared" si="1"/>
        <v>1222.9267499999999</v>
      </c>
      <c r="H10">
        <f t="shared" si="1"/>
        <v>1222.9267499999999</v>
      </c>
      <c r="I10">
        <f t="shared" si="1"/>
        <v>1222.9267499999999</v>
      </c>
      <c r="J10">
        <f t="shared" si="1"/>
        <v>1222.9267499999999</v>
      </c>
      <c r="K10">
        <f t="shared" si="1"/>
        <v>1222.9267499999999</v>
      </c>
      <c r="L10">
        <f>MIN(MAX(0,L8-lgscblk1),lgscblk2)*lgscw2</f>
        <v>1394.7473499999999</v>
      </c>
      <c r="M10">
        <f>MIN(MAX(0,M8-lgscblk1),lgscblk2)*lgscw2</f>
        <v>1394.7473499999999</v>
      </c>
      <c r="O10" t="s">
        <v>6</v>
      </c>
      <c r="P10">
        <v>1.94072</v>
      </c>
      <c r="Q10">
        <v>0.97517</v>
      </c>
      <c r="R10">
        <v>6.54266</v>
      </c>
      <c r="S10">
        <f>SUM(P10:R10)+O16</f>
        <v>9.558769999999999</v>
      </c>
    </row>
    <row r="11" spans="1:19" ht="14.25">
      <c r="A11" t="s">
        <v>39</v>
      </c>
      <c r="B11" s="73">
        <f>MAX(0,(B8-lgscblk1-lgscblk2))*lpgscw3</f>
        <v>69091.801625</v>
      </c>
      <c r="C11" s="73">
        <f>MAX(0,(C8-lgscblk1-lgscblk2))*lpgscw3</f>
        <v>57690.86262499999</v>
      </c>
      <c r="D11" s="73">
        <f>MAX(0,(D8-lgscblk1-lgscblk2))*lpgscw3</f>
        <v>46289.92362499999</v>
      </c>
      <c r="E11" s="73">
        <f aca="true" t="shared" si="2" ref="E11:K11">MAX(0,(E8-lgscblk1-lgscblk2))*lpgscs3</f>
        <v>32785.520625</v>
      </c>
      <c r="F11" s="73">
        <f t="shared" si="2"/>
        <v>16690.810500000003</v>
      </c>
      <c r="G11" s="73">
        <f t="shared" si="2"/>
        <v>11325.907125</v>
      </c>
      <c r="H11" s="73">
        <f t="shared" si="2"/>
        <v>6786.3735</v>
      </c>
      <c r="I11" s="73">
        <f t="shared" si="2"/>
        <v>5961.00375</v>
      </c>
      <c r="J11" s="73">
        <f t="shared" si="2"/>
        <v>6786.3735</v>
      </c>
      <c r="K11" s="73">
        <f t="shared" si="2"/>
        <v>11325.907125</v>
      </c>
      <c r="L11" s="73">
        <f>MAX(0,(L8-lgscblk1-lgscblk2))*lpgscw3</f>
        <v>28238.436874999996</v>
      </c>
      <c r="M11" s="73">
        <f>MAX(0,(M8-lgscblk1-lgscblk2))*lpgscw3</f>
        <v>52940.47137499999</v>
      </c>
      <c r="N11" t="s">
        <v>73</v>
      </c>
      <c r="O11" t="s">
        <v>7</v>
      </c>
      <c r="P11">
        <v>1.38307</v>
      </c>
      <c r="Q11">
        <v>0.97517</v>
      </c>
      <c r="R11">
        <v>6.54266</v>
      </c>
      <c r="S11">
        <f>SUM(P11:R11)+P16</f>
        <v>8.99837</v>
      </c>
    </row>
    <row r="12" spans="2:19" ht="15">
      <c r="B12" s="9">
        <f>SUM(B9:B11)+B13</f>
        <v>71299.69362499999</v>
      </c>
      <c r="C12" s="4">
        <f>SUM(C9:C11)+B13</f>
        <v>59898.75462499999</v>
      </c>
      <c r="D12" s="4">
        <f>SUM(D9:D11)+B13</f>
        <v>48497.81562499999</v>
      </c>
      <c r="E12" s="4">
        <f>SUM(E9:E11)+B13</f>
        <v>34771.696925</v>
      </c>
      <c r="F12" s="4">
        <f>SUM(F9:F11)+B13</f>
        <v>18676.986800000002</v>
      </c>
      <c r="G12" s="4">
        <f>SUM(G9:G11)+B13</f>
        <v>13312.083424999999</v>
      </c>
      <c r="H12" s="4">
        <f>SUM(H9:H11)+B13</f>
        <v>8772.549799999999</v>
      </c>
      <c r="I12" s="4">
        <f>SUM(I9:I11)+B13</f>
        <v>7947.18005</v>
      </c>
      <c r="J12" s="4">
        <f>SUM(J9:J11)+B13</f>
        <v>8772.549799999999</v>
      </c>
      <c r="K12" s="4">
        <f>SUM(K9:K11)+B13</f>
        <v>13312.083424999999</v>
      </c>
      <c r="L12" s="4">
        <f>SUM(L9:L11)+B13</f>
        <v>30446.328874999996</v>
      </c>
      <c r="M12" s="4">
        <f>SUM(M9:M11)+B13</f>
        <v>55148.363374999986</v>
      </c>
      <c r="N12" s="31">
        <f>SUM(B12:M12)</f>
        <v>370856.08635</v>
      </c>
      <c r="O12" t="s">
        <v>8</v>
      </c>
      <c r="P12">
        <v>0.82984</v>
      </c>
      <c r="Q12">
        <v>0.97517</v>
      </c>
      <c r="R12">
        <v>6.54266</v>
      </c>
      <c r="S12">
        <f>SUM(P12:R12)+P16</f>
        <v>8.445139999999999</v>
      </c>
    </row>
    <row r="13" spans="1:16" ht="14.25">
      <c r="A13" t="s">
        <v>85</v>
      </c>
      <c r="B13" s="18">
        <v>383</v>
      </c>
      <c r="C13" s="4"/>
      <c r="N13" s="72"/>
      <c r="O13" t="s">
        <v>205</v>
      </c>
      <c r="P13" t="s">
        <v>207</v>
      </c>
    </row>
    <row r="14" spans="14:16" ht="14.25">
      <c r="N14" t="s">
        <v>10</v>
      </c>
      <c r="O14">
        <v>0.09948</v>
      </c>
      <c r="P14">
        <v>0.09698999999999999</v>
      </c>
    </row>
    <row r="15" spans="15:16" ht="14.25">
      <c r="O15" t="s">
        <v>206</v>
      </c>
      <c r="P15" t="s">
        <v>208</v>
      </c>
    </row>
    <row r="16" spans="14:16" ht="14.25">
      <c r="N16" t="s">
        <v>10</v>
      </c>
      <c r="O16">
        <v>0.10021999999999999</v>
      </c>
      <c r="P16">
        <v>0.09746999999999999</v>
      </c>
    </row>
    <row r="19" ht="14.25">
      <c r="B19">
        <v>365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00816</dc:creator>
  <cp:keywords/>
  <dc:description/>
  <cp:lastModifiedBy>sbintz</cp:lastModifiedBy>
  <cp:lastPrinted>2008-09-22T20:39:25Z</cp:lastPrinted>
  <dcterms:created xsi:type="dcterms:W3CDTF">2008-09-02T15:31:02Z</dcterms:created>
  <dcterms:modified xsi:type="dcterms:W3CDTF">2008-10-08T13:45:42Z</dcterms:modified>
  <cp:category>::ODMA\GRPWISE\ASPOSUPT.PUPSC.PUPSCDocs:59361.1</cp:category>
  <cp:version/>
  <cp:contentType/>
  <cp:contentStatus/>
</cp:coreProperties>
</file>