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45" windowWidth="41040" windowHeight="9525" activeTab="1"/>
  </bookViews>
  <sheets>
    <sheet name="Exhibit 1.3" sheetId="1" r:id="rId1"/>
    <sheet name="Exhibit 1.4" sheetId="2" r:id="rId2"/>
  </sheets>
  <externalReferences>
    <externalReference r:id="rId3"/>
  </externalReferences>
  <definedNames>
    <definedName name="_xlnm.Print_Area" localSheetId="0">'Exhibit 1.3'!$A$1:$O$72</definedName>
    <definedName name="_xlnm.Print_Area" localSheetId="1">'Exhibit 1.4'!$A$1:$J$26</definedName>
  </definedNames>
  <calcPr calcId="125725"/>
</workbook>
</file>

<file path=xl/calcChain.xml><?xml version="1.0" encoding="utf-8"?>
<calcChain xmlns="http://schemas.openxmlformats.org/spreadsheetml/2006/main">
  <c r="D36" i="2"/>
  <c r="G21" s="1"/>
  <c r="I21" s="1"/>
  <c r="C36"/>
  <c r="G19" s="1"/>
  <c r="I19" s="1"/>
  <c r="D24"/>
  <c r="E21"/>
  <c r="G20"/>
  <c r="I20" s="1"/>
  <c r="E20"/>
  <c r="E19"/>
  <c r="G18"/>
  <c r="I18" s="1"/>
  <c r="E18"/>
  <c r="E17"/>
  <c r="G16"/>
  <c r="I16" s="1"/>
  <c r="E16"/>
  <c r="E15"/>
  <c r="G14"/>
  <c r="I14" s="1"/>
  <c r="E14"/>
  <c r="E13"/>
  <c r="G12"/>
  <c r="I12" s="1"/>
  <c r="E12"/>
  <c r="E11"/>
  <c r="A11"/>
  <c r="A12" s="1"/>
  <c r="A13" s="1"/>
  <c r="A14" s="1"/>
  <c r="A15" s="1"/>
  <c r="A16" s="1"/>
  <c r="A17" s="1"/>
  <c r="A18" s="1"/>
  <c r="A19" s="1"/>
  <c r="A20" s="1"/>
  <c r="A21" s="1"/>
  <c r="A24" s="1"/>
  <c r="E10"/>
  <c r="E8"/>
  <c r="G69" i="1"/>
  <c r="K68"/>
  <c r="I68"/>
  <c r="I69" s="1"/>
  <c r="K62"/>
  <c r="I61"/>
  <c r="I60"/>
  <c r="I59"/>
  <c r="I58"/>
  <c r="I57"/>
  <c r="K51"/>
  <c r="G51"/>
  <c r="K50"/>
  <c r="I50"/>
  <c r="I49"/>
  <c r="I48"/>
  <c r="I47"/>
  <c r="K41"/>
  <c r="G41"/>
  <c r="I40"/>
  <c r="I39"/>
  <c r="I38"/>
  <c r="K32"/>
  <c r="G32"/>
  <c r="I31"/>
  <c r="E31"/>
  <c r="D31"/>
  <c r="I30"/>
  <c r="E30"/>
  <c r="D30"/>
  <c r="I29"/>
  <c r="E29"/>
  <c r="D29"/>
  <c r="I27"/>
  <c r="I26"/>
  <c r="I25"/>
  <c r="K19"/>
  <c r="I19"/>
  <c r="K12"/>
  <c r="G12"/>
  <c r="I11"/>
  <c r="E11"/>
  <c r="D11"/>
  <c r="I10"/>
  <c r="E10"/>
  <c r="D10"/>
  <c r="I8"/>
  <c r="A8"/>
  <c r="A10" s="1"/>
  <c r="A11" s="1"/>
  <c r="A12" s="1"/>
  <c r="A13" s="1"/>
  <c r="A14" s="1"/>
  <c r="A19" s="1"/>
  <c r="A25" s="1"/>
  <c r="A26" s="1"/>
  <c r="A27" s="1"/>
  <c r="A29" s="1"/>
  <c r="A30" s="1"/>
  <c r="A31" s="1"/>
  <c r="A32" s="1"/>
  <c r="A38" s="1"/>
  <c r="A39" s="1"/>
  <c r="A40" s="1"/>
  <c r="A41" s="1"/>
  <c r="A47" s="1"/>
  <c r="A48" s="1"/>
  <c r="A49" s="1"/>
  <c r="A50" s="1"/>
  <c r="A51" s="1"/>
  <c r="A57" s="1"/>
  <c r="A58" s="1"/>
  <c r="A59" s="1"/>
  <c r="A60" s="1"/>
  <c r="A61" s="1"/>
  <c r="A62" s="1"/>
  <c r="A68" s="1"/>
  <c r="A69" s="1"/>
  <c r="A71" s="1"/>
  <c r="I7"/>
  <c r="I12" l="1"/>
  <c r="I14" s="1"/>
  <c r="I41"/>
  <c r="I62"/>
  <c r="G10" i="2"/>
  <c r="E24"/>
  <c r="G11"/>
  <c r="I11" s="1"/>
  <c r="G13"/>
  <c r="I13" s="1"/>
  <c r="G15"/>
  <c r="I15" s="1"/>
  <c r="G17"/>
  <c r="I17" s="1"/>
  <c r="L32" i="1"/>
  <c r="L25" s="1"/>
  <c r="M25" s="1"/>
  <c r="I32"/>
  <c r="I51"/>
  <c r="L51" s="1"/>
  <c r="L47" s="1"/>
  <c r="M47" s="1"/>
  <c r="L19"/>
  <c r="M19" s="1"/>
  <c r="O19" s="1"/>
  <c r="L41"/>
  <c r="L39" s="1"/>
  <c r="M39" s="1"/>
  <c r="K71"/>
  <c r="I10" i="2"/>
  <c r="I24" s="1"/>
  <c r="I26" s="1"/>
  <c r="L12" i="1"/>
  <c r="L30"/>
  <c r="M30" s="1"/>
  <c r="L29"/>
  <c r="M29" s="1"/>
  <c r="L49"/>
  <c r="M49" s="1"/>
  <c r="L62"/>
  <c r="L68"/>
  <c r="M68" s="1"/>
  <c r="O68" s="1"/>
  <c r="L48" l="1"/>
  <c r="M48" s="1"/>
  <c r="K48" s="1"/>
  <c r="L31"/>
  <c r="M31" s="1"/>
  <c r="G24" i="2"/>
  <c r="L27" i="1"/>
  <c r="M27" s="1"/>
  <c r="K27" s="1"/>
  <c r="L26"/>
  <c r="M26" s="1"/>
  <c r="O26" s="1"/>
  <c r="L38"/>
  <c r="M38" s="1"/>
  <c r="O38" s="1"/>
  <c r="L40"/>
  <c r="M40" s="1"/>
  <c r="O40" s="1"/>
  <c r="L61"/>
  <c r="M61" s="1"/>
  <c r="K61" s="1"/>
  <c r="L60"/>
  <c r="M60" s="1"/>
  <c r="L59"/>
  <c r="M59" s="1"/>
  <c r="L58"/>
  <c r="M58" s="1"/>
  <c r="L57"/>
  <c r="M57" s="1"/>
  <c r="O48"/>
  <c r="K29"/>
  <c r="O29"/>
  <c r="O25"/>
  <c r="K25"/>
  <c r="O30"/>
  <c r="K30"/>
  <c r="O47"/>
  <c r="K47"/>
  <c r="O49"/>
  <c r="K49"/>
  <c r="K39"/>
  <c r="O39"/>
  <c r="O27"/>
  <c r="K31"/>
  <c r="O31"/>
  <c r="K26"/>
  <c r="L11"/>
  <c r="M11" s="1"/>
  <c r="L10"/>
  <c r="M10" s="1"/>
  <c r="L8"/>
  <c r="M8" s="1"/>
  <c r="L7"/>
  <c r="M7" s="1"/>
  <c r="K38" l="1"/>
  <c r="K40"/>
  <c r="O8"/>
  <c r="K8"/>
  <c r="O58"/>
  <c r="K58"/>
  <c r="O60"/>
  <c r="K60"/>
  <c r="O11"/>
  <c r="K11"/>
  <c r="K7"/>
  <c r="O7"/>
  <c r="K10"/>
  <c r="O10"/>
  <c r="O57"/>
  <c r="K57"/>
  <c r="O59"/>
  <c r="K59"/>
</calcChain>
</file>

<file path=xl/sharedStrings.xml><?xml version="1.0" encoding="utf-8"?>
<sst xmlns="http://schemas.openxmlformats.org/spreadsheetml/2006/main" count="221" uniqueCount="89">
  <si>
    <t>Rate Calculation</t>
  </si>
  <si>
    <t>A</t>
  </si>
  <si>
    <t>B</t>
  </si>
  <si>
    <t>C</t>
  </si>
  <si>
    <t xml:space="preserve">D </t>
  </si>
  <si>
    <t>E</t>
  </si>
  <si>
    <t>F</t>
  </si>
  <si>
    <t>G</t>
  </si>
  <si>
    <t>H</t>
  </si>
  <si>
    <t>I</t>
  </si>
  <si>
    <t>J</t>
  </si>
  <si>
    <t>K</t>
  </si>
  <si>
    <t>Utah GS</t>
  </si>
  <si>
    <t xml:space="preserve">Current Rates </t>
  </si>
  <si>
    <t>Infrastructure</t>
  </si>
  <si>
    <t>Current Rates</t>
  </si>
  <si>
    <t>(I - J)</t>
  </si>
  <si>
    <t>Replacement</t>
  </si>
  <si>
    <t xml:space="preserve">Percentage </t>
  </si>
  <si>
    <t>Difference</t>
  </si>
  <si>
    <t>Volumetric Rates</t>
  </si>
  <si>
    <t>Dth</t>
  </si>
  <si>
    <t>Curr. Rate</t>
  </si>
  <si>
    <t>Revenues</t>
  </si>
  <si>
    <t>Revenue</t>
  </si>
  <si>
    <t>Increase</t>
  </si>
  <si>
    <t>Rate</t>
  </si>
  <si>
    <t>Winter</t>
  </si>
  <si>
    <t>Block 1</t>
  </si>
  <si>
    <t>First</t>
  </si>
  <si>
    <t>Block 2</t>
  </si>
  <si>
    <t>Next</t>
  </si>
  <si>
    <t>Summer</t>
  </si>
  <si>
    <t>Total Volumetric Charges</t>
  </si>
  <si>
    <t>Fixed Charges</t>
  </si>
  <si>
    <t>Utah NGV</t>
  </si>
  <si>
    <t>Percentage</t>
  </si>
  <si>
    <t>All Usage</t>
  </si>
  <si>
    <t>All Over</t>
  </si>
  <si>
    <t>Utah FS</t>
  </si>
  <si>
    <t>Block 3</t>
  </si>
  <si>
    <t>Total Winter</t>
  </si>
  <si>
    <t>Utah IS</t>
  </si>
  <si>
    <t>Utah FT-1</t>
  </si>
  <si>
    <t>Block 4</t>
  </si>
  <si>
    <t>Utah TS</t>
  </si>
  <si>
    <t xml:space="preserve">Annual Demand Charges per Dth of </t>
  </si>
  <si>
    <t>Contract Firm Transportation</t>
  </si>
  <si>
    <t>Utah MT</t>
  </si>
  <si>
    <t>Total</t>
  </si>
  <si>
    <t>EFFECT ON GS TYPICAL CUSTOMER</t>
  </si>
  <si>
    <t>80 DTHS -  ANNUAL CONSUMPTION</t>
  </si>
  <si>
    <t>(A)</t>
  </si>
  <si>
    <t>(B)</t>
  </si>
  <si>
    <t xml:space="preserve">(C)   </t>
  </si>
  <si>
    <t xml:space="preserve">    (D)</t>
  </si>
  <si>
    <t xml:space="preserve">   (E)</t>
  </si>
  <si>
    <t xml:space="preserve">    (F)</t>
  </si>
  <si>
    <t xml:space="preserve">   Billed at Current</t>
  </si>
  <si>
    <t xml:space="preserve">   Billed at</t>
  </si>
  <si>
    <t>Usage</t>
  </si>
  <si>
    <t xml:space="preserve">   Rate Effective</t>
  </si>
  <si>
    <t xml:space="preserve">   Proposed</t>
  </si>
  <si>
    <t>Schedule</t>
  </si>
  <si>
    <t>Month</t>
  </si>
  <si>
    <t>In Dth</t>
  </si>
  <si>
    <t xml:space="preserve">   Rate</t>
  </si>
  <si>
    <t>Change</t>
  </si>
  <si>
    <t>GS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</si>
  <si>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</si>
  <si>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</si>
  <si>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</si>
  <si>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</si>
  <si>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</si>
  <si>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</si>
  <si>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</si>
  <si>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</si>
  <si>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</si>
  <si>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</si>
  <si>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</si>
  <si>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</si>
  <si>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</t>
  </si>
  <si>
    <t>Percent Change:</t>
  </si>
  <si>
    <t>%</t>
  </si>
  <si>
    <t>BSF</t>
  </si>
  <si>
    <t>1st Block</t>
  </si>
  <si>
    <t>Proposed</t>
  </si>
  <si>
    <t>Current</t>
  </si>
  <si>
    <t>6/1/2011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</si>
</sst>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#,##0.00000_);\(#,##0.00000\)"/>
    <numFmt numFmtId="166" formatCode="0.0000000_)"/>
    <numFmt numFmtId="167" formatCode="#,##0.00000"/>
    <numFmt numFmtId="168" formatCode="&quot;$&quot;#,##0.00000_);\(&quot;$&quot;#,##0.00000\)"/>
    <numFmt numFmtId="169" formatCode="#,##0.0"/>
    <numFmt numFmtId="170" formatCode="#,##0.0_);\(#,##0.0\)"/>
    <numFmt numFmtId="171" formatCode="0.00_);\(0.00\)"/>
    <numFmt numFmtId="172" formatCode="[$-409]d\-mmm\-yy;@"/>
    <numFmt numFmtId="173" formatCode="0.00000"/>
  </numFmts>
  <fonts count="11"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LinePrinter"/>
    </font>
    <font>
      <b/>
      <sz val="10"/>
      <name val="MS Sans Serif"/>
      <family val="2"/>
    </font>
    <font>
      <b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">
    <xf numFmtId="164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Protection="0"/>
    <xf numFmtId="44" fontId="1" fillId="0" borderId="0" applyFont="0" applyFill="0" applyBorder="0" applyAlignment="0" applyProtection="0"/>
    <xf numFmtId="0" fontId="1" fillId="0" borderId="0"/>
    <xf numFmtId="0" fontId="8" fillId="0" borderId="0"/>
    <xf numFmtId="164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164" fontId="9" fillId="0" borderId="1">
      <alignment horizontal="center"/>
    </xf>
    <xf numFmtId="3" fontId="4" fillId="0" borderId="0" applyFont="0" applyFill="0" applyBorder="0" applyAlignment="0" applyProtection="0"/>
    <xf numFmtId="164" fontId="4" fillId="2" borderId="0" applyNumberFormat="0" applyFont="0" applyBorder="0" applyAlignment="0" applyProtection="0"/>
  </cellStyleXfs>
  <cellXfs count="138">
    <xf numFmtId="164" fontId="0" fillId="0" borderId="0" xfId="0"/>
    <xf numFmtId="0" fontId="2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/>
    <xf numFmtId="3" fontId="1" fillId="0" borderId="0" xfId="1" applyNumberFormat="1" applyFont="1" applyFill="1" applyAlignment="1">
      <alignment horizontal="center"/>
    </xf>
    <xf numFmtId="0" fontId="1" fillId="0" borderId="0" xfId="1" applyFont="1" applyFill="1" applyBorder="1" applyAlignment="1"/>
    <xf numFmtId="3" fontId="2" fillId="0" borderId="0" xfId="1" applyNumberFormat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quotePrefix="1" applyFont="1" applyFill="1" applyBorder="1" applyAlignment="1" applyProtection="1">
      <alignment horizontal="left"/>
    </xf>
    <xf numFmtId="0" fontId="1" fillId="0" borderId="0" xfId="1" applyFont="1" applyFill="1" applyBorder="1" applyAlignment="1" applyProtection="1"/>
    <xf numFmtId="3" fontId="1" fillId="0" borderId="0" xfId="1" applyNumberFormat="1" applyFont="1" applyFill="1" applyBorder="1" applyAlignment="1" applyProtection="1">
      <alignment horizontal="center"/>
    </xf>
    <xf numFmtId="0" fontId="2" fillId="0" borderId="0" xfId="1" applyFont="1" applyFill="1" applyAlignment="1" applyProtection="1">
      <alignment horizontal="center"/>
    </xf>
    <xf numFmtId="0" fontId="2" fillId="0" borderId="0" xfId="1" applyFont="1" applyFill="1" applyAlignment="1" applyProtection="1"/>
    <xf numFmtId="0" fontId="2" fillId="0" borderId="1" xfId="1" applyFont="1" applyFill="1" applyBorder="1" applyAlignment="1"/>
    <xf numFmtId="0" fontId="2" fillId="0" borderId="1" xfId="1" applyFont="1" applyFill="1" applyBorder="1" applyAlignment="1" applyProtection="1"/>
    <xf numFmtId="3" fontId="2" fillId="0" borderId="1" xfId="1" applyNumberFormat="1" applyFont="1" applyFill="1" applyBorder="1" applyAlignment="1" applyProtection="1">
      <alignment horizontal="center"/>
    </xf>
    <xf numFmtId="3" fontId="2" fillId="0" borderId="0" xfId="1" applyNumberFormat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1" xfId="1" quotePrefix="1" applyFont="1" applyFill="1" applyBorder="1" applyAlignment="1" applyProtection="1">
      <alignment horizontal="center"/>
    </xf>
    <xf numFmtId="0" fontId="5" fillId="0" borderId="0" xfId="1" quotePrefix="1" applyFont="1" applyFill="1" applyBorder="1" applyAlignment="1" applyProtection="1">
      <alignment horizontal="left"/>
    </xf>
    <xf numFmtId="37" fontId="5" fillId="0" borderId="0" xfId="1" quotePrefix="1" applyNumberFormat="1" applyFont="1" applyFill="1" applyBorder="1" applyAlignment="1" applyProtection="1">
      <alignment horizontal="center"/>
    </xf>
    <xf numFmtId="37" fontId="5" fillId="0" borderId="0" xfId="1" applyNumberFormat="1" applyFont="1" applyFill="1" applyAlignment="1"/>
    <xf numFmtId="165" fontId="5" fillId="0" borderId="0" xfId="1" applyNumberFormat="1" applyFont="1" applyFill="1" applyAlignment="1"/>
    <xf numFmtId="37" fontId="5" fillId="0" borderId="0" xfId="1" applyNumberFormat="1" applyFont="1" applyFill="1" applyAlignment="1" applyProtection="1"/>
    <xf numFmtId="4" fontId="1" fillId="0" borderId="0" xfId="1" applyNumberFormat="1" applyFont="1" applyFill="1" applyBorder="1" applyAlignment="1" applyProtection="1"/>
    <xf numFmtId="10" fontId="5" fillId="0" borderId="0" xfId="2" applyNumberFormat="1" applyFont="1" applyFill="1" applyAlignment="1"/>
    <xf numFmtId="165" fontId="5" fillId="0" borderId="0" xfId="1" applyNumberFormat="1" applyFont="1" applyFill="1" applyAlignment="1" applyProtection="1"/>
    <xf numFmtId="166" fontId="1" fillId="0" borderId="0" xfId="1" applyNumberFormat="1" applyFont="1" applyFill="1" applyBorder="1" applyAlignment="1" applyProtection="1"/>
    <xf numFmtId="0" fontId="5" fillId="0" borderId="0" xfId="1" applyFont="1" applyFill="1" applyAlignment="1"/>
    <xf numFmtId="3" fontId="5" fillId="0" borderId="0" xfId="1" quotePrefix="1" applyNumberFormat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6" fillId="0" borderId="0" xfId="1" quotePrefix="1" applyFont="1" applyFill="1" applyBorder="1" applyAlignment="1" applyProtection="1">
      <alignment horizontal="left"/>
    </xf>
    <xf numFmtId="37" fontId="5" fillId="0" borderId="2" xfId="1" applyNumberFormat="1" applyFont="1" applyFill="1" applyBorder="1" applyAlignment="1"/>
    <xf numFmtId="165" fontId="5" fillId="0" borderId="2" xfId="1" applyNumberFormat="1" applyFont="1" applyFill="1" applyBorder="1" applyAlignment="1"/>
    <xf numFmtId="167" fontId="1" fillId="0" borderId="0" xfId="1" applyNumberFormat="1" applyFont="1" applyFill="1" applyBorder="1" applyAlignment="1" applyProtection="1"/>
    <xf numFmtId="10" fontId="5" fillId="0" borderId="2" xfId="2" applyNumberFormat="1" applyFont="1" applyFill="1" applyBorder="1" applyAlignment="1"/>
    <xf numFmtId="0" fontId="1" fillId="0" borderId="0" xfId="1" quotePrefix="1" applyFont="1" applyFill="1" applyBorder="1" applyAlignment="1" applyProtection="1">
      <alignment horizontal="left"/>
    </xf>
    <xf numFmtId="3" fontId="1" fillId="0" borderId="0" xfId="1" quotePrefix="1" applyNumberFormat="1" applyFont="1" applyFill="1" applyBorder="1" applyAlignment="1" applyProtection="1">
      <alignment horizontal="center"/>
    </xf>
    <xf numFmtId="37" fontId="1" fillId="0" borderId="0" xfId="1" applyNumberFormat="1" applyFont="1" applyFill="1" applyAlignment="1"/>
    <xf numFmtId="168" fontId="1" fillId="0" borderId="0" xfId="1" applyNumberFormat="1" applyFont="1" applyFill="1" applyAlignment="1"/>
    <xf numFmtId="37" fontId="1" fillId="0" borderId="0" xfId="1" applyNumberFormat="1" applyFont="1" applyFill="1" applyAlignment="1" applyProtection="1"/>
    <xf numFmtId="0" fontId="1" fillId="0" borderId="1" xfId="1" applyFont="1" applyFill="1" applyBorder="1" applyAlignment="1" applyProtection="1"/>
    <xf numFmtId="3" fontId="1" fillId="0" borderId="1" xfId="1" applyNumberFormat="1" applyFont="1" applyFill="1" applyBorder="1" applyAlignment="1" applyProtection="1">
      <alignment horizontal="center"/>
    </xf>
    <xf numFmtId="37" fontId="1" fillId="0" borderId="1" xfId="1" applyNumberFormat="1" applyFont="1" applyFill="1" applyBorder="1" applyAlignment="1" applyProtection="1"/>
    <xf numFmtId="37" fontId="1" fillId="0" borderId="0" xfId="1" applyNumberFormat="1" applyFont="1" applyFill="1" applyBorder="1" applyAlignment="1" applyProtection="1"/>
    <xf numFmtId="0" fontId="5" fillId="0" borderId="0" xfId="1" applyFont="1" applyFill="1" applyBorder="1" applyAlignment="1" applyProtection="1">
      <alignment horizontal="left"/>
    </xf>
    <xf numFmtId="10" fontId="5" fillId="0" borderId="3" xfId="2" applyNumberFormat="1" applyFont="1" applyFill="1" applyBorder="1" applyAlignment="1"/>
    <xf numFmtId="10" fontId="5" fillId="0" borderId="0" xfId="2" applyNumberFormat="1" applyFont="1" applyFill="1" applyBorder="1" applyAlignment="1"/>
    <xf numFmtId="5" fontId="5" fillId="0" borderId="1" xfId="1" applyNumberFormat="1" applyFont="1" applyFill="1" applyBorder="1" applyAlignment="1" applyProtection="1"/>
    <xf numFmtId="5" fontId="1" fillId="0" borderId="1" xfId="1" applyNumberFormat="1" applyFont="1" applyFill="1" applyBorder="1" applyAlignment="1" applyProtection="1"/>
    <xf numFmtId="5" fontId="5" fillId="0" borderId="0" xfId="1" applyNumberFormat="1" applyFont="1" applyFill="1" applyBorder="1" applyAlignment="1" applyProtection="1"/>
    <xf numFmtId="5" fontId="1" fillId="0" borderId="0" xfId="1" applyNumberFormat="1" applyFont="1" applyFill="1" applyBorder="1" applyAlignment="1" applyProtection="1"/>
    <xf numFmtId="10" fontId="5" fillId="0" borderId="0" xfId="2" applyNumberFormat="1" applyFont="1" applyFill="1" applyAlignment="1" applyProtection="1"/>
    <xf numFmtId="168" fontId="5" fillId="0" borderId="0" xfId="1" applyNumberFormat="1" applyFont="1" applyFill="1" applyAlignment="1"/>
    <xf numFmtId="37" fontId="5" fillId="0" borderId="3" xfId="1" applyNumberFormat="1" applyFont="1" applyFill="1" applyBorder="1" applyAlignment="1"/>
    <xf numFmtId="168" fontId="5" fillId="0" borderId="3" xfId="1" applyNumberFormat="1" applyFont="1" applyFill="1" applyBorder="1" applyAlignment="1"/>
    <xf numFmtId="37" fontId="5" fillId="0" borderId="0" xfId="1" applyNumberFormat="1" applyFont="1" applyFill="1" applyBorder="1" applyAlignment="1"/>
    <xf numFmtId="168" fontId="5" fillId="0" borderId="0" xfId="1" applyNumberFormat="1" applyFont="1" applyFill="1" applyBorder="1" applyAlignment="1"/>
    <xf numFmtId="37" fontId="5" fillId="0" borderId="0" xfId="1" applyNumberFormat="1" applyFont="1" applyFill="1" applyAlignment="1">
      <alignment horizontal="center"/>
    </xf>
    <xf numFmtId="37" fontId="5" fillId="0" borderId="0" xfId="1" applyNumberFormat="1" applyFont="1" applyFill="1" applyBorder="1" applyAlignment="1">
      <alignment horizontal="center"/>
    </xf>
    <xf numFmtId="0" fontId="7" fillId="0" borderId="1" xfId="1" applyFont="1" applyFill="1" applyBorder="1" applyAlignment="1" applyProtection="1"/>
    <xf numFmtId="0" fontId="1" fillId="0" borderId="1" xfId="1" quotePrefix="1" applyFont="1" applyFill="1" applyBorder="1" applyAlignment="1" applyProtection="1">
      <alignment horizontal="left"/>
    </xf>
    <xf numFmtId="3" fontId="1" fillId="0" borderId="1" xfId="1" quotePrefix="1" applyNumberFormat="1" applyFont="1" applyFill="1" applyBorder="1" applyAlignment="1" applyProtection="1">
      <alignment horizontal="center"/>
    </xf>
    <xf numFmtId="37" fontId="1" fillId="0" borderId="1" xfId="1" applyNumberFormat="1" applyFont="1" applyFill="1" applyBorder="1" applyAlignment="1"/>
    <xf numFmtId="168" fontId="1" fillId="0" borderId="1" xfId="1" applyNumberFormat="1" applyFont="1" applyFill="1" applyBorder="1" applyAlignment="1"/>
    <xf numFmtId="0" fontId="7" fillId="0" borderId="0" xfId="1" applyFont="1" applyFill="1" applyBorder="1" applyAlignment="1" applyProtection="1"/>
    <xf numFmtId="37" fontId="1" fillId="0" borderId="0" xfId="1" applyNumberFormat="1" applyFont="1" applyFill="1" applyBorder="1" applyAlignment="1"/>
    <xf numFmtId="168" fontId="1" fillId="0" borderId="0" xfId="1" applyNumberFormat="1" applyFont="1" applyFill="1" applyBorder="1" applyAlignment="1"/>
    <xf numFmtId="3" fontId="7" fillId="0" borderId="0" xfId="1" applyNumberFormat="1" applyFont="1" applyFill="1" applyBorder="1" applyAlignment="1" applyProtection="1">
      <alignment horizontal="center"/>
    </xf>
    <xf numFmtId="10" fontId="1" fillId="0" borderId="0" xfId="2" applyNumberFormat="1" applyFont="1" applyFill="1" applyBorder="1" applyAlignment="1" applyProtection="1"/>
    <xf numFmtId="165" fontId="5" fillId="0" borderId="0" xfId="1" applyNumberFormat="1" applyFont="1" applyFill="1" applyBorder="1" applyAlignment="1"/>
    <xf numFmtId="0" fontId="1" fillId="0" borderId="0" xfId="1" applyFont="1" applyFill="1" applyBorder="1" applyAlignment="1">
      <alignment horizontal="left"/>
    </xf>
    <xf numFmtId="37" fontId="5" fillId="0" borderId="4" xfId="1" applyNumberFormat="1" applyFont="1" applyFill="1" applyBorder="1" applyAlignment="1"/>
    <xf numFmtId="7" fontId="1" fillId="0" borderId="4" xfId="1" applyNumberFormat="1" applyFont="1" applyFill="1" applyBorder="1" applyAlignment="1" applyProtection="1"/>
    <xf numFmtId="10" fontId="1" fillId="0" borderId="4" xfId="2" applyNumberFormat="1" applyFont="1" applyFill="1" applyBorder="1" applyAlignment="1" applyProtection="1"/>
    <xf numFmtId="165" fontId="5" fillId="0" borderId="4" xfId="1" applyNumberFormat="1" applyFont="1" applyFill="1" applyBorder="1" applyAlignment="1"/>
    <xf numFmtId="7" fontId="1" fillId="0" borderId="0" xfId="1" applyNumberFormat="1" applyFont="1" applyFill="1" applyBorder="1" applyAlignment="1" applyProtection="1"/>
    <xf numFmtId="0" fontId="5" fillId="0" borderId="1" xfId="1" applyFont="1" applyFill="1" applyBorder="1" applyAlignment="1" applyProtection="1"/>
    <xf numFmtId="3" fontId="7" fillId="0" borderId="1" xfId="1" applyNumberFormat="1" applyFont="1" applyFill="1" applyBorder="1" applyAlignment="1" applyProtection="1">
      <alignment horizontal="center"/>
    </xf>
    <xf numFmtId="37" fontId="5" fillId="0" borderId="1" xfId="1" applyNumberFormat="1" applyFont="1" applyFill="1" applyBorder="1" applyAlignment="1"/>
    <xf numFmtId="7" fontId="1" fillId="0" borderId="1" xfId="1" applyNumberFormat="1" applyFont="1" applyFill="1" applyBorder="1" applyAlignment="1" applyProtection="1"/>
    <xf numFmtId="165" fontId="5" fillId="0" borderId="5" xfId="1" applyNumberFormat="1" applyFont="1" applyFill="1" applyBorder="1" applyAlignment="1"/>
    <xf numFmtId="3" fontId="5" fillId="0" borderId="5" xfId="1" quotePrefix="1" applyNumberFormat="1" applyFont="1" applyFill="1" applyBorder="1" applyAlignment="1" applyProtection="1">
      <alignment horizontal="center"/>
    </xf>
    <xf numFmtId="168" fontId="5" fillId="0" borderId="0" xfId="1" applyNumberFormat="1" applyFont="1" applyFill="1" applyBorder="1" applyAlignment="1">
      <alignment horizontal="center"/>
    </xf>
    <xf numFmtId="0" fontId="1" fillId="0" borderId="0" xfId="1" applyFont="1" applyFill="1" applyAlignment="1">
      <alignment horizontal="right"/>
    </xf>
    <xf numFmtId="5" fontId="2" fillId="0" borderId="6" xfId="1" applyNumberFormat="1" applyFont="1" applyFill="1" applyBorder="1" applyAlignment="1"/>
    <xf numFmtId="0" fontId="1" fillId="0" borderId="0" xfId="6" applyFont="1" applyFill="1" applyProtection="1"/>
    <xf numFmtId="0" fontId="2" fillId="0" borderId="0" xfId="6" applyFont="1" applyFill="1" applyAlignment="1" applyProtection="1">
      <alignment horizontal="center"/>
    </xf>
    <xf numFmtId="0" fontId="1" fillId="0" borderId="0" xfId="6" applyFont="1" applyFill="1" applyAlignment="1" applyProtection="1">
      <alignment horizontal="center"/>
    </xf>
    <xf numFmtId="0" fontId="1" fillId="0" borderId="0" xfId="6" quotePrefix="1" applyFont="1" applyFill="1" applyAlignment="1" applyProtection="1">
      <alignment horizontal="center"/>
    </xf>
    <xf numFmtId="0" fontId="1" fillId="0" borderId="0" xfId="6" quotePrefix="1" applyFont="1" applyFill="1" applyAlignment="1" applyProtection="1">
      <alignment horizontal="right"/>
    </xf>
    <xf numFmtId="0" fontId="2" fillId="0" borderId="0" xfId="6" applyFont="1" applyFill="1" applyProtection="1"/>
    <xf numFmtId="0" fontId="1" fillId="0" borderId="0" xfId="6" applyFont="1" applyFill="1" applyAlignment="1" applyProtection="1">
      <alignment vertical="center"/>
    </xf>
    <xf numFmtId="0" fontId="2" fillId="0" borderId="0" xfId="6" applyFont="1" applyFill="1" applyAlignment="1" applyProtection="1">
      <alignment horizontal="center" vertical="center"/>
    </xf>
    <xf numFmtId="0" fontId="2" fillId="0" borderId="0" xfId="6" quotePrefix="1" applyFont="1" applyFill="1" applyAlignment="1" applyProtection="1">
      <alignment horizontal="right" vertical="center"/>
    </xf>
    <xf numFmtId="0" fontId="2" fillId="0" borderId="0" xfId="6" applyFont="1" applyFill="1" applyAlignment="1" applyProtection="1">
      <alignment vertical="center"/>
    </xf>
    <xf numFmtId="0" fontId="1" fillId="0" borderId="0" xfId="6" applyFont="1" applyFill="1" applyAlignment="1" applyProtection="1">
      <alignment vertical="top"/>
    </xf>
    <xf numFmtId="0" fontId="2" fillId="0" borderId="1" xfId="6" applyFont="1" applyFill="1" applyBorder="1" applyAlignment="1" applyProtection="1">
      <alignment horizontal="center" vertical="top"/>
    </xf>
    <xf numFmtId="0" fontId="2" fillId="0" borderId="1" xfId="6" quotePrefix="1" applyFont="1" applyFill="1" applyBorder="1" applyAlignment="1" applyProtection="1">
      <alignment horizontal="right" vertical="top"/>
    </xf>
    <xf numFmtId="0" fontId="2" fillId="0" borderId="1" xfId="6" applyFont="1" applyFill="1" applyBorder="1" applyAlignment="1" applyProtection="1">
      <alignment horizontal="right" vertical="top"/>
    </xf>
    <xf numFmtId="169" fontId="5" fillId="0" borderId="0" xfId="5" applyNumberFormat="1" applyFont="1" applyAlignment="1" applyProtection="1">
      <alignment horizontal="right"/>
    </xf>
    <xf numFmtId="7" fontId="1" fillId="0" borderId="0" xfId="6" applyNumberFormat="1" applyFont="1" applyFill="1" applyAlignment="1" applyProtection="1">
      <alignment horizontal="right"/>
    </xf>
    <xf numFmtId="39" fontId="1" fillId="0" borderId="0" xfId="6" applyNumberFormat="1" applyFont="1" applyFill="1" applyAlignment="1" applyProtection="1">
      <alignment horizontal="right"/>
    </xf>
    <xf numFmtId="170" fontId="1" fillId="0" borderId="6" xfId="6" applyNumberFormat="1" applyFont="1" applyFill="1" applyBorder="1" applyAlignment="1" applyProtection="1">
      <alignment horizontal="center"/>
    </xf>
    <xf numFmtId="7" fontId="1" fillId="0" borderId="6" xfId="6" applyNumberFormat="1" applyFont="1" applyFill="1" applyBorder="1" applyAlignment="1" applyProtection="1">
      <alignment horizontal="center"/>
    </xf>
    <xf numFmtId="39" fontId="1" fillId="0" borderId="6" xfId="6" applyNumberFormat="1" applyFont="1" applyFill="1" applyBorder="1" applyAlignment="1" applyProtection="1">
      <alignment horizontal="center"/>
    </xf>
    <xf numFmtId="39" fontId="1" fillId="0" borderId="0" xfId="6" applyNumberFormat="1" applyFont="1" applyFill="1" applyBorder="1" applyAlignment="1" applyProtection="1">
      <alignment horizontal="center"/>
    </xf>
    <xf numFmtId="170" fontId="1" fillId="0" borderId="0" xfId="6" applyNumberFormat="1" applyFont="1" applyFill="1" applyAlignment="1" applyProtection="1">
      <alignment horizontal="center"/>
    </xf>
    <xf numFmtId="7" fontId="1" fillId="0" borderId="0" xfId="6" applyNumberFormat="1" applyFont="1" applyFill="1" applyAlignment="1" applyProtection="1">
      <alignment horizontal="center"/>
    </xf>
    <xf numFmtId="170" fontId="1" fillId="0" borderId="0" xfId="6" applyNumberFormat="1" applyFont="1" applyFill="1" applyAlignment="1">
      <alignment horizontal="center"/>
    </xf>
    <xf numFmtId="170" fontId="1" fillId="0" borderId="0" xfId="6" applyNumberFormat="1" applyFont="1" applyFill="1" applyAlignment="1" applyProtection="1">
      <alignment horizontal="right"/>
    </xf>
    <xf numFmtId="7" fontId="1" fillId="0" borderId="0" xfId="6" applyNumberFormat="1" applyFont="1" applyFill="1" applyProtection="1"/>
    <xf numFmtId="0" fontId="1" fillId="0" borderId="0" xfId="6" applyFont="1" applyFill="1" applyAlignment="1" applyProtection="1">
      <alignment horizontal="right"/>
    </xf>
    <xf numFmtId="171" fontId="1" fillId="0" borderId="0" xfId="2" applyNumberFormat="1" applyFont="1" applyFill="1" applyAlignment="1" applyProtection="1">
      <alignment horizontal="right"/>
    </xf>
    <xf numFmtId="0" fontId="1" fillId="0" borderId="0" xfId="6" quotePrefix="1" applyFont="1" applyFill="1" applyAlignment="1" applyProtection="1">
      <alignment horizontal="left"/>
    </xf>
    <xf numFmtId="172" fontId="1" fillId="0" borderId="0" xfId="5" applyNumberFormat="1" applyBorder="1"/>
    <xf numFmtId="0" fontId="1" fillId="0" borderId="0" xfId="5" applyBorder="1"/>
    <xf numFmtId="0" fontId="1" fillId="0" borderId="0" xfId="5" applyFont="1" applyAlignment="1">
      <alignment horizontal="center"/>
    </xf>
    <xf numFmtId="0" fontId="1" fillId="0" borderId="1" xfId="5" applyFont="1" applyBorder="1"/>
    <xf numFmtId="0" fontId="1" fillId="0" borderId="1" xfId="5" quotePrefix="1" applyFont="1" applyBorder="1" applyAlignment="1">
      <alignment horizontal="center"/>
    </xf>
    <xf numFmtId="0" fontId="1" fillId="0" borderId="0" xfId="5" applyFont="1" applyBorder="1"/>
    <xf numFmtId="2" fontId="1" fillId="0" borderId="0" xfId="5" applyNumberFormat="1" applyBorder="1"/>
    <xf numFmtId="173" fontId="1" fillId="0" borderId="0" xfId="5" applyNumberFormat="1" applyBorder="1"/>
    <xf numFmtId="0" fontId="1" fillId="0" borderId="0" xfId="5" quotePrefix="1" applyFont="1" applyBorder="1" applyAlignment="1">
      <alignment horizontal="center"/>
    </xf>
    <xf numFmtId="14" fontId="10" fillId="0" borderId="0" xfId="6" quotePrefix="1" applyNumberFormat="1" applyFont="1" applyFill="1" applyBorder="1" applyAlignment="1" applyProtection="1">
      <alignment horizontal="center" vertical="top"/>
    </xf>
    <xf numFmtId="173" fontId="1" fillId="0" borderId="0" xfId="5" applyNumberFormat="1" applyFont="1" applyBorder="1"/>
    <xf numFmtId="3" fontId="2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2" fillId="0" borderId="0" xfId="6" quotePrefix="1" applyFont="1" applyFill="1" applyAlignment="1" applyProtection="1">
      <alignment horizontal="center" vertical="center"/>
    </xf>
    <xf numFmtId="0" fontId="2" fillId="0" borderId="0" xfId="6" applyFont="1" applyFill="1" applyAlignment="1" applyProtection="1">
      <alignment horizontal="center" vertical="center"/>
    </xf>
    <xf numFmtId="0" fontId="2" fillId="0" borderId="0" xfId="6" quotePrefix="1" applyFont="1" applyFill="1" applyAlignment="1">
      <alignment horizontal="center" vertical="center"/>
    </xf>
    <xf numFmtId="0" fontId="2" fillId="0" borderId="0" xfId="6" applyFont="1" applyFill="1" applyAlignment="1">
      <alignment horizontal="center" vertical="center"/>
    </xf>
    <xf numFmtId="14" fontId="2" fillId="0" borderId="1" xfId="6" quotePrefix="1" applyNumberFormat="1" applyFont="1" applyFill="1" applyBorder="1" applyAlignment="1" applyProtection="1">
      <alignment horizontal="left" vertical="top" indent="4"/>
    </xf>
    <xf numFmtId="0" fontId="2" fillId="0" borderId="1" xfId="6" quotePrefix="1" applyFont="1" applyFill="1" applyBorder="1" applyAlignment="1" applyProtection="1">
      <alignment horizontal="center" vertical="top"/>
    </xf>
    <xf numFmtId="0" fontId="2" fillId="0" borderId="1" xfId="6" applyFont="1" applyFill="1" applyBorder="1" applyAlignment="1" applyProtection="1">
      <alignment horizontal="center" vertical="top"/>
    </xf>
    <xf numFmtId="0" fontId="2" fillId="0" borderId="0" xfId="6" quotePrefix="1" applyFont="1" applyFill="1" applyAlignment="1" applyProtection="1">
      <alignment horizontal="center"/>
    </xf>
    <xf numFmtId="0" fontId="2" fillId="0" borderId="0" xfId="6" applyFont="1" applyFill="1" applyAlignment="1" applyProtection="1">
      <alignment horizontal="center"/>
    </xf>
    <xf numFmtId="0" fontId="1" fillId="0" borderId="0" xfId="6" quotePrefix="1" applyFont="1" applyFill="1" applyAlignment="1" applyProtection="1">
      <alignment horizontal="center"/>
    </xf>
  </cellXfs>
  <cellStyles count="13">
    <cellStyle name="Comma 2" xfId="3"/>
    <cellStyle name="Currency 2" xfId="4"/>
    <cellStyle name="Normal" xfId="0" builtinId="0"/>
    <cellStyle name="Normal 3" xfId="5"/>
    <cellStyle name="Normal 4 2" xfId="1"/>
    <cellStyle name="Normal_Pass-Through Model 11_2007 - 10_2008" xfId="6"/>
    <cellStyle name="Percent 2" xfId="2"/>
    <cellStyle name="PSChar" xfId="7"/>
    <cellStyle name="PSDate" xfId="8"/>
    <cellStyle name="PSDec" xfId="9"/>
    <cellStyle name="PSHeading" xfId="10"/>
    <cellStyle name="PSInt" xfId="11"/>
    <cellStyle name="PSSpacer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Filings%20Feeder%20Line%20Tracker\Rate%20Filing\Sept%202011%20Filing\TO%20USE_Infrastructure%20Filing%20Exhibits%208-31-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s"/>
      <sheetName val="Exhibit 1.1"/>
      <sheetName val="Exhibit 1.1 Page 2"/>
      <sheetName val="Exhibit 1.2"/>
      <sheetName val="Exhibit 1.3"/>
      <sheetName val="Exhibit 1.4"/>
    </sheetNames>
    <sheetDataSet>
      <sheetData sheetId="0"/>
      <sheetData sheetId="1"/>
      <sheetData sheetId="2"/>
      <sheetData sheetId="3">
        <row r="9">
          <cell r="G9">
            <v>6004046.7271710485</v>
          </cell>
        </row>
        <row r="10">
          <cell r="G10">
            <v>110983.98491875046</v>
          </cell>
        </row>
        <row r="11">
          <cell r="G11">
            <v>54313.798422195752</v>
          </cell>
        </row>
        <row r="12">
          <cell r="G12">
            <v>14050.198665322505</v>
          </cell>
        </row>
        <row r="13">
          <cell r="G13">
            <v>167726.10339666111</v>
          </cell>
        </row>
        <row r="14">
          <cell r="G14">
            <v>504.04050089496826</v>
          </cell>
        </row>
        <row r="15">
          <cell r="G15">
            <v>125929.30635796739</v>
          </cell>
        </row>
      </sheetData>
      <sheetData sheetId="4">
        <row r="7">
          <cell r="O7">
            <v>4.0846144486457812E-2</v>
          </cell>
        </row>
        <row r="10">
          <cell r="O10">
            <v>3.4404702122512641E-2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="85" zoomScaleNormal="85" workbookViewId="0">
      <selection activeCell="S10" sqref="S10"/>
    </sheetView>
  </sheetViews>
  <sheetFormatPr defaultRowHeight="12.75"/>
  <cols>
    <col min="1" max="1" width="4.42578125" customWidth="1"/>
    <col min="4" max="4" width="7.42578125" bestFit="1" customWidth="1"/>
    <col min="5" max="5" width="9.140625" bestFit="1" customWidth="1"/>
    <col min="6" max="6" width="4.140625" customWidth="1"/>
    <col min="7" max="7" width="13.28515625" customWidth="1"/>
    <col min="8" max="8" width="9.5703125" bestFit="1" customWidth="1"/>
    <col min="9" max="9" width="13.28515625" customWidth="1"/>
    <col min="10" max="10" width="3" customWidth="1"/>
    <col min="11" max="11" width="15.28515625" customWidth="1"/>
    <col min="12" max="12" width="12.140625" bestFit="1" customWidth="1"/>
    <col min="13" max="15" width="13.7109375" customWidth="1"/>
  </cols>
  <sheetData>
    <row r="1" spans="1:17" ht="15.75">
      <c r="A1" s="1"/>
      <c r="B1" s="127" t="s">
        <v>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2"/>
      <c r="O1" s="2"/>
    </row>
    <row r="2" spans="1:17">
      <c r="A2" s="1"/>
      <c r="B2" s="3"/>
      <c r="C2" s="3"/>
      <c r="D2" s="3"/>
      <c r="E2" s="4"/>
      <c r="F2" s="4"/>
      <c r="G2" s="3"/>
      <c r="H2" s="3"/>
      <c r="I2" s="3"/>
      <c r="J2" s="5"/>
      <c r="K2" s="3"/>
      <c r="L2" s="3"/>
      <c r="M2" s="3"/>
      <c r="N2" s="3"/>
      <c r="O2" s="3"/>
    </row>
    <row r="3" spans="1:17">
      <c r="A3" s="1"/>
      <c r="B3" s="1"/>
      <c r="C3" s="1" t="s">
        <v>1</v>
      </c>
      <c r="D3" s="1" t="s">
        <v>2</v>
      </c>
      <c r="E3" s="6" t="s">
        <v>3</v>
      </c>
      <c r="F3" s="6"/>
      <c r="G3" s="1" t="s">
        <v>4</v>
      </c>
      <c r="H3" s="1" t="s">
        <v>5</v>
      </c>
      <c r="I3" s="1" t="s">
        <v>6</v>
      </c>
      <c r="J3" s="7"/>
      <c r="K3" s="7" t="s">
        <v>7</v>
      </c>
      <c r="L3" s="7" t="s">
        <v>8</v>
      </c>
      <c r="M3" s="7" t="s">
        <v>9</v>
      </c>
      <c r="N3" s="7" t="s">
        <v>10</v>
      </c>
      <c r="O3" s="7" t="s">
        <v>11</v>
      </c>
    </row>
    <row r="4" spans="1:17">
      <c r="A4" s="1"/>
      <c r="B4" s="8" t="s">
        <v>12</v>
      </c>
      <c r="C4" s="9"/>
      <c r="D4" s="9"/>
      <c r="E4" s="10"/>
      <c r="F4" s="10"/>
      <c r="G4" s="126" t="s">
        <v>13</v>
      </c>
      <c r="H4" s="126"/>
      <c r="I4" s="126"/>
      <c r="J4" s="9"/>
      <c r="K4" s="11" t="s">
        <v>14</v>
      </c>
      <c r="L4" s="12"/>
      <c r="M4" s="11" t="s">
        <v>14</v>
      </c>
      <c r="N4" s="11" t="s">
        <v>15</v>
      </c>
      <c r="O4" s="11" t="s">
        <v>16</v>
      </c>
    </row>
    <row r="5" spans="1:17">
      <c r="A5" s="1"/>
      <c r="B5" s="8"/>
      <c r="C5" s="9"/>
      <c r="D5" s="9"/>
      <c r="E5" s="10"/>
      <c r="F5" s="10"/>
      <c r="G5" s="6"/>
      <c r="H5" s="6"/>
      <c r="I5" s="6"/>
      <c r="J5" s="9"/>
      <c r="K5" s="11" t="s">
        <v>17</v>
      </c>
      <c r="L5" s="12" t="s">
        <v>18</v>
      </c>
      <c r="M5" s="11" t="s">
        <v>17</v>
      </c>
      <c r="N5" s="11"/>
      <c r="O5" s="11" t="s">
        <v>19</v>
      </c>
    </row>
    <row r="6" spans="1:17" ht="13.5" thickBot="1">
      <c r="A6" s="1"/>
      <c r="B6" s="13" t="s">
        <v>20</v>
      </c>
      <c r="C6" s="14"/>
      <c r="D6" s="14"/>
      <c r="E6" s="15" t="s">
        <v>21</v>
      </c>
      <c r="F6" s="16"/>
      <c r="G6" s="17" t="s">
        <v>21</v>
      </c>
      <c r="H6" s="17" t="s">
        <v>22</v>
      </c>
      <c r="I6" s="18" t="s">
        <v>23</v>
      </c>
      <c r="J6" s="9"/>
      <c r="K6" s="17" t="s">
        <v>24</v>
      </c>
      <c r="L6" s="17" t="s">
        <v>25</v>
      </c>
      <c r="M6" s="17" t="s">
        <v>26</v>
      </c>
      <c r="N6" s="17"/>
      <c r="O6" s="17"/>
    </row>
    <row r="7" spans="1:17">
      <c r="A7" s="1">
        <v>1</v>
      </c>
      <c r="B7" s="19" t="s">
        <v>27</v>
      </c>
      <c r="C7" s="19" t="s">
        <v>28</v>
      </c>
      <c r="D7" s="19" t="s">
        <v>29</v>
      </c>
      <c r="E7" s="20">
        <v>45</v>
      </c>
      <c r="F7" s="20"/>
      <c r="G7" s="21">
        <v>52526064</v>
      </c>
      <c r="H7" s="22">
        <v>2.2293799999999999</v>
      </c>
      <c r="I7" s="23">
        <f>ROUND(G7*H7,0)</f>
        <v>117100557</v>
      </c>
      <c r="J7" s="24"/>
      <c r="K7" s="21">
        <f>M7*G7</f>
        <v>3959212.1893689302</v>
      </c>
      <c r="L7" s="25">
        <f>L12</f>
        <v>3.3810361843408396E-2</v>
      </c>
      <c r="M7" s="26">
        <f>L7*H7</f>
        <v>7.5376144486457811E-2</v>
      </c>
      <c r="N7" s="26">
        <v>3.4529999999999998E-2</v>
      </c>
      <c r="O7" s="26">
        <f>M7-N7</f>
        <v>4.0846144486457812E-2</v>
      </c>
      <c r="Q7" s="26"/>
    </row>
    <row r="8" spans="1:17">
      <c r="A8" s="1">
        <f>A7+1</f>
        <v>2</v>
      </c>
      <c r="B8" s="19"/>
      <c r="C8" s="19" t="s">
        <v>30</v>
      </c>
      <c r="D8" s="19" t="s">
        <v>31</v>
      </c>
      <c r="E8" s="20">
        <v>155</v>
      </c>
      <c r="F8" s="20"/>
      <c r="G8" s="21">
        <v>14984828</v>
      </c>
      <c r="H8" s="22">
        <v>0.92557</v>
      </c>
      <c r="I8" s="23">
        <f>ROUND(G8*H8,0)</f>
        <v>13869507</v>
      </c>
      <c r="J8" s="27"/>
      <c r="K8" s="21">
        <f>M8*G8</f>
        <v>468933.05877854436</v>
      </c>
      <c r="L8" s="25">
        <f>L12</f>
        <v>3.3810361843408396E-2</v>
      </c>
      <c r="M8" s="26">
        <f>L8*H8</f>
        <v>3.1293856611403506E-2</v>
      </c>
      <c r="N8" s="26">
        <v>1.434E-2</v>
      </c>
      <c r="O8" s="26">
        <f>M8-N8</f>
        <v>1.6953856611403507E-2</v>
      </c>
      <c r="Q8" s="26"/>
    </row>
    <row r="9" spans="1:17">
      <c r="A9" s="1"/>
      <c r="B9" s="28"/>
      <c r="C9" s="19"/>
      <c r="D9" s="19"/>
      <c r="E9" s="29"/>
      <c r="F9" s="29"/>
      <c r="G9" s="21"/>
      <c r="H9" s="22"/>
      <c r="I9" s="23"/>
      <c r="J9" s="27"/>
      <c r="K9" s="21"/>
      <c r="L9" s="22"/>
      <c r="M9" s="23"/>
      <c r="N9" s="23"/>
      <c r="O9" s="23"/>
    </row>
    <row r="10" spans="1:17">
      <c r="A10" s="1">
        <f>A8+1</f>
        <v>3</v>
      </c>
      <c r="B10" s="30" t="s">
        <v>32</v>
      </c>
      <c r="C10" s="19" t="s">
        <v>28</v>
      </c>
      <c r="D10" s="19" t="str">
        <f>D7</f>
        <v>First</v>
      </c>
      <c r="E10" s="29">
        <f>E7</f>
        <v>45</v>
      </c>
      <c r="F10" s="29"/>
      <c r="G10" s="21">
        <v>23076373</v>
      </c>
      <c r="H10" s="22">
        <v>1.87767</v>
      </c>
      <c r="I10" s="21">
        <f>ROUND(G10*H10,0)</f>
        <v>43329813</v>
      </c>
      <c r="J10" s="27"/>
      <c r="K10" s="21">
        <f>M10*G10</f>
        <v>1464996.6659729935</v>
      </c>
      <c r="L10" s="25">
        <f>L12</f>
        <v>3.3810361843408396E-2</v>
      </c>
      <c r="M10" s="26">
        <f t="shared" ref="M10:M11" si="0">L10*H10</f>
        <v>6.3484702122512643E-2</v>
      </c>
      <c r="N10" s="26">
        <v>2.9080000000000002E-2</v>
      </c>
      <c r="O10" s="26">
        <f>M10-N10</f>
        <v>3.4404702122512641E-2</v>
      </c>
    </row>
    <row r="11" spans="1:17">
      <c r="A11" s="1">
        <f>A10+1</f>
        <v>4</v>
      </c>
      <c r="B11" s="30"/>
      <c r="C11" s="19" t="s">
        <v>30</v>
      </c>
      <c r="D11" s="19" t="str">
        <f>D8</f>
        <v>Next</v>
      </c>
      <c r="E11" s="29">
        <f>E8</f>
        <v>155</v>
      </c>
      <c r="F11" s="29"/>
      <c r="G11" s="21">
        <v>4705902</v>
      </c>
      <c r="H11" s="22">
        <v>0.69703999999999999</v>
      </c>
      <c r="I11" s="21">
        <f>ROUND(G11*H11,0)</f>
        <v>3280202</v>
      </c>
      <c r="J11" s="27"/>
      <c r="K11" s="21">
        <f>M11*G11</f>
        <v>110904.81417545141</v>
      </c>
      <c r="L11" s="25">
        <f>L12</f>
        <v>3.3810361843408396E-2</v>
      </c>
      <c r="M11" s="26">
        <f t="shared" si="0"/>
        <v>2.356717461932939E-2</v>
      </c>
      <c r="N11" s="26">
        <v>1.0800000000000001E-2</v>
      </c>
      <c r="O11" s="26">
        <f>M11-N11</f>
        <v>1.2767174619329389E-2</v>
      </c>
    </row>
    <row r="12" spans="1:17" ht="13.5" thickBot="1">
      <c r="A12" s="1">
        <f>A11+1</f>
        <v>5</v>
      </c>
      <c r="B12" s="31" t="s">
        <v>33</v>
      </c>
      <c r="C12" s="3"/>
      <c r="D12" s="19"/>
      <c r="E12" s="29"/>
      <c r="F12" s="29"/>
      <c r="G12" s="32">
        <f>SUM(G10:G11,G7:G8)</f>
        <v>95293167</v>
      </c>
      <c r="H12" s="33"/>
      <c r="I12" s="32">
        <f>SUM(I7:I11)</f>
        <v>177580079</v>
      </c>
      <c r="J12" s="34"/>
      <c r="K12" s="32">
        <f>'[1]Exhibit 1.2'!G9</f>
        <v>6004046.7271710485</v>
      </c>
      <c r="L12" s="35">
        <f>K12/I12</f>
        <v>3.3810361843408396E-2</v>
      </c>
      <c r="M12" s="32"/>
      <c r="N12" s="32"/>
      <c r="O12" s="32"/>
    </row>
    <row r="13" spans="1:17" ht="13.5" thickTop="1">
      <c r="A13" s="1">
        <f>A12+1</f>
        <v>6</v>
      </c>
      <c r="B13" s="9" t="s">
        <v>34</v>
      </c>
      <c r="C13" s="36"/>
      <c r="D13" s="36"/>
      <c r="E13" s="37"/>
      <c r="F13" s="37"/>
      <c r="G13" s="38"/>
      <c r="H13" s="39"/>
      <c r="I13" s="40">
        <v>63209208.999999978</v>
      </c>
      <c r="J13" s="27"/>
      <c r="K13" s="38"/>
      <c r="L13" s="39"/>
      <c r="M13" s="40"/>
      <c r="N13" s="40"/>
      <c r="O13" s="40"/>
    </row>
    <row r="14" spans="1:17">
      <c r="A14" s="1">
        <f>A13+1</f>
        <v>7</v>
      </c>
      <c r="B14" s="9" t="s">
        <v>33</v>
      </c>
      <c r="C14" s="36"/>
      <c r="D14" s="36"/>
      <c r="E14" s="37"/>
      <c r="F14" s="37"/>
      <c r="G14" s="38"/>
      <c r="H14" s="39"/>
      <c r="I14" s="40">
        <f>SUM(I12:I13)</f>
        <v>240789287.99999997</v>
      </c>
      <c r="J14" s="27"/>
      <c r="K14" s="38"/>
      <c r="L14" s="39"/>
      <c r="M14" s="40"/>
      <c r="N14" s="40"/>
      <c r="O14" s="40"/>
    </row>
    <row r="15" spans="1:17" ht="13.5" thickBot="1">
      <c r="A15" s="1"/>
      <c r="B15" s="41"/>
      <c r="C15" s="41"/>
      <c r="D15" s="41"/>
      <c r="E15" s="42"/>
      <c r="F15" s="10"/>
      <c r="G15" s="43"/>
      <c r="H15" s="41"/>
      <c r="I15" s="43"/>
      <c r="J15" s="43"/>
      <c r="K15" s="43"/>
      <c r="L15" s="43"/>
      <c r="M15" s="43"/>
      <c r="N15" s="43"/>
      <c r="O15" s="43"/>
    </row>
    <row r="16" spans="1:17">
      <c r="A16" s="1"/>
      <c r="B16" s="9"/>
      <c r="C16" s="9"/>
      <c r="D16" s="9"/>
      <c r="E16" s="10"/>
      <c r="F16" s="10"/>
      <c r="G16" s="44"/>
      <c r="H16" s="9"/>
      <c r="I16" s="44"/>
      <c r="J16" s="44"/>
      <c r="K16" s="11" t="s">
        <v>14</v>
      </c>
      <c r="L16" s="44"/>
      <c r="M16" s="11" t="s">
        <v>14</v>
      </c>
      <c r="N16" s="11"/>
      <c r="O16" s="11"/>
    </row>
    <row r="17" spans="1:15">
      <c r="A17" s="1"/>
      <c r="B17" s="8" t="s">
        <v>35</v>
      </c>
      <c r="C17" s="9"/>
      <c r="D17" s="9"/>
      <c r="E17" s="10"/>
      <c r="F17" s="10"/>
      <c r="G17" s="126" t="s">
        <v>13</v>
      </c>
      <c r="H17" s="126"/>
      <c r="I17" s="126"/>
      <c r="J17" s="9"/>
      <c r="K17" s="11" t="s">
        <v>17</v>
      </c>
      <c r="L17" s="12" t="s">
        <v>36</v>
      </c>
      <c r="M17" s="11" t="s">
        <v>17</v>
      </c>
      <c r="N17" s="11"/>
      <c r="O17" s="11"/>
    </row>
    <row r="18" spans="1:15" ht="13.5" thickBot="1">
      <c r="A18" s="1"/>
      <c r="B18" s="13" t="s">
        <v>20</v>
      </c>
      <c r="C18" s="14"/>
      <c r="D18" s="14"/>
      <c r="E18" s="15" t="s">
        <v>21</v>
      </c>
      <c r="F18" s="16"/>
      <c r="G18" s="17" t="s">
        <v>21</v>
      </c>
      <c r="H18" s="17" t="s">
        <v>22</v>
      </c>
      <c r="I18" s="18" t="s">
        <v>23</v>
      </c>
      <c r="J18" s="9"/>
      <c r="K18" s="17" t="s">
        <v>24</v>
      </c>
      <c r="L18" s="17" t="s">
        <v>25</v>
      </c>
      <c r="M18" s="17" t="s">
        <v>26</v>
      </c>
      <c r="N18" s="17"/>
      <c r="O18" s="17"/>
    </row>
    <row r="19" spans="1:15">
      <c r="A19" s="1">
        <f>A14+1</f>
        <v>8</v>
      </c>
      <c r="B19" s="45" t="s">
        <v>37</v>
      </c>
      <c r="C19" s="19"/>
      <c r="D19" s="19" t="s">
        <v>38</v>
      </c>
      <c r="E19" s="29">
        <v>0</v>
      </c>
      <c r="F19" s="29"/>
      <c r="G19" s="21">
        <v>456000</v>
      </c>
      <c r="H19" s="22">
        <v>5.0114000000000001</v>
      </c>
      <c r="I19" s="21">
        <f>ROUND(G19*H19,0)</f>
        <v>2285198</v>
      </c>
      <c r="J19" s="27"/>
      <c r="K19" s="21">
        <f>'[1]Exhibit 1.2'!G11</f>
        <v>54313.798422195752</v>
      </c>
      <c r="L19" s="46">
        <f>K19/I19</f>
        <v>2.3767655328858047E-2</v>
      </c>
      <c r="M19" s="26">
        <f t="shared" ref="M19" si="1">L19*H19</f>
        <v>0.11910922791503922</v>
      </c>
      <c r="N19" s="26">
        <v>5.8259999999999999E-2</v>
      </c>
      <c r="O19" s="26">
        <f>M19-N19</f>
        <v>6.0849227915039224E-2</v>
      </c>
    </row>
    <row r="20" spans="1:15">
      <c r="A20" s="1"/>
      <c r="B20" s="45"/>
      <c r="C20" s="19"/>
      <c r="D20" s="19"/>
      <c r="E20" s="29"/>
      <c r="F20" s="29"/>
      <c r="G20" s="21"/>
      <c r="H20" s="22"/>
      <c r="I20" s="21"/>
      <c r="J20" s="27"/>
      <c r="K20" s="21"/>
      <c r="L20" s="47"/>
      <c r="M20" s="26"/>
      <c r="N20" s="26"/>
      <c r="O20" s="26"/>
    </row>
    <row r="21" spans="1:15" ht="13.5" thickBot="1">
      <c r="A21" s="1"/>
      <c r="B21" s="42"/>
      <c r="C21" s="42"/>
      <c r="D21" s="42"/>
      <c r="E21" s="42"/>
      <c r="F21" s="10"/>
      <c r="G21" s="48"/>
      <c r="H21" s="49"/>
      <c r="I21" s="49"/>
      <c r="J21" s="9"/>
      <c r="K21" s="48"/>
      <c r="L21" s="49"/>
      <c r="M21" s="49"/>
      <c r="N21" s="49"/>
      <c r="O21" s="49"/>
    </row>
    <row r="22" spans="1:15">
      <c r="A22" s="1"/>
      <c r="B22" s="10"/>
      <c r="C22" s="10"/>
      <c r="D22" s="10"/>
      <c r="E22" s="10"/>
      <c r="F22" s="10"/>
      <c r="G22" s="50"/>
      <c r="H22" s="51"/>
      <c r="I22" s="51"/>
      <c r="J22" s="9"/>
      <c r="K22" s="11" t="s">
        <v>14</v>
      </c>
      <c r="L22" s="51"/>
      <c r="M22" s="11" t="s">
        <v>14</v>
      </c>
      <c r="N22" s="11"/>
      <c r="O22" s="11"/>
    </row>
    <row r="23" spans="1:15">
      <c r="A23" s="1"/>
      <c r="B23" s="8" t="s">
        <v>39</v>
      </c>
      <c r="C23" s="10"/>
      <c r="D23" s="10"/>
      <c r="E23" s="10"/>
      <c r="F23" s="11"/>
      <c r="G23" s="126" t="s">
        <v>13</v>
      </c>
      <c r="H23" s="126"/>
      <c r="I23" s="126"/>
      <c r="J23" s="9"/>
      <c r="K23" s="11" t="s">
        <v>17</v>
      </c>
      <c r="L23" s="12" t="s">
        <v>36</v>
      </c>
      <c r="M23" s="11" t="s">
        <v>17</v>
      </c>
      <c r="N23" s="11"/>
      <c r="O23" s="11"/>
    </row>
    <row r="24" spans="1:15" ht="13.5" thickBot="1">
      <c r="A24" s="1"/>
      <c r="B24" s="13" t="s">
        <v>20</v>
      </c>
      <c r="C24" s="14"/>
      <c r="D24" s="14"/>
      <c r="E24" s="15" t="s">
        <v>21</v>
      </c>
      <c r="F24" s="16"/>
      <c r="G24" s="17" t="s">
        <v>21</v>
      </c>
      <c r="H24" s="17" t="s">
        <v>22</v>
      </c>
      <c r="I24" s="18" t="s">
        <v>23</v>
      </c>
      <c r="J24" s="9"/>
      <c r="K24" s="17" t="s">
        <v>24</v>
      </c>
      <c r="L24" s="17" t="s">
        <v>25</v>
      </c>
      <c r="M24" s="17" t="s">
        <v>26</v>
      </c>
      <c r="N24" s="17"/>
      <c r="O24" s="17"/>
    </row>
    <row r="25" spans="1:15">
      <c r="A25" s="1">
        <f>A19+1</f>
        <v>9</v>
      </c>
      <c r="B25" s="19" t="s">
        <v>27</v>
      </c>
      <c r="C25" s="19" t="s">
        <v>28</v>
      </c>
      <c r="D25" s="19" t="s">
        <v>29</v>
      </c>
      <c r="E25" s="29">
        <v>200</v>
      </c>
      <c r="F25" s="29"/>
      <c r="G25" s="21">
        <v>648693</v>
      </c>
      <c r="H25" s="22">
        <v>0.73760999999999999</v>
      </c>
      <c r="I25" s="21">
        <f>ROUND(G25*H25,0)</f>
        <v>478482</v>
      </c>
      <c r="J25" s="27"/>
      <c r="K25" s="21">
        <f>M25*G25</f>
        <v>12883.567598675731</v>
      </c>
      <c r="L25" s="52">
        <f>L32</f>
        <v>2.6925894079293997E-2</v>
      </c>
      <c r="M25" s="22">
        <f t="shared" ref="M25:M27" si="2">L25*H25</f>
        <v>1.9860808731828047E-2</v>
      </c>
      <c r="N25" s="22">
        <v>9.8200000000000006E-3</v>
      </c>
      <c r="O25" s="22">
        <f>M25-N25</f>
        <v>1.0040808731828046E-2</v>
      </c>
    </row>
    <row r="26" spans="1:15">
      <c r="A26" s="1">
        <f>A25+1</f>
        <v>10</v>
      </c>
      <c r="B26" s="28"/>
      <c r="C26" s="19" t="s">
        <v>30</v>
      </c>
      <c r="D26" s="19" t="s">
        <v>31</v>
      </c>
      <c r="E26" s="29">
        <v>1800</v>
      </c>
      <c r="F26" s="29"/>
      <c r="G26" s="21">
        <v>1784850</v>
      </c>
      <c r="H26" s="22">
        <v>0.59009</v>
      </c>
      <c r="I26" s="21">
        <f>ROUND(G26*H26,0)</f>
        <v>1053222</v>
      </c>
      <c r="J26" s="27"/>
      <c r="K26" s="21">
        <f>M26*G26</f>
        <v>28358.947689366723</v>
      </c>
      <c r="L26" s="52">
        <f>L32</f>
        <v>2.6925894079293997E-2</v>
      </c>
      <c r="M26" s="22">
        <f t="shared" si="2"/>
        <v>1.5888700837250594E-2</v>
      </c>
      <c r="N26" s="22">
        <v>7.8600000000000007E-3</v>
      </c>
      <c r="O26" s="22">
        <f>M26-N26</f>
        <v>8.0287008372505932E-3</v>
      </c>
    </row>
    <row r="27" spans="1:15">
      <c r="A27" s="1">
        <f>A26+1</f>
        <v>11</v>
      </c>
      <c r="B27" s="28"/>
      <c r="C27" s="19" t="s">
        <v>40</v>
      </c>
      <c r="D27" s="19" t="s">
        <v>38</v>
      </c>
      <c r="E27" s="29">
        <v>2000</v>
      </c>
      <c r="F27" s="29"/>
      <c r="G27" s="21">
        <v>1243712</v>
      </c>
      <c r="H27" s="22">
        <v>0.53108999999999995</v>
      </c>
      <c r="I27" s="21">
        <f>ROUND(G27*H27,0)</f>
        <v>660523</v>
      </c>
      <c r="J27" s="27"/>
      <c r="K27" s="21">
        <f>M27*G27</f>
        <v>17785.172498646942</v>
      </c>
      <c r="L27" s="52">
        <f>L32</f>
        <v>2.6925894079293997E-2</v>
      </c>
      <c r="M27" s="22">
        <f t="shared" si="2"/>
        <v>1.4300073086572248E-2</v>
      </c>
      <c r="N27" s="22">
        <v>7.0699999999999999E-3</v>
      </c>
      <c r="O27" s="22">
        <f>M27-N27</f>
        <v>7.2300730865722477E-3</v>
      </c>
    </row>
    <row r="28" spans="1:15">
      <c r="A28" s="1"/>
      <c r="B28" s="28" t="s">
        <v>41</v>
      </c>
      <c r="C28" s="19"/>
      <c r="D28" s="19"/>
      <c r="E28" s="29"/>
      <c r="F28" s="29"/>
      <c r="G28" s="21"/>
      <c r="H28" s="53"/>
      <c r="I28" s="23"/>
      <c r="J28" s="27"/>
      <c r="K28" s="21"/>
      <c r="L28" s="52"/>
      <c r="M28" s="22"/>
      <c r="N28" s="22"/>
      <c r="O28" s="22"/>
    </row>
    <row r="29" spans="1:15">
      <c r="A29" s="1">
        <f>A27+1</f>
        <v>12</v>
      </c>
      <c r="B29" s="30" t="s">
        <v>32</v>
      </c>
      <c r="C29" s="19" t="s">
        <v>28</v>
      </c>
      <c r="D29" s="19" t="str">
        <f t="shared" ref="D29:E29" si="3">D25</f>
        <v>First</v>
      </c>
      <c r="E29" s="29">
        <f t="shared" si="3"/>
        <v>200</v>
      </c>
      <c r="F29" s="29"/>
      <c r="G29" s="21">
        <v>860892</v>
      </c>
      <c r="H29" s="22">
        <v>0.65959999999999996</v>
      </c>
      <c r="I29" s="21">
        <f>ROUND(G29*H29,0)</f>
        <v>567844</v>
      </c>
      <c r="J29" s="27"/>
      <c r="K29" s="21">
        <f>M29*G29</f>
        <v>15289.717177047349</v>
      </c>
      <c r="L29" s="52">
        <f>L32</f>
        <v>2.6925894079293997E-2</v>
      </c>
      <c r="M29" s="22">
        <f t="shared" ref="M29:M31" si="4">L29*H29</f>
        <v>1.776031973470232E-2</v>
      </c>
      <c r="N29" s="22">
        <v>8.7899999999999992E-3</v>
      </c>
      <c r="O29" s="22">
        <f>M29-N29</f>
        <v>8.9703197347023207E-3</v>
      </c>
    </row>
    <row r="30" spans="1:15">
      <c r="A30" s="1">
        <f>A29+1</f>
        <v>13</v>
      </c>
      <c r="B30" s="30"/>
      <c r="C30" s="19" t="s">
        <v>30</v>
      </c>
      <c r="D30" s="19" t="str">
        <f>D26</f>
        <v>Next</v>
      </c>
      <c r="E30" s="29">
        <f>E26</f>
        <v>1800</v>
      </c>
      <c r="F30" s="29"/>
      <c r="G30" s="21">
        <v>1817606</v>
      </c>
      <c r="H30" s="22">
        <v>0.51587000000000005</v>
      </c>
      <c r="I30" s="21">
        <f>ROUND(G30*H30,0)</f>
        <v>937648</v>
      </c>
      <c r="J30" s="27"/>
      <c r="K30" s="21">
        <f>M30*G30</f>
        <v>25247.02169642445</v>
      </c>
      <c r="L30" s="52">
        <f>L32</f>
        <v>2.6925894079293997E-2</v>
      </c>
      <c r="M30" s="22">
        <f t="shared" si="4"/>
        <v>1.3890260978685396E-2</v>
      </c>
      <c r="N30" s="22">
        <v>6.8700000000000002E-3</v>
      </c>
      <c r="O30" s="22">
        <f>M30-N30</f>
        <v>7.0202609786853961E-3</v>
      </c>
    </row>
    <row r="31" spans="1:15">
      <c r="A31" s="1">
        <f>A30+1</f>
        <v>14</v>
      </c>
      <c r="B31" s="30"/>
      <c r="C31" s="19" t="s">
        <v>40</v>
      </c>
      <c r="D31" s="19" t="str">
        <f>D27</f>
        <v>All Over</v>
      </c>
      <c r="E31" s="29">
        <f>E27</f>
        <v>2000</v>
      </c>
      <c r="F31" s="29"/>
      <c r="G31" s="21">
        <v>946151</v>
      </c>
      <c r="H31" s="22">
        <v>0.44824999999999998</v>
      </c>
      <c r="I31" s="21">
        <f>ROUND(G31*H31,0)</f>
        <v>424112</v>
      </c>
      <c r="J31" s="27"/>
      <c r="K31" s="21">
        <f>M31*G31</f>
        <v>11419.599791242361</v>
      </c>
      <c r="L31" s="52">
        <f>L32</f>
        <v>2.6925894079293997E-2</v>
      </c>
      <c r="M31" s="22">
        <f t="shared" si="4"/>
        <v>1.2069532021043534E-2</v>
      </c>
      <c r="N31" s="22">
        <v>5.9699999999999996E-3</v>
      </c>
      <c r="O31" s="22">
        <f>M31-N31</f>
        <v>6.0995320210435345E-3</v>
      </c>
    </row>
    <row r="32" spans="1:15">
      <c r="A32" s="1">
        <f>A31+1</f>
        <v>15</v>
      </c>
      <c r="B32" s="31" t="s">
        <v>33</v>
      </c>
      <c r="C32" s="3"/>
      <c r="D32" s="19"/>
      <c r="E32" s="29"/>
      <c r="F32" s="29"/>
      <c r="G32" s="54">
        <f>SUM(G25:G31)</f>
        <v>7301904</v>
      </c>
      <c r="H32" s="55"/>
      <c r="I32" s="54">
        <f>SUM(I25:I31)</f>
        <v>4121831</v>
      </c>
      <c r="J32" s="27"/>
      <c r="K32" s="54">
        <f>'[1]Exhibit 1.2'!G10</f>
        <v>110983.98491875046</v>
      </c>
      <c r="L32" s="46">
        <f>K32/I32</f>
        <v>2.6925894079293997E-2</v>
      </c>
      <c r="M32" s="54"/>
      <c r="N32" s="54"/>
      <c r="O32" s="54"/>
    </row>
    <row r="33" spans="1:15">
      <c r="A33" s="1"/>
      <c r="B33" s="31"/>
      <c r="C33" s="3"/>
      <c r="D33" s="19"/>
      <c r="E33" s="29"/>
      <c r="F33" s="29"/>
      <c r="G33" s="56"/>
      <c r="H33" s="57"/>
      <c r="I33" s="56"/>
      <c r="J33" s="27"/>
      <c r="K33" s="56"/>
      <c r="L33" s="47"/>
      <c r="M33" s="56"/>
      <c r="N33" s="56"/>
      <c r="O33" s="56"/>
    </row>
    <row r="34" spans="1:15" ht="13.5" thickBot="1">
      <c r="A34" s="1"/>
      <c r="B34" s="41"/>
      <c r="C34" s="41"/>
      <c r="D34" s="41"/>
      <c r="E34" s="42"/>
      <c r="F34" s="10"/>
      <c r="G34" s="43"/>
      <c r="H34" s="41"/>
      <c r="I34" s="43"/>
      <c r="J34" s="44"/>
      <c r="K34" s="43"/>
      <c r="L34" s="41"/>
      <c r="M34" s="43"/>
      <c r="N34" s="43"/>
      <c r="O34" s="43"/>
    </row>
    <row r="35" spans="1:15">
      <c r="A35" s="1"/>
      <c r="B35" s="9"/>
      <c r="C35" s="9"/>
      <c r="D35" s="9"/>
      <c r="E35" s="10"/>
      <c r="F35" s="10"/>
      <c r="G35" s="44"/>
      <c r="H35" s="9"/>
      <c r="I35" s="44"/>
      <c r="J35" s="44"/>
      <c r="K35" s="11" t="s">
        <v>14</v>
      </c>
      <c r="L35" s="9"/>
      <c r="M35" s="11" t="s">
        <v>14</v>
      </c>
      <c r="N35" s="11"/>
      <c r="O35" s="11"/>
    </row>
    <row r="36" spans="1:15">
      <c r="A36" s="1"/>
      <c r="B36" s="8" t="s">
        <v>42</v>
      </c>
      <c r="C36" s="9"/>
      <c r="D36" s="9"/>
      <c r="E36" s="12"/>
      <c r="F36" s="12"/>
      <c r="G36" s="126" t="s">
        <v>13</v>
      </c>
      <c r="H36" s="126"/>
      <c r="I36" s="126"/>
      <c r="J36" s="9"/>
      <c r="K36" s="11" t="s">
        <v>17</v>
      </c>
      <c r="L36" s="12" t="s">
        <v>36</v>
      </c>
      <c r="M36" s="11" t="s">
        <v>17</v>
      </c>
      <c r="N36" s="11"/>
      <c r="O36" s="11"/>
    </row>
    <row r="37" spans="1:15" ht="13.5" thickBot="1">
      <c r="A37" s="1"/>
      <c r="B37" s="13" t="s">
        <v>20</v>
      </c>
      <c r="C37" s="14"/>
      <c r="D37" s="14"/>
      <c r="E37" s="15" t="s">
        <v>21</v>
      </c>
      <c r="F37" s="16"/>
      <c r="G37" s="17" t="s">
        <v>21</v>
      </c>
      <c r="H37" s="17" t="s">
        <v>22</v>
      </c>
      <c r="I37" s="18" t="s">
        <v>23</v>
      </c>
      <c r="J37" s="9"/>
      <c r="K37" s="17" t="s">
        <v>24</v>
      </c>
      <c r="L37" s="17" t="s">
        <v>25</v>
      </c>
      <c r="M37" s="17" t="s">
        <v>26</v>
      </c>
      <c r="N37" s="17"/>
      <c r="O37" s="17"/>
    </row>
    <row r="38" spans="1:15">
      <c r="A38" s="1">
        <f>A32+1</f>
        <v>16</v>
      </c>
      <c r="B38" s="19"/>
      <c r="C38" s="19" t="s">
        <v>28</v>
      </c>
      <c r="D38" s="19" t="s">
        <v>29</v>
      </c>
      <c r="E38" s="58">
        <v>2000</v>
      </c>
      <c r="F38" s="59"/>
      <c r="G38" s="21">
        <v>1230134</v>
      </c>
      <c r="H38" s="22">
        <v>0.23780999999999999</v>
      </c>
      <c r="I38" s="21">
        <f>ROUND(G38*H38,0)</f>
        <v>292538</v>
      </c>
      <c r="J38" s="27"/>
      <c r="K38" s="21">
        <f>M38*G38</f>
        <v>7441.129248008474</v>
      </c>
      <c r="L38" s="25">
        <f>L41</f>
        <v>2.5436439067143112E-2</v>
      </c>
      <c r="M38" s="22">
        <f t="shared" ref="M38:M40" si="5">L38*H38</f>
        <v>6.0490395745573036E-3</v>
      </c>
      <c r="N38" s="22">
        <v>3.49E-3</v>
      </c>
      <c r="O38" s="22">
        <f>M38-N38</f>
        <v>2.5590395745573036E-3</v>
      </c>
    </row>
    <row r="39" spans="1:15">
      <c r="A39" s="1">
        <f>A38+1</f>
        <v>17</v>
      </c>
      <c r="B39" s="28"/>
      <c r="C39" s="19" t="s">
        <v>30</v>
      </c>
      <c r="D39" s="19" t="s">
        <v>31</v>
      </c>
      <c r="E39" s="58">
        <v>18000</v>
      </c>
      <c r="F39" s="59"/>
      <c r="G39" s="21">
        <v>1184650</v>
      </c>
      <c r="H39" s="22">
        <v>0.21878</v>
      </c>
      <c r="I39" s="21">
        <f>ROUND(G39*H39,0)</f>
        <v>259178</v>
      </c>
      <c r="J39" s="27"/>
      <c r="K39" s="21">
        <f>M39*G39</f>
        <v>6592.5584603961524</v>
      </c>
      <c r="L39" s="25">
        <f>L41</f>
        <v>2.5436439067143112E-2</v>
      </c>
      <c r="M39" s="22">
        <f t="shared" si="5"/>
        <v>5.5649841391095705E-3</v>
      </c>
      <c r="N39" s="22">
        <v>3.1700000000000001E-3</v>
      </c>
      <c r="O39" s="22">
        <f>M39-N39</f>
        <v>2.3949841391095704E-3</v>
      </c>
    </row>
    <row r="40" spans="1:15">
      <c r="A40" s="1">
        <f>A39+1</f>
        <v>18</v>
      </c>
      <c r="B40" s="28"/>
      <c r="C40" s="19" t="s">
        <v>40</v>
      </c>
      <c r="D40" s="19" t="s">
        <v>38</v>
      </c>
      <c r="E40" s="58">
        <v>20000</v>
      </c>
      <c r="F40" s="59"/>
      <c r="G40" s="21">
        <v>3226</v>
      </c>
      <c r="H40" s="22">
        <v>0.20127999999999999</v>
      </c>
      <c r="I40" s="21">
        <f>ROUND(G40*H40,0)</f>
        <v>649</v>
      </c>
      <c r="J40" s="27"/>
      <c r="K40" s="21">
        <f>M40*G40</f>
        <v>16.516624665231905</v>
      </c>
      <c r="L40" s="25">
        <f>L41</f>
        <v>2.5436439067143112E-2</v>
      </c>
      <c r="M40" s="22">
        <f t="shared" si="5"/>
        <v>5.119846455434565E-3</v>
      </c>
      <c r="N40" s="22">
        <v>2.96E-3</v>
      </c>
      <c r="O40" s="22">
        <f>M40-N40</f>
        <v>2.159846455434565E-3</v>
      </c>
    </row>
    <row r="41" spans="1:15">
      <c r="A41" s="1">
        <f>A40+1</f>
        <v>19</v>
      </c>
      <c r="B41" s="31" t="s">
        <v>33</v>
      </c>
      <c r="C41" s="3"/>
      <c r="D41" s="19"/>
      <c r="E41" s="29"/>
      <c r="F41" s="29"/>
      <c r="G41" s="54">
        <f>SUM(G38:G40)</f>
        <v>2418010</v>
      </c>
      <c r="H41" s="55"/>
      <c r="I41" s="54">
        <f>SUM(I38:I40)</f>
        <v>552365</v>
      </c>
      <c r="J41" s="27"/>
      <c r="K41" s="54">
        <f>'[1]Exhibit 1.2'!G12</f>
        <v>14050.198665322505</v>
      </c>
      <c r="L41" s="46">
        <f>K41/I41</f>
        <v>2.5436439067143112E-2</v>
      </c>
      <c r="M41" s="54"/>
      <c r="N41" s="54"/>
      <c r="O41" s="54"/>
    </row>
    <row r="42" spans="1:15">
      <c r="A42" s="1"/>
      <c r="B42" s="31"/>
      <c r="C42" s="3"/>
      <c r="D42" s="19"/>
      <c r="E42" s="29"/>
      <c r="F42" s="29"/>
      <c r="G42" s="56"/>
      <c r="H42" s="57"/>
      <c r="I42" s="56"/>
      <c r="J42" s="27"/>
      <c r="K42" s="56"/>
      <c r="L42" s="47"/>
      <c r="M42" s="56"/>
      <c r="N42" s="56"/>
      <c r="O42" s="56"/>
    </row>
    <row r="43" spans="1:15" ht="13.5" thickBot="1">
      <c r="A43" s="1"/>
      <c r="B43" s="60"/>
      <c r="C43" s="61"/>
      <c r="D43" s="61"/>
      <c r="E43" s="62"/>
      <c r="F43" s="37"/>
      <c r="G43" s="63"/>
      <c r="H43" s="64"/>
      <c r="I43" s="43"/>
      <c r="J43" s="27"/>
      <c r="K43" s="63"/>
      <c r="L43" s="64"/>
      <c r="M43" s="43"/>
      <c r="N43" s="43"/>
      <c r="O43" s="43"/>
    </row>
    <row r="44" spans="1:15">
      <c r="A44" s="1"/>
      <c r="B44" s="65"/>
      <c r="C44" s="36"/>
      <c r="D44" s="36"/>
      <c r="E44" s="37"/>
      <c r="F44" s="37"/>
      <c r="G44" s="66"/>
      <c r="H44" s="67"/>
      <c r="I44" s="44"/>
      <c r="J44" s="27"/>
      <c r="K44" s="11" t="s">
        <v>14</v>
      </c>
      <c r="L44" s="67"/>
      <c r="M44" s="11" t="s">
        <v>14</v>
      </c>
      <c r="N44" s="11"/>
      <c r="O44" s="11"/>
    </row>
    <row r="45" spans="1:15">
      <c r="A45" s="1"/>
      <c r="B45" s="8" t="s">
        <v>43</v>
      </c>
      <c r="C45" s="9"/>
      <c r="D45" s="9"/>
      <c r="E45" s="12"/>
      <c r="F45" s="12"/>
      <c r="G45" s="126" t="s">
        <v>13</v>
      </c>
      <c r="H45" s="126"/>
      <c r="I45" s="126"/>
      <c r="J45" s="9"/>
      <c r="K45" s="11" t="s">
        <v>17</v>
      </c>
      <c r="L45" s="12" t="s">
        <v>18</v>
      </c>
      <c r="M45" s="11" t="s">
        <v>17</v>
      </c>
      <c r="N45" s="11"/>
      <c r="O45" s="11"/>
    </row>
    <row r="46" spans="1:15" ht="13.5" thickBot="1">
      <c r="A46" s="1"/>
      <c r="B46" s="13" t="s">
        <v>20</v>
      </c>
      <c r="C46" s="14"/>
      <c r="D46" s="14"/>
      <c r="E46" s="15" t="s">
        <v>21</v>
      </c>
      <c r="F46" s="16"/>
      <c r="G46" s="17" t="s">
        <v>21</v>
      </c>
      <c r="H46" s="17" t="s">
        <v>22</v>
      </c>
      <c r="I46" s="18" t="s">
        <v>23</v>
      </c>
      <c r="J46" s="9"/>
      <c r="K46" s="17" t="s">
        <v>24</v>
      </c>
      <c r="L46" s="17" t="s">
        <v>25</v>
      </c>
      <c r="M46" s="17" t="s">
        <v>26</v>
      </c>
      <c r="N46" s="17"/>
      <c r="O46" s="17"/>
    </row>
    <row r="47" spans="1:15">
      <c r="A47" s="1">
        <f>A41+1</f>
        <v>20</v>
      </c>
      <c r="B47" s="19"/>
      <c r="C47" s="19" t="s">
        <v>28</v>
      </c>
      <c r="D47" s="19" t="s">
        <v>29</v>
      </c>
      <c r="E47" s="29">
        <v>10000</v>
      </c>
      <c r="F47" s="29"/>
      <c r="G47" s="21">
        <v>1722407</v>
      </c>
      <c r="H47" s="22">
        <v>0.20574999999999999</v>
      </c>
      <c r="I47" s="21">
        <f>ROUND(G47*H47,0)</f>
        <v>354385</v>
      </c>
      <c r="J47" s="27"/>
      <c r="K47" s="21">
        <f>M47*G47</f>
        <v>26285.603588769489</v>
      </c>
      <c r="L47" s="25">
        <f>L51</f>
        <v>7.4172399421111299E-2</v>
      </c>
      <c r="M47" s="22">
        <f t="shared" ref="M47:M49" si="6">L47*H47</f>
        <v>1.5260971180893649E-2</v>
      </c>
      <c r="N47" s="22">
        <v>5.47E-3</v>
      </c>
      <c r="O47" s="22">
        <f>M47-N47</f>
        <v>9.7909711808936498E-3</v>
      </c>
    </row>
    <row r="48" spans="1:15">
      <c r="A48" s="1">
        <f>A47+1</f>
        <v>21</v>
      </c>
      <c r="B48" s="28"/>
      <c r="C48" s="19" t="s">
        <v>30</v>
      </c>
      <c r="D48" s="19" t="s">
        <v>31</v>
      </c>
      <c r="E48" s="29">
        <v>112500</v>
      </c>
      <c r="F48" s="29"/>
      <c r="G48" s="21">
        <v>4875270</v>
      </c>
      <c r="H48" s="22">
        <v>0.19081999999999999</v>
      </c>
      <c r="I48" s="21">
        <f>ROUND(G48*H48,0)</f>
        <v>930299</v>
      </c>
      <c r="J48" s="27"/>
      <c r="K48" s="21">
        <f>M48*G48</f>
        <v>69002.510596349763</v>
      </c>
      <c r="L48" s="25">
        <f>L51</f>
        <v>7.4172399421111299E-2</v>
      </c>
      <c r="M48" s="22">
        <f t="shared" si="6"/>
        <v>1.4153577257536458E-2</v>
      </c>
      <c r="N48" s="22">
        <v>5.0699999999999999E-3</v>
      </c>
      <c r="O48" s="22">
        <f>M48-N48</f>
        <v>9.0835772575364581E-3</v>
      </c>
    </row>
    <row r="49" spans="1:15">
      <c r="A49" s="1">
        <f>A48+1</f>
        <v>22</v>
      </c>
      <c r="B49" s="28"/>
      <c r="C49" s="19" t="s">
        <v>40</v>
      </c>
      <c r="D49" s="19" t="s">
        <v>31</v>
      </c>
      <c r="E49" s="29">
        <v>477500</v>
      </c>
      <c r="F49" s="29"/>
      <c r="G49" s="21">
        <v>3255893</v>
      </c>
      <c r="H49" s="22">
        <v>0.12687999999999999</v>
      </c>
      <c r="I49" s="21">
        <f>ROUND(G49*H49,0)</f>
        <v>413108</v>
      </c>
      <c r="J49" s="27"/>
      <c r="K49" s="21">
        <f>M49*G49</f>
        <v>30641.189613158633</v>
      </c>
      <c r="L49" s="25">
        <f>L51</f>
        <v>7.4172399421111299E-2</v>
      </c>
      <c r="M49" s="22">
        <f t="shared" si="6"/>
        <v>9.4109940385506009E-3</v>
      </c>
      <c r="N49" s="22">
        <v>3.3700000000000002E-3</v>
      </c>
      <c r="O49" s="22">
        <f>M49-N49</f>
        <v>6.0409940385506011E-3</v>
      </c>
    </row>
    <row r="50" spans="1:15">
      <c r="A50" s="1">
        <f>A49+1</f>
        <v>23</v>
      </c>
      <c r="B50" s="28"/>
      <c r="C50" s="19" t="s">
        <v>44</v>
      </c>
      <c r="D50" s="19" t="s">
        <v>38</v>
      </c>
      <c r="E50" s="29">
        <v>600000</v>
      </c>
      <c r="F50" s="29"/>
      <c r="G50" s="21">
        <v>0</v>
      </c>
      <c r="H50" s="22">
        <v>2.8029999999999999E-2</v>
      </c>
      <c r="I50" s="21">
        <f>ROUND(G50*H50,0)</f>
        <v>0</v>
      </c>
      <c r="J50" s="27"/>
      <c r="K50" s="21">
        <f>M50*G50</f>
        <v>0</v>
      </c>
      <c r="L50" s="22"/>
      <c r="M50" s="22"/>
      <c r="N50" s="22"/>
      <c r="O50" s="22"/>
    </row>
    <row r="51" spans="1:15">
      <c r="A51" s="1">
        <f>A50+1</f>
        <v>24</v>
      </c>
      <c r="B51" s="31" t="s">
        <v>33</v>
      </c>
      <c r="C51" s="3"/>
      <c r="D51" s="19"/>
      <c r="E51" s="29"/>
      <c r="F51" s="29"/>
      <c r="G51" s="54">
        <f>SUM(G47:G50)</f>
        <v>9853570</v>
      </c>
      <c r="H51" s="55"/>
      <c r="I51" s="54">
        <f>SUM(I47:I50)</f>
        <v>1697792</v>
      </c>
      <c r="J51" s="27"/>
      <c r="K51" s="54">
        <f>'[1]Exhibit 1.2'!G15</f>
        <v>125929.30635796739</v>
      </c>
      <c r="L51" s="46">
        <f>K51/I51</f>
        <v>7.4172399421111299E-2</v>
      </c>
      <c r="M51" s="54"/>
      <c r="N51" s="54"/>
      <c r="O51" s="54"/>
    </row>
    <row r="52" spans="1:15">
      <c r="A52" s="1"/>
      <c r="B52" s="31"/>
      <c r="C52" s="3"/>
      <c r="D52" s="19"/>
      <c r="E52" s="29"/>
      <c r="F52" s="29"/>
      <c r="G52" s="56"/>
      <c r="H52" s="57"/>
      <c r="I52" s="56"/>
      <c r="J52" s="27"/>
      <c r="K52" s="56"/>
      <c r="L52" s="47"/>
      <c r="M52" s="56"/>
      <c r="N52" s="56"/>
      <c r="O52" s="56"/>
    </row>
    <row r="53" spans="1:15" ht="13.5" thickBot="1">
      <c r="A53" s="1"/>
      <c r="B53" s="60"/>
      <c r="C53" s="61"/>
      <c r="D53" s="61"/>
      <c r="E53" s="62"/>
      <c r="F53" s="68"/>
      <c r="G53" s="63"/>
      <c r="H53" s="64"/>
      <c r="I53" s="43"/>
      <c r="J53" s="27"/>
      <c r="K53" s="63"/>
      <c r="L53" s="64"/>
      <c r="M53" s="43"/>
      <c r="N53" s="43"/>
      <c r="O53" s="43"/>
    </row>
    <row r="54" spans="1:15">
      <c r="A54" s="1"/>
      <c r="B54" s="65"/>
      <c r="C54" s="36"/>
      <c r="D54" s="36"/>
      <c r="E54" s="37"/>
      <c r="F54" s="68"/>
      <c r="G54" s="66"/>
      <c r="H54" s="67"/>
      <c r="I54" s="44"/>
      <c r="J54" s="27"/>
      <c r="K54" s="11" t="s">
        <v>14</v>
      </c>
      <c r="L54" s="67"/>
      <c r="M54" s="11" t="s">
        <v>14</v>
      </c>
      <c r="N54" s="11"/>
      <c r="O54" s="11"/>
    </row>
    <row r="55" spans="1:15">
      <c r="A55" s="1"/>
      <c r="B55" s="8" t="s">
        <v>45</v>
      </c>
      <c r="C55" s="9"/>
      <c r="D55" s="9"/>
      <c r="E55" s="12"/>
      <c r="F55" s="68"/>
      <c r="G55" s="126" t="s">
        <v>13</v>
      </c>
      <c r="H55" s="126"/>
      <c r="I55" s="126"/>
      <c r="J55" s="27"/>
      <c r="K55" s="11" t="s">
        <v>17</v>
      </c>
      <c r="L55" s="12" t="s">
        <v>18</v>
      </c>
      <c r="M55" s="11" t="s">
        <v>17</v>
      </c>
      <c r="N55" s="11"/>
      <c r="O55" s="11"/>
    </row>
    <row r="56" spans="1:15" ht="13.5" thickBot="1">
      <c r="A56" s="1"/>
      <c r="B56" s="13" t="s">
        <v>20</v>
      </c>
      <c r="C56" s="14"/>
      <c r="D56" s="14"/>
      <c r="E56" s="15" t="s">
        <v>21</v>
      </c>
      <c r="F56" s="68"/>
      <c r="G56" s="17" t="s">
        <v>21</v>
      </c>
      <c r="H56" s="17" t="s">
        <v>22</v>
      </c>
      <c r="I56" s="18" t="s">
        <v>23</v>
      </c>
      <c r="J56" s="27"/>
      <c r="K56" s="17" t="s">
        <v>24</v>
      </c>
      <c r="L56" s="17" t="s">
        <v>25</v>
      </c>
      <c r="M56" s="17" t="s">
        <v>26</v>
      </c>
      <c r="N56" s="17"/>
      <c r="O56" s="17"/>
    </row>
    <row r="57" spans="1:15">
      <c r="A57" s="1">
        <f>A51+1</f>
        <v>25</v>
      </c>
      <c r="B57" s="19"/>
      <c r="C57" s="19" t="s">
        <v>28</v>
      </c>
      <c r="D57" s="19" t="s">
        <v>29</v>
      </c>
      <c r="E57" s="29">
        <v>20000</v>
      </c>
      <c r="F57" s="68"/>
      <c r="G57" s="21">
        <v>16745148</v>
      </c>
      <c r="H57" s="22">
        <v>0.20175000000000001</v>
      </c>
      <c r="I57" s="21">
        <f>ROUND(G57*H57,0)</f>
        <v>3378334</v>
      </c>
      <c r="J57" s="27"/>
      <c r="K57" s="21">
        <f>M57*G57</f>
        <v>87732.872307370228</v>
      </c>
      <c r="L57" s="69">
        <f>L62</f>
        <v>2.5969274340949266E-2</v>
      </c>
      <c r="M57" s="22">
        <f>L57*H57</f>
        <v>5.2393010982865144E-3</v>
      </c>
      <c r="N57" s="22">
        <v>2.6700000000000001E-3</v>
      </c>
      <c r="O57" s="22">
        <f>M57-N57</f>
        <v>2.5693010982865143E-3</v>
      </c>
    </row>
    <row r="58" spans="1:15">
      <c r="A58" s="1">
        <f>A57+1</f>
        <v>26</v>
      </c>
      <c r="B58" s="28"/>
      <c r="C58" s="19" t="s">
        <v>30</v>
      </c>
      <c r="D58" s="19" t="s">
        <v>31</v>
      </c>
      <c r="E58" s="29">
        <v>80000</v>
      </c>
      <c r="F58" s="68"/>
      <c r="G58" s="21">
        <v>9698737</v>
      </c>
      <c r="H58" s="22">
        <v>0.15131</v>
      </c>
      <c r="I58" s="21">
        <f>ROUND(G58*H58,0)</f>
        <v>1467516</v>
      </c>
      <c r="J58" s="27"/>
      <c r="K58" s="21">
        <f t="shared" ref="K58:K60" si="7">M58*G58</f>
        <v>38110.322889164258</v>
      </c>
      <c r="L58" s="69">
        <f>L62</f>
        <v>2.5969274340949266E-2</v>
      </c>
      <c r="M58" s="22">
        <f t="shared" ref="M58:M61" si="8">L58*H58</f>
        <v>3.9294109005290337E-3</v>
      </c>
      <c r="N58" s="22">
        <v>2E-3</v>
      </c>
      <c r="O58" s="22">
        <f>M58-N58</f>
        <v>1.9294109005290336E-3</v>
      </c>
    </row>
    <row r="59" spans="1:15">
      <c r="A59" s="1">
        <f>A58+1</f>
        <v>27</v>
      </c>
      <c r="B59" s="28"/>
      <c r="C59" s="19" t="s">
        <v>40</v>
      </c>
      <c r="D59" s="19" t="s">
        <v>31</v>
      </c>
      <c r="E59" s="29">
        <v>400000</v>
      </c>
      <c r="F59" s="68"/>
      <c r="G59" s="21">
        <v>6426439</v>
      </c>
      <c r="H59" s="22">
        <v>0.12105</v>
      </c>
      <c r="I59" s="21">
        <f>ROUND(G59*H59,0)</f>
        <v>777920</v>
      </c>
      <c r="J59" s="27"/>
      <c r="K59" s="21">
        <f t="shared" si="7"/>
        <v>20202.029346462776</v>
      </c>
      <c r="L59" s="69">
        <f>L62</f>
        <v>2.5969274340949266E-2</v>
      </c>
      <c r="M59" s="22">
        <f t="shared" si="8"/>
        <v>3.1435806589719087E-3</v>
      </c>
      <c r="N59" s="22">
        <v>1.6000000000000001E-3</v>
      </c>
      <c r="O59" s="22">
        <f>M59-N59</f>
        <v>1.5435806589719086E-3</v>
      </c>
    </row>
    <row r="60" spans="1:15">
      <c r="A60" s="1">
        <f>A59+1</f>
        <v>28</v>
      </c>
      <c r="B60" s="28"/>
      <c r="C60" s="19" t="s">
        <v>44</v>
      </c>
      <c r="D60" s="19" t="s">
        <v>38</v>
      </c>
      <c r="E60" s="29">
        <v>500000</v>
      </c>
      <c r="F60" s="68"/>
      <c r="G60" s="21">
        <v>26008</v>
      </c>
      <c r="H60" s="70">
        <v>4.8419999999999998E-2</v>
      </c>
      <c r="I60" s="56">
        <f>ROUND(G60*H60,0)</f>
        <v>1259</v>
      </c>
      <c r="J60" s="27"/>
      <c r="K60" s="56">
        <f t="shared" si="7"/>
        <v>32.70329831141656</v>
      </c>
      <c r="L60" s="69">
        <f>L62</f>
        <v>2.5969274340949266E-2</v>
      </c>
      <c r="M60" s="70">
        <f t="shared" si="8"/>
        <v>1.2574322635887634E-3</v>
      </c>
      <c r="N60" s="70">
        <v>6.4000000000000005E-4</v>
      </c>
      <c r="O60" s="70">
        <f>M60-N60</f>
        <v>6.1743226358876334E-4</v>
      </c>
    </row>
    <row r="61" spans="1:15">
      <c r="A61" s="1">
        <f>A60+1</f>
        <v>29</v>
      </c>
      <c r="B61" s="71" t="s">
        <v>46</v>
      </c>
      <c r="C61" s="30"/>
      <c r="D61" s="65"/>
      <c r="E61" s="68"/>
      <c r="F61" s="68"/>
      <c r="G61" s="72">
        <v>43851</v>
      </c>
      <c r="H61" s="73">
        <v>19.010000000000002</v>
      </c>
      <c r="I61" s="72">
        <f>G61*H61</f>
        <v>833607.51000000013</v>
      </c>
      <c r="J61" s="27"/>
      <c r="K61" s="72">
        <f>M61*G61</f>
        <v>21648.182119865611</v>
      </c>
      <c r="L61" s="74">
        <f>L62</f>
        <v>2.5969274340949266E-2</v>
      </c>
      <c r="M61" s="75">
        <f t="shared" si="8"/>
        <v>0.49367590522144561</v>
      </c>
      <c r="N61" s="75"/>
      <c r="O61" s="75"/>
    </row>
    <row r="62" spans="1:15">
      <c r="A62" s="1">
        <f>A61+1</f>
        <v>30</v>
      </c>
      <c r="B62" s="71" t="s">
        <v>47</v>
      </c>
      <c r="C62" s="30"/>
      <c r="D62" s="65"/>
      <c r="E62" s="68"/>
      <c r="F62" s="68"/>
      <c r="G62" s="56"/>
      <c r="H62" s="70"/>
      <c r="I62" s="56">
        <f>SUM(I57:I61)</f>
        <v>6458636.5099999998</v>
      </c>
      <c r="J62" s="27"/>
      <c r="K62" s="56">
        <f>'[1]Exhibit 1.2'!G13</f>
        <v>167726.10339666111</v>
      </c>
      <c r="L62" s="47">
        <f>K62/I62</f>
        <v>2.5969274340949266E-2</v>
      </c>
      <c r="M62" s="76"/>
      <c r="N62" s="76"/>
      <c r="O62" s="76"/>
    </row>
    <row r="63" spans="1:15">
      <c r="A63" s="1"/>
      <c r="B63" s="71"/>
      <c r="C63" s="30"/>
      <c r="D63" s="65"/>
      <c r="E63" s="68"/>
      <c r="F63" s="68"/>
      <c r="G63" s="56"/>
      <c r="H63" s="70"/>
      <c r="I63" s="56"/>
      <c r="J63" s="27"/>
      <c r="K63" s="56"/>
      <c r="L63" s="47"/>
      <c r="M63" s="76"/>
      <c r="N63" s="76"/>
      <c r="O63" s="76"/>
    </row>
    <row r="64" spans="1:15" ht="13.5" thickBot="1">
      <c r="A64" s="1"/>
      <c r="B64" s="60"/>
      <c r="C64" s="77"/>
      <c r="D64" s="60"/>
      <c r="E64" s="78"/>
      <c r="F64" s="68"/>
      <c r="G64" s="79"/>
      <c r="H64" s="80"/>
      <c r="I64" s="43"/>
      <c r="J64" s="9"/>
      <c r="K64" s="43"/>
      <c r="L64" s="80"/>
      <c r="M64" s="43"/>
      <c r="N64" s="43"/>
      <c r="O64" s="43"/>
    </row>
    <row r="65" spans="1:15">
      <c r="A65" s="1"/>
      <c r="B65" s="65"/>
      <c r="C65" s="30"/>
      <c r="D65" s="65"/>
      <c r="E65" s="68"/>
      <c r="F65" s="68"/>
      <c r="G65" s="56"/>
      <c r="H65" s="76"/>
      <c r="I65" s="44"/>
      <c r="J65" s="9"/>
      <c r="K65" s="11" t="s">
        <v>14</v>
      </c>
      <c r="L65" s="76"/>
      <c r="M65" s="11" t="s">
        <v>14</v>
      </c>
      <c r="N65" s="11"/>
      <c r="O65" s="11"/>
    </row>
    <row r="66" spans="1:15">
      <c r="A66" s="1"/>
      <c r="B66" s="8" t="s">
        <v>48</v>
      </c>
      <c r="C66" s="9"/>
      <c r="D66" s="9"/>
      <c r="E66" s="12"/>
      <c r="F66" s="12"/>
      <c r="G66" s="126" t="s">
        <v>13</v>
      </c>
      <c r="H66" s="126"/>
      <c r="I66" s="126"/>
      <c r="J66" s="9"/>
      <c r="K66" s="11" t="s">
        <v>17</v>
      </c>
      <c r="L66" s="12" t="s">
        <v>36</v>
      </c>
      <c r="M66" s="11" t="s">
        <v>17</v>
      </c>
      <c r="N66" s="11"/>
      <c r="O66" s="11"/>
    </row>
    <row r="67" spans="1:15" ht="13.5" thickBot="1">
      <c r="A67" s="1"/>
      <c r="B67" s="13" t="s">
        <v>20</v>
      </c>
      <c r="C67" s="14"/>
      <c r="D67" s="14"/>
      <c r="E67" s="15" t="s">
        <v>21</v>
      </c>
      <c r="F67" s="16"/>
      <c r="G67" s="15" t="s">
        <v>21</v>
      </c>
      <c r="H67" s="15" t="s">
        <v>22</v>
      </c>
      <c r="I67" s="15" t="s">
        <v>23</v>
      </c>
      <c r="J67" s="9"/>
      <c r="K67" s="17" t="s">
        <v>24</v>
      </c>
      <c r="L67" s="17" t="s">
        <v>25</v>
      </c>
      <c r="M67" s="17" t="s">
        <v>26</v>
      </c>
      <c r="N67" s="17"/>
      <c r="O67" s="17"/>
    </row>
    <row r="68" spans="1:15">
      <c r="A68" s="1">
        <f>A62+1</f>
        <v>31</v>
      </c>
      <c r="B68" s="45" t="s">
        <v>37</v>
      </c>
      <c r="C68" s="19"/>
      <c r="D68" s="19" t="s">
        <v>38</v>
      </c>
      <c r="E68" s="29">
        <v>0</v>
      </c>
      <c r="F68" s="29"/>
      <c r="G68" s="21">
        <v>28885</v>
      </c>
      <c r="H68" s="81">
        <v>0.65141000000000004</v>
      </c>
      <c r="I68" s="82">
        <f>G68*H68</f>
        <v>18815.977850000003</v>
      </c>
      <c r="J68" s="27"/>
      <c r="K68" s="21">
        <f>'[1]Exhibit 1.2'!G14</f>
        <v>504.04050089496826</v>
      </c>
      <c r="L68" s="25">
        <f>K68/I68</f>
        <v>2.6787898291183849E-2</v>
      </c>
      <c r="M68" s="22">
        <f t="shared" ref="M68" si="9">L68*H68</f>
        <v>1.7449904825860073E-2</v>
      </c>
      <c r="N68" s="22">
        <v>9.7699999999999992E-3</v>
      </c>
      <c r="O68" s="22">
        <f>M68-N68</f>
        <v>7.6799048258600743E-3</v>
      </c>
    </row>
    <row r="69" spans="1:15">
      <c r="A69" s="1">
        <f>A68+1</f>
        <v>32</v>
      </c>
      <c r="B69" s="31" t="s">
        <v>33</v>
      </c>
      <c r="C69" s="3"/>
      <c r="D69" s="19"/>
      <c r="E69" s="29"/>
      <c r="F69" s="29"/>
      <c r="G69" s="59">
        <f>SUM(G68)</f>
        <v>28885</v>
      </c>
      <c r="H69" s="83"/>
      <c r="I69" s="59">
        <f>SUM(I68)</f>
        <v>18815.977850000003</v>
      </c>
      <c r="J69" s="27"/>
      <c r="K69" s="56"/>
      <c r="L69" s="57"/>
      <c r="M69" s="56"/>
      <c r="N69" s="56"/>
      <c r="O69" s="56"/>
    </row>
    <row r="70" spans="1:15">
      <c r="A70" s="1"/>
      <c r="B70" s="65"/>
      <c r="C70" s="36"/>
      <c r="D70" s="36"/>
      <c r="E70" s="37"/>
      <c r="F70" s="37"/>
      <c r="G70" s="38"/>
      <c r="H70" s="39"/>
      <c r="I70" s="40"/>
      <c r="J70" s="27"/>
      <c r="K70" s="38"/>
      <c r="L70" s="39"/>
      <c r="M70" s="40"/>
      <c r="N70" s="40"/>
      <c r="O70" s="40"/>
    </row>
    <row r="71" spans="1:15" ht="13.5" thickBot="1">
      <c r="A71" s="1">
        <f>A69+1</f>
        <v>33</v>
      </c>
      <c r="B71" s="3"/>
      <c r="C71" s="3"/>
      <c r="D71" s="3"/>
      <c r="E71" s="4"/>
      <c r="F71" s="4"/>
      <c r="G71" s="3"/>
      <c r="H71" s="3"/>
      <c r="I71" s="84" t="s">
        <v>49</v>
      </c>
      <c r="J71" s="5"/>
      <c r="K71" s="85">
        <f>SUM(K68,K62,K51,K41,K32,K19,K12)</f>
        <v>6477554.1594328405</v>
      </c>
      <c r="L71" s="3"/>
      <c r="M71" s="3"/>
      <c r="N71" s="3"/>
      <c r="O71" s="3"/>
    </row>
    <row r="72" spans="1:15" ht="13.5" thickTop="1"/>
  </sheetData>
  <mergeCells count="8">
    <mergeCell ref="G55:I55"/>
    <mergeCell ref="G66:I66"/>
    <mergeCell ref="B1:M1"/>
    <mergeCell ref="G4:I4"/>
    <mergeCell ref="G17:I17"/>
    <mergeCell ref="G23:I23"/>
    <mergeCell ref="G36:I36"/>
    <mergeCell ref="G45:I45"/>
  </mergeCells>
  <printOptions horizontalCentered="1" verticalCentered="1"/>
  <pageMargins left="0.7" right="0.7" top="0.81968750000000001" bottom="0.75" header="0.3" footer="0.3"/>
  <pageSetup scale="61" orientation="portrait" r:id="rId1"/>
  <headerFooter scaleWithDoc="0">
    <oddHeader>&amp;RQuestar Gas Company
Docket No. 11-057-11
Updated Exhibit 1.3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N12" sqref="N12"/>
    </sheetView>
  </sheetViews>
  <sheetFormatPr defaultRowHeight="12.75"/>
  <cols>
    <col min="1" max="1" width="5" customWidth="1"/>
    <col min="2" max="2" width="8.7109375" bestFit="1" customWidth="1"/>
    <col min="3" max="3" width="9" customWidth="1"/>
    <col min="4" max="4" width="10.42578125" customWidth="1"/>
    <col min="5" max="5" width="14.140625" customWidth="1"/>
    <col min="6" max="6" width="3.5703125" customWidth="1"/>
    <col min="7" max="7" width="12.7109375" customWidth="1"/>
    <col min="8" max="8" width="2.85546875" customWidth="1"/>
    <col min="9" max="9" width="12.7109375" customWidth="1"/>
    <col min="10" max="10" width="2.85546875" customWidth="1"/>
  </cols>
  <sheetData>
    <row r="1" spans="1:10">
      <c r="A1" s="86"/>
      <c r="B1" s="135" t="s">
        <v>50</v>
      </c>
      <c r="C1" s="136"/>
      <c r="D1" s="136"/>
      <c r="E1" s="136"/>
      <c r="F1" s="136"/>
      <c r="G1" s="136"/>
      <c r="H1" s="136"/>
      <c r="I1" s="136"/>
      <c r="J1" s="87"/>
    </row>
    <row r="2" spans="1:10">
      <c r="A2" s="86"/>
      <c r="B2" s="135" t="s">
        <v>51</v>
      </c>
      <c r="C2" s="136"/>
      <c r="D2" s="136"/>
      <c r="E2" s="136"/>
      <c r="F2" s="136"/>
      <c r="G2" s="136"/>
      <c r="H2" s="136"/>
      <c r="I2" s="136"/>
      <c r="J2" s="87"/>
    </row>
    <row r="3" spans="1:10">
      <c r="A3" s="86"/>
      <c r="B3" s="86"/>
      <c r="C3" s="88"/>
      <c r="D3" s="86"/>
      <c r="E3" s="86"/>
      <c r="F3" s="86"/>
      <c r="G3" s="86"/>
      <c r="H3" s="86"/>
      <c r="I3" s="86"/>
      <c r="J3" s="86"/>
    </row>
    <row r="4" spans="1:10">
      <c r="A4" s="86"/>
      <c r="B4" s="86"/>
      <c r="C4" s="88"/>
      <c r="D4" s="86"/>
      <c r="E4" s="86"/>
      <c r="F4" s="86"/>
      <c r="G4" s="86"/>
      <c r="H4" s="86"/>
      <c r="I4" s="86"/>
      <c r="J4" s="86"/>
    </row>
    <row r="5" spans="1:10">
      <c r="A5" s="86"/>
      <c r="B5" s="89" t="s">
        <v>52</v>
      </c>
      <c r="C5" s="89" t="s">
        <v>53</v>
      </c>
      <c r="D5" s="90" t="s">
        <v>54</v>
      </c>
      <c r="E5" s="137" t="s">
        <v>55</v>
      </c>
      <c r="F5" s="137"/>
      <c r="G5" s="137" t="s">
        <v>56</v>
      </c>
      <c r="H5" s="137"/>
      <c r="I5" s="137" t="s">
        <v>57</v>
      </c>
      <c r="J5" s="137"/>
    </row>
    <row r="6" spans="1:10">
      <c r="A6" s="86"/>
      <c r="B6" s="91"/>
      <c r="C6" s="87"/>
      <c r="D6" s="91"/>
      <c r="E6" s="135" t="s">
        <v>58</v>
      </c>
      <c r="F6" s="136"/>
      <c r="G6" s="135" t="s">
        <v>59</v>
      </c>
      <c r="H6" s="136"/>
      <c r="I6" s="91"/>
      <c r="J6" s="91"/>
    </row>
    <row r="7" spans="1:10">
      <c r="A7" s="92"/>
      <c r="B7" s="93" t="s">
        <v>26</v>
      </c>
      <c r="C7" s="93"/>
      <c r="D7" s="94" t="s">
        <v>60</v>
      </c>
      <c r="E7" s="128" t="s">
        <v>61</v>
      </c>
      <c r="F7" s="129"/>
      <c r="G7" s="130" t="s">
        <v>62</v>
      </c>
      <c r="H7" s="131"/>
      <c r="I7" s="95"/>
      <c r="J7" s="95"/>
    </row>
    <row r="8" spans="1:10" ht="13.5" thickBot="1">
      <c r="A8" s="96"/>
      <c r="B8" s="97" t="s">
        <v>63</v>
      </c>
      <c r="C8" s="97" t="s">
        <v>64</v>
      </c>
      <c r="D8" s="98" t="s">
        <v>65</v>
      </c>
      <c r="E8" s="132" t="str">
        <f>A39</f>
        <v>6/1/2011</v>
      </c>
      <c r="F8" s="132"/>
      <c r="G8" s="133" t="s">
        <v>66</v>
      </c>
      <c r="H8" s="134"/>
      <c r="I8" s="99" t="s">
        <v>67</v>
      </c>
      <c r="J8" s="97"/>
    </row>
    <row r="9" spans="1:10">
      <c r="A9" s="86"/>
      <c r="B9" s="86"/>
      <c r="C9" s="88"/>
      <c r="D9" s="86"/>
      <c r="E9" s="86"/>
      <c r="F9" s="86"/>
      <c r="G9" s="86"/>
      <c r="H9" s="86"/>
      <c r="I9" s="86"/>
      <c r="J9" s="86"/>
    </row>
    <row r="10" spans="1:10">
      <c r="A10" s="88">
        <v>1</v>
      </c>
      <c r="B10" s="88" t="s">
        <v>68</v>
      </c>
      <c r="C10" s="88" t="s">
        <v>69</v>
      </c>
      <c r="D10" s="100">
        <v>14.9</v>
      </c>
      <c r="E10" s="101">
        <f>ROUND((D10*$D$39)+$B$39,2)</f>
        <v>127.42</v>
      </c>
      <c r="F10" s="101"/>
      <c r="G10" s="101">
        <f>ROUND((D10*$D$36)+$B$36,2)</f>
        <v>128.03</v>
      </c>
      <c r="H10" s="101"/>
      <c r="I10" s="101">
        <f>G10-E10</f>
        <v>0.60999999999999943</v>
      </c>
      <c r="J10" s="101"/>
    </row>
    <row r="11" spans="1:10">
      <c r="A11" s="88">
        <f t="shared" ref="A11:A21" si="0">A10+1</f>
        <v>2</v>
      </c>
      <c r="B11" s="86"/>
      <c r="C11" s="88" t="s">
        <v>70</v>
      </c>
      <c r="D11" s="100">
        <v>12.5</v>
      </c>
      <c r="E11" s="102">
        <f>ROUND((D11*$D$39)+$B$39,2)</f>
        <v>107.7</v>
      </c>
      <c r="F11" s="102"/>
      <c r="G11" s="102">
        <f t="shared" ref="G11:G12" si="1">ROUND((D11*$D$36)+$B$36,2)</f>
        <v>108.21</v>
      </c>
      <c r="H11" s="102"/>
      <c r="I11" s="102">
        <f t="shared" ref="I11:I21" si="2">G11-E11</f>
        <v>0.50999999999999091</v>
      </c>
      <c r="J11" s="102"/>
    </row>
    <row r="12" spans="1:10">
      <c r="A12" s="88">
        <f t="shared" si="0"/>
        <v>3</v>
      </c>
      <c r="B12" s="86"/>
      <c r="C12" s="88" t="s">
        <v>71</v>
      </c>
      <c r="D12" s="100">
        <v>10.1</v>
      </c>
      <c r="E12" s="102">
        <f>ROUND((D12*$D$39)+$B$39,2)</f>
        <v>87.98</v>
      </c>
      <c r="F12" s="102"/>
      <c r="G12" s="102">
        <f t="shared" si="1"/>
        <v>88.4</v>
      </c>
      <c r="H12" s="102"/>
      <c r="I12" s="102">
        <f t="shared" si="2"/>
        <v>0.42000000000000171</v>
      </c>
      <c r="J12" s="102"/>
    </row>
    <row r="13" spans="1:10">
      <c r="A13" s="88">
        <f t="shared" si="0"/>
        <v>4</v>
      </c>
      <c r="B13" s="86"/>
      <c r="C13" s="88" t="s">
        <v>72</v>
      </c>
      <c r="D13" s="100">
        <v>8.3000000000000007</v>
      </c>
      <c r="E13" s="102">
        <f>ROUND((D13*$C$39)+$B$39,2)</f>
        <v>64.98</v>
      </c>
      <c r="F13" s="102"/>
      <c r="G13" s="102">
        <f>ROUND((D13*$C$36)+$B$36,2)</f>
        <v>65.27</v>
      </c>
      <c r="H13" s="102"/>
      <c r="I13" s="102">
        <f t="shared" si="2"/>
        <v>0.28999999999999204</v>
      </c>
      <c r="J13" s="102"/>
    </row>
    <row r="14" spans="1:10">
      <c r="A14" s="88">
        <f t="shared" si="0"/>
        <v>5</v>
      </c>
      <c r="B14" s="86"/>
      <c r="C14" s="88" t="s">
        <v>73</v>
      </c>
      <c r="D14" s="100">
        <v>4.4000000000000004</v>
      </c>
      <c r="E14" s="102">
        <f t="shared" ref="E14:E19" si="3">ROUND((D14*$C$39)+$B$39,2)</f>
        <v>36.799999999999997</v>
      </c>
      <c r="F14" s="102"/>
      <c r="G14" s="102">
        <f t="shared" ref="G14:G19" si="4">ROUND((D14*$C$36)+$B$36,2)</f>
        <v>36.950000000000003</v>
      </c>
      <c r="H14" s="102"/>
      <c r="I14" s="102">
        <f t="shared" si="2"/>
        <v>0.15000000000000568</v>
      </c>
      <c r="J14" s="102"/>
    </row>
    <row r="15" spans="1:10">
      <c r="A15" s="88">
        <f t="shared" si="0"/>
        <v>6</v>
      </c>
      <c r="B15" s="86"/>
      <c r="C15" s="88" t="s">
        <v>74</v>
      </c>
      <c r="D15" s="100">
        <v>3.1</v>
      </c>
      <c r="E15" s="102">
        <f t="shared" si="3"/>
        <v>27.4</v>
      </c>
      <c r="F15" s="102"/>
      <c r="G15" s="102">
        <f t="shared" si="4"/>
        <v>27.51</v>
      </c>
      <c r="H15" s="102"/>
      <c r="I15" s="102">
        <f t="shared" si="2"/>
        <v>0.11000000000000298</v>
      </c>
      <c r="J15" s="102"/>
    </row>
    <row r="16" spans="1:10">
      <c r="A16" s="88">
        <f t="shared" si="0"/>
        <v>7</v>
      </c>
      <c r="B16" s="86"/>
      <c r="C16" s="88" t="s">
        <v>75</v>
      </c>
      <c r="D16" s="100">
        <v>2</v>
      </c>
      <c r="E16" s="102">
        <f t="shared" si="3"/>
        <v>19.45</v>
      </c>
      <c r="F16" s="102"/>
      <c r="G16" s="102">
        <f t="shared" si="4"/>
        <v>19.52</v>
      </c>
      <c r="H16" s="102"/>
      <c r="I16" s="102">
        <f t="shared" si="2"/>
        <v>7.0000000000000284E-2</v>
      </c>
      <c r="J16" s="102"/>
    </row>
    <row r="17" spans="1:10">
      <c r="A17" s="88">
        <f t="shared" si="0"/>
        <v>8</v>
      </c>
      <c r="B17" s="86"/>
      <c r="C17" s="88" t="s">
        <v>76</v>
      </c>
      <c r="D17" s="100">
        <v>1.8</v>
      </c>
      <c r="E17" s="102">
        <f t="shared" si="3"/>
        <v>18.010000000000002</v>
      </c>
      <c r="F17" s="102"/>
      <c r="G17" s="102">
        <f t="shared" si="4"/>
        <v>18.07</v>
      </c>
      <c r="H17" s="102"/>
      <c r="I17" s="102">
        <f t="shared" si="2"/>
        <v>5.9999999999998721E-2</v>
      </c>
      <c r="J17" s="102"/>
    </row>
    <row r="18" spans="1:10">
      <c r="A18" s="88">
        <f t="shared" si="0"/>
        <v>9</v>
      </c>
      <c r="B18" s="86"/>
      <c r="C18" s="88" t="s">
        <v>77</v>
      </c>
      <c r="D18" s="100">
        <v>2</v>
      </c>
      <c r="E18" s="102">
        <f t="shared" si="3"/>
        <v>19.45</v>
      </c>
      <c r="F18" s="102"/>
      <c r="G18" s="102">
        <f t="shared" si="4"/>
        <v>19.52</v>
      </c>
      <c r="H18" s="102"/>
      <c r="I18" s="102">
        <f t="shared" si="2"/>
        <v>7.0000000000000284E-2</v>
      </c>
      <c r="J18" s="102"/>
    </row>
    <row r="19" spans="1:10">
      <c r="A19" s="88">
        <f t="shared" si="0"/>
        <v>10</v>
      </c>
      <c r="B19" s="86"/>
      <c r="C19" s="88" t="s">
        <v>78</v>
      </c>
      <c r="D19" s="100">
        <v>3.1</v>
      </c>
      <c r="E19" s="102">
        <f t="shared" si="3"/>
        <v>27.4</v>
      </c>
      <c r="F19" s="102"/>
      <c r="G19" s="102">
        <f t="shared" si="4"/>
        <v>27.51</v>
      </c>
      <c r="H19" s="102"/>
      <c r="I19" s="102">
        <f t="shared" si="2"/>
        <v>0.11000000000000298</v>
      </c>
      <c r="J19" s="102"/>
    </row>
    <row r="20" spans="1:10">
      <c r="A20" s="88">
        <f t="shared" si="0"/>
        <v>11</v>
      </c>
      <c r="B20" s="86"/>
      <c r="C20" s="88" t="s">
        <v>79</v>
      </c>
      <c r="D20" s="100">
        <v>6.3</v>
      </c>
      <c r="E20" s="102">
        <f>ROUND((D20*$D$39)+$B$39,2)</f>
        <v>56.76</v>
      </c>
      <c r="F20" s="102"/>
      <c r="G20" s="102">
        <f t="shared" ref="G20:G21" si="5">ROUND((D20*$D$36)+$B$36,2)</f>
        <v>57.02</v>
      </c>
      <c r="H20" s="102"/>
      <c r="I20" s="102">
        <f t="shared" si="2"/>
        <v>0.26000000000000512</v>
      </c>
      <c r="J20" s="102"/>
    </row>
    <row r="21" spans="1:10">
      <c r="A21" s="88">
        <f t="shared" si="0"/>
        <v>12</v>
      </c>
      <c r="B21" s="86"/>
      <c r="C21" s="88" t="s">
        <v>80</v>
      </c>
      <c r="D21" s="100">
        <v>11.5</v>
      </c>
      <c r="E21" s="102">
        <f>ROUND((D21*$D$39)+$B$39,2)</f>
        <v>99.49</v>
      </c>
      <c r="F21" s="102"/>
      <c r="G21" s="102">
        <f t="shared" si="5"/>
        <v>99.96</v>
      </c>
      <c r="H21" s="102"/>
      <c r="I21" s="102">
        <f t="shared" si="2"/>
        <v>0.46999999999999886</v>
      </c>
      <c r="J21" s="102"/>
    </row>
    <row r="22" spans="1:10" ht="13.5" thickBot="1">
      <c r="A22" s="88"/>
      <c r="B22" s="86"/>
      <c r="C22" s="88"/>
      <c r="D22" s="103"/>
      <c r="E22" s="104"/>
      <c r="F22" s="104"/>
      <c r="G22" s="104"/>
      <c r="H22" s="104"/>
      <c r="I22" s="105"/>
      <c r="J22" s="106"/>
    </row>
    <row r="23" spans="1:10" ht="13.5" thickTop="1">
      <c r="A23" s="88"/>
      <c r="B23" s="86"/>
      <c r="C23" s="88"/>
      <c r="D23" s="107"/>
      <c r="E23" s="108"/>
      <c r="F23" s="108"/>
      <c r="G23" s="88"/>
      <c r="H23" s="88"/>
      <c r="I23" s="108" t="s">
        <v>81</v>
      </c>
      <c r="J23" s="108"/>
    </row>
    <row r="24" spans="1:10">
      <c r="A24" s="88">
        <f>A21+1</f>
        <v>13</v>
      </c>
      <c r="B24" s="86"/>
      <c r="C24" s="109" t="s">
        <v>49</v>
      </c>
      <c r="D24" s="110">
        <f>SUM(D10:D23)</f>
        <v>80</v>
      </c>
      <c r="E24" s="101">
        <f>SUM(E10:E21)</f>
        <v>692.84</v>
      </c>
      <c r="F24" s="101"/>
      <c r="G24" s="101">
        <f>SUM(G10:G21)</f>
        <v>695.96999999999991</v>
      </c>
      <c r="H24" s="101"/>
      <c r="I24" s="101">
        <f>SUM(I10:I21)</f>
        <v>3.129999999999999</v>
      </c>
      <c r="J24" s="101"/>
    </row>
    <row r="25" spans="1:10">
      <c r="A25" s="86"/>
      <c r="B25" s="86"/>
      <c r="C25" s="88"/>
      <c r="D25" s="86"/>
      <c r="E25" s="111"/>
      <c r="F25" s="111"/>
      <c r="G25" s="86"/>
      <c r="H25" s="86"/>
      <c r="I25" s="86"/>
      <c r="J25" s="86"/>
    </row>
    <row r="26" spans="1:10">
      <c r="A26" s="86"/>
      <c r="B26" s="86" t="s">
        <v>81</v>
      </c>
      <c r="C26" s="88"/>
      <c r="D26" s="86"/>
      <c r="E26" s="86"/>
      <c r="F26" s="86"/>
      <c r="G26" s="112" t="s">
        <v>82</v>
      </c>
      <c r="H26" s="112"/>
      <c r="I26" s="113">
        <f>ROUND(I24/E24,4)*100</f>
        <v>0.44999999999999996</v>
      </c>
      <c r="J26" s="114" t="s">
        <v>83</v>
      </c>
    </row>
    <row r="34" spans="1:4">
      <c r="A34" s="115"/>
      <c r="B34" s="116"/>
      <c r="C34" s="117" t="s">
        <v>32</v>
      </c>
      <c r="D34" s="117" t="s">
        <v>27</v>
      </c>
    </row>
    <row r="35" spans="1:4" ht="13.5" thickBot="1">
      <c r="A35" s="116"/>
      <c r="B35" s="118" t="s">
        <v>84</v>
      </c>
      <c r="C35" s="119" t="s">
        <v>85</v>
      </c>
      <c r="D35" s="119" t="s">
        <v>85</v>
      </c>
    </row>
    <row r="36" spans="1:4">
      <c r="A36" s="120" t="s">
        <v>86</v>
      </c>
      <c r="B36" s="121">
        <v>5</v>
      </c>
      <c r="C36" s="122">
        <f>C39+'[1]Exhibit 1.3'!O10</f>
        <v>7.2611347021225123</v>
      </c>
      <c r="D36" s="122">
        <f>D39+'[1]Exhibit 1.3'!O7</f>
        <v>8.2570861444864594</v>
      </c>
    </row>
    <row r="37" spans="1:4">
      <c r="A37" s="120"/>
      <c r="B37" s="121"/>
      <c r="C37" s="122"/>
      <c r="D37" s="122"/>
    </row>
    <row r="38" spans="1:4">
      <c r="A38" s="116" t="s">
        <v>87</v>
      </c>
      <c r="B38" s="121"/>
      <c r="C38" s="123"/>
      <c r="D38" s="123"/>
    </row>
    <row r="39" spans="1:4">
      <c r="A39" s="124" t="s">
        <v>88</v>
      </c>
      <c r="B39" s="121">
        <v>5</v>
      </c>
      <c r="C39" s="125">
        <v>7.2267299999999999</v>
      </c>
      <c r="D39" s="125">
        <v>8.2162400000000009</v>
      </c>
    </row>
  </sheetData>
  <mergeCells count="11">
    <mergeCell ref="E7:F7"/>
    <mergeCell ref="G7:H7"/>
    <mergeCell ref="E8:F8"/>
    <mergeCell ref="G8:H8"/>
    <mergeCell ref="B1:I1"/>
    <mergeCell ref="B2:I2"/>
    <mergeCell ref="E5:F5"/>
    <mergeCell ref="G5:H5"/>
    <mergeCell ref="I5:J5"/>
    <mergeCell ref="E6:F6"/>
    <mergeCell ref="G6:H6"/>
  </mergeCells>
  <pageMargins left="0.7" right="0.7" top="0.84375" bottom="0.75" header="0.3" footer="0.3"/>
  <pageSetup orientation="portrait" r:id="rId1"/>
  <headerFooter scaleWithDoc="0">
    <oddHeader>&amp;RQuestar Gas Company
Docket 11-057-11
Updated Exhibit 1.4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Exhibit 1.3</vt:lpstr>
      <vt:lpstr>Exhibit 1.4</vt:lpstr>
      <vt:lpstr>'Exhibit 1.3'!Print_Area</vt:lpstr>
      <vt:lpstr>'Exhibit 1.4'!Print_Area</vt:lpstr>
    </vt:vector>
  </TitlesOfParts>
  <Company>QUESTAR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MPaschal</cp:lastModifiedBy>
  <cp:lastPrinted>2011-09-19T13:51:50Z</cp:lastPrinted>
  <dcterms:created xsi:type="dcterms:W3CDTF">2011-09-08T21:01:13Z</dcterms:created>
  <dcterms:modified xsi:type="dcterms:W3CDTF">2011-09-20T16:30:57Z</dcterms:modified>
</cp:coreProperties>
</file>