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1450" yWindow="-15" windowWidth="21495" windowHeight="9555"/>
  </bookViews>
  <sheets>
    <sheet name="Calculations" sheetId="4" r:id="rId1"/>
    <sheet name="Exhibit 1.1" sheetId="6" r:id="rId2"/>
    <sheet name="Exhibit 1.1 Page 3" sheetId="7" r:id="rId3"/>
    <sheet name="Exhibit 1.2" sheetId="8" r:id="rId4"/>
    <sheet name="Exhibit 1.3" sheetId="9" r:id="rId5"/>
    <sheet name="Exhibit 1.4" sheetId="10" r:id="rId6"/>
  </sheets>
  <definedNames>
    <definedName name="_xlnm.Print_Area" localSheetId="1">'Exhibit 1.1'!$A$1:$Q$43</definedName>
    <definedName name="_xlnm.Print_Area" localSheetId="2">'Exhibit 1.1 Page 3'!$A$1:$E$26</definedName>
    <definedName name="_xlnm.Print_Area" localSheetId="3">'Exhibit 1.2'!$A$1:$H$21</definedName>
    <definedName name="_xlnm.Print_Area" localSheetId="4">'Exhibit 1.3'!$A$1:$O$71</definedName>
    <definedName name="_xlnm.Print_Area" localSheetId="5">'Exhibit 1.4'!$A$1:$J$26</definedName>
  </definedNames>
  <calcPr calcId="125725"/>
</workbook>
</file>

<file path=xl/calcChain.xml><?xml version="1.0" encoding="utf-8"?>
<calcChain xmlns="http://schemas.openxmlformats.org/spreadsheetml/2006/main">
  <c r="D23" i="6"/>
  <c r="E23"/>
  <c r="F23"/>
  <c r="A22"/>
  <c r="A23" s="1"/>
  <c r="A24" s="1"/>
  <c r="A16" i="7" l="1"/>
  <c r="A17"/>
  <c r="A18" s="1"/>
  <c r="A19" s="1"/>
  <c r="BD4" i="4" l="1"/>
  <c r="BE4"/>
  <c r="BF4"/>
  <c r="BG4"/>
  <c r="H16" i="6"/>
  <c r="I16"/>
  <c r="J16"/>
  <c r="K16"/>
  <c r="L16"/>
  <c r="M16"/>
  <c r="N16"/>
  <c r="O16"/>
  <c r="P16"/>
  <c r="Q16"/>
  <c r="R16"/>
  <c r="S16"/>
  <c r="T16"/>
  <c r="U16"/>
  <c r="G16"/>
  <c r="BJ19" i="4"/>
  <c r="CC19"/>
  <c r="CA19"/>
  <c r="CA20"/>
  <c r="BZ20"/>
  <c r="BY20"/>
  <c r="BW20"/>
  <c r="BV19"/>
  <c r="BV20"/>
  <c r="BU20"/>
  <c r="BT19"/>
  <c r="BT20"/>
  <c r="BS19"/>
  <c r="BS20"/>
  <c r="BR19"/>
  <c r="BR20"/>
  <c r="BQ20"/>
  <c r="BP19"/>
  <c r="BO19"/>
  <c r="BN19"/>
  <c r="BL39"/>
  <c r="BH19"/>
  <c r="BK19" s="1"/>
  <c r="BH39"/>
  <c r="BK39" s="1"/>
  <c r="H5" i="6"/>
  <c r="I5"/>
  <c r="J5"/>
  <c r="K5"/>
  <c r="L5"/>
  <c r="M5"/>
  <c r="N5"/>
  <c r="O5"/>
  <c r="P5"/>
  <c r="Q5"/>
  <c r="R5"/>
  <c r="S5"/>
  <c r="T5"/>
  <c r="U5"/>
  <c r="H6"/>
  <c r="I6"/>
  <c r="J6"/>
  <c r="K6"/>
  <c r="L6"/>
  <c r="M6"/>
  <c r="N6"/>
  <c r="O6"/>
  <c r="P6"/>
  <c r="Q6"/>
  <c r="R6"/>
  <c r="S6"/>
  <c r="T6"/>
  <c r="U6"/>
  <c r="H7"/>
  <c r="I7"/>
  <c r="J7"/>
  <c r="K7"/>
  <c r="L7"/>
  <c r="M7"/>
  <c r="N7"/>
  <c r="O7"/>
  <c r="P7"/>
  <c r="Q7"/>
  <c r="R7"/>
  <c r="S7"/>
  <c r="T7"/>
  <c r="U7"/>
  <c r="H8"/>
  <c r="I8"/>
  <c r="J8"/>
  <c r="K8"/>
  <c r="L8"/>
  <c r="M8"/>
  <c r="N8"/>
  <c r="O8"/>
  <c r="P8"/>
  <c r="Q8"/>
  <c r="R8"/>
  <c r="S8"/>
  <c r="T8"/>
  <c r="U8"/>
  <c r="H9"/>
  <c r="I9"/>
  <c r="J9"/>
  <c r="K9"/>
  <c r="L9"/>
  <c r="M9"/>
  <c r="N9"/>
  <c r="O9"/>
  <c r="P9"/>
  <c r="Q9"/>
  <c r="R9"/>
  <c r="S9"/>
  <c r="T9"/>
  <c r="U9"/>
  <c r="H10"/>
  <c r="I10"/>
  <c r="J10"/>
  <c r="K10"/>
  <c r="L10"/>
  <c r="M10"/>
  <c r="N10"/>
  <c r="O10"/>
  <c r="P10"/>
  <c r="Q10"/>
  <c r="R10"/>
  <c r="S10"/>
  <c r="T10"/>
  <c r="U10"/>
  <c r="H11"/>
  <c r="I11"/>
  <c r="J11"/>
  <c r="K11"/>
  <c r="L11"/>
  <c r="M11"/>
  <c r="N11"/>
  <c r="O11"/>
  <c r="P11"/>
  <c r="Q11"/>
  <c r="R11"/>
  <c r="S11"/>
  <c r="T11"/>
  <c r="U11"/>
  <c r="H12"/>
  <c r="I12"/>
  <c r="J12"/>
  <c r="K12"/>
  <c r="L12"/>
  <c r="M12"/>
  <c r="N12"/>
  <c r="O12"/>
  <c r="P12"/>
  <c r="Q12"/>
  <c r="R12"/>
  <c r="S12"/>
  <c r="T12"/>
  <c r="U12"/>
  <c r="H13"/>
  <c r="I13"/>
  <c r="J13"/>
  <c r="K13"/>
  <c r="L13"/>
  <c r="M13"/>
  <c r="N13"/>
  <c r="O13"/>
  <c r="P13"/>
  <c r="Q13"/>
  <c r="R13"/>
  <c r="S13"/>
  <c r="T13"/>
  <c r="U13"/>
  <c r="H14"/>
  <c r="I14"/>
  <c r="J14"/>
  <c r="K14"/>
  <c r="L14"/>
  <c r="M14"/>
  <c r="N14"/>
  <c r="O14"/>
  <c r="P14"/>
  <c r="Q14"/>
  <c r="R14"/>
  <c r="S14"/>
  <c r="T14"/>
  <c r="U14"/>
  <c r="H15"/>
  <c r="I15"/>
  <c r="J15"/>
  <c r="K15"/>
  <c r="L15"/>
  <c r="M15"/>
  <c r="N15"/>
  <c r="O15"/>
  <c r="P15"/>
  <c r="Q15"/>
  <c r="R15"/>
  <c r="S15"/>
  <c r="T15"/>
  <c r="U15"/>
  <c r="H17"/>
  <c r="I17"/>
  <c r="J17"/>
  <c r="K17"/>
  <c r="L17"/>
  <c r="M17"/>
  <c r="N17"/>
  <c r="O17"/>
  <c r="P17"/>
  <c r="Q17"/>
  <c r="R17"/>
  <c r="S17"/>
  <c r="T17"/>
  <c r="U17"/>
  <c r="G6"/>
  <c r="G7"/>
  <c r="G8"/>
  <c r="G9"/>
  <c r="G10"/>
  <c r="G11"/>
  <c r="G12"/>
  <c r="G13"/>
  <c r="G14"/>
  <c r="G15"/>
  <c r="G17"/>
  <c r="G5"/>
  <c r="G23" s="1"/>
  <c r="CC9" i="4"/>
  <c r="CC10"/>
  <c r="CC11"/>
  <c r="CC12"/>
  <c r="CC13"/>
  <c r="CC14"/>
  <c r="CC15"/>
  <c r="CC16"/>
  <c r="CC17"/>
  <c r="CC18"/>
  <c r="CC20"/>
  <c r="CC8"/>
  <c r="CA9"/>
  <c r="CA10"/>
  <c r="CA11"/>
  <c r="CA12"/>
  <c r="CA13"/>
  <c r="CA14"/>
  <c r="CA15"/>
  <c r="CA16"/>
  <c r="CA17"/>
  <c r="CA18"/>
  <c r="CA8"/>
  <c r="BT9"/>
  <c r="BT10"/>
  <c r="BT11"/>
  <c r="BT12"/>
  <c r="BT13"/>
  <c r="BT14"/>
  <c r="BT15"/>
  <c r="BT16"/>
  <c r="BT17"/>
  <c r="BT18"/>
  <c r="BS11"/>
  <c r="BS12"/>
  <c r="BS13"/>
  <c r="BS14"/>
  <c r="BS15"/>
  <c r="BS16"/>
  <c r="BS17"/>
  <c r="BS18"/>
  <c r="BR11"/>
  <c r="BV11" s="1"/>
  <c r="BR12"/>
  <c r="BV12" s="1"/>
  <c r="BR13"/>
  <c r="BV13" s="1"/>
  <c r="BR14"/>
  <c r="BV14" s="1"/>
  <c r="BR15"/>
  <c r="BV15" s="1"/>
  <c r="BR16"/>
  <c r="BV16" s="1"/>
  <c r="BR17"/>
  <c r="BV17" s="1"/>
  <c r="BR18"/>
  <c r="BV18" s="1"/>
  <c r="BP12"/>
  <c r="BP13"/>
  <c r="BP14"/>
  <c r="BP15"/>
  <c r="BP16"/>
  <c r="BP17"/>
  <c r="BP18"/>
  <c r="BP20"/>
  <c r="BP11"/>
  <c r="BO11"/>
  <c r="BO12"/>
  <c r="BO13"/>
  <c r="BO14"/>
  <c r="BO15"/>
  <c r="BO16"/>
  <c r="BO17"/>
  <c r="BO18"/>
  <c r="BO20"/>
  <c r="BL29"/>
  <c r="BL30"/>
  <c r="BL31"/>
  <c r="BL32"/>
  <c r="BL33"/>
  <c r="BL34"/>
  <c r="BL35"/>
  <c r="BL36"/>
  <c r="BL37"/>
  <c r="BL38"/>
  <c r="BL40"/>
  <c r="BJ20"/>
  <c r="BN20" s="1"/>
  <c r="BJ18"/>
  <c r="BN18" s="1"/>
  <c r="BJ17"/>
  <c r="BN17" s="1"/>
  <c r="BJ16"/>
  <c r="BN16" s="1"/>
  <c r="BJ15"/>
  <c r="BN15" s="1"/>
  <c r="BJ14"/>
  <c r="BN14" s="1"/>
  <c r="BJ13"/>
  <c r="BN13" s="1"/>
  <c r="BJ12"/>
  <c r="BN12" s="1"/>
  <c r="BJ11"/>
  <c r="BN11" s="1"/>
  <c r="BJ10"/>
  <c r="BN10" s="1"/>
  <c r="BJ9"/>
  <c r="BN9" s="1"/>
  <c r="BH29"/>
  <c r="BH30"/>
  <c r="BH31"/>
  <c r="BH32"/>
  <c r="BH33"/>
  <c r="BH34"/>
  <c r="BH35"/>
  <c r="BH36"/>
  <c r="BH37"/>
  <c r="BH38"/>
  <c r="BH40"/>
  <c r="BK40" s="1"/>
  <c r="BH28"/>
  <c r="BH16"/>
  <c r="BK16" s="1"/>
  <c r="BH17"/>
  <c r="BK17" s="1"/>
  <c r="BH18"/>
  <c r="BK18" s="1"/>
  <c r="BH10"/>
  <c r="BH9"/>
  <c r="BH11"/>
  <c r="BH12"/>
  <c r="BK12" s="1"/>
  <c r="BH13"/>
  <c r="BK13" s="1"/>
  <c r="BH14"/>
  <c r="BK14" s="1"/>
  <c r="BH15"/>
  <c r="BK15" s="1"/>
  <c r="BH20"/>
  <c r="BK20" s="1"/>
  <c r="BH8"/>
  <c r="R41"/>
  <c r="C41"/>
  <c r="D41"/>
  <c r="E41"/>
  <c r="F41"/>
  <c r="G41"/>
  <c r="H41"/>
  <c r="I41"/>
  <c r="J41"/>
  <c r="K41"/>
  <c r="L41"/>
  <c r="M41"/>
  <c r="N41"/>
  <c r="O41"/>
  <c r="P41"/>
  <c r="Q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4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21"/>
  <c r="O23" i="6" l="1"/>
  <c r="T23"/>
  <c r="L23"/>
  <c r="R23"/>
  <c r="N23"/>
  <c r="J23"/>
  <c r="S23"/>
  <c r="K23"/>
  <c r="P23"/>
  <c r="H23"/>
  <c r="U23"/>
  <c r="Q23"/>
  <c r="M23"/>
  <c r="I23"/>
  <c r="BQ19" i="4"/>
  <c r="BU19"/>
  <c r="BW19" s="1"/>
  <c r="BZ19" s="1"/>
  <c r="BH41"/>
  <c r="BH21"/>
  <c r="BU11"/>
  <c r="BW11" s="1"/>
  <c r="BZ11" s="1"/>
  <c r="BU13"/>
  <c r="BW13" s="1"/>
  <c r="BZ13" s="1"/>
  <c r="BQ13"/>
  <c r="BY13"/>
  <c r="BU15"/>
  <c r="BW15" s="1"/>
  <c r="BZ15" s="1"/>
  <c r="BQ15"/>
  <c r="BY15"/>
  <c r="BU17"/>
  <c r="BW17" s="1"/>
  <c r="BZ17" s="1"/>
  <c r="BQ17"/>
  <c r="BY17"/>
  <c r="BU12"/>
  <c r="BW12" s="1"/>
  <c r="BZ12" s="1"/>
  <c r="BQ12"/>
  <c r="BU14"/>
  <c r="BW14" s="1"/>
  <c r="BZ14" s="1"/>
  <c r="BQ14"/>
  <c r="BU16"/>
  <c r="BW16" s="1"/>
  <c r="BZ16" s="1"/>
  <c r="BQ16"/>
  <c r="BU18"/>
  <c r="BW18" s="1"/>
  <c r="BZ18" s="1"/>
  <c r="BQ18"/>
  <c r="BK38"/>
  <c r="BK36"/>
  <c r="BK34"/>
  <c r="BK32"/>
  <c r="BK30"/>
  <c r="BK37"/>
  <c r="BK35"/>
  <c r="BK33"/>
  <c r="BK31"/>
  <c r="BK29"/>
  <c r="CC21"/>
  <c r="CA21"/>
  <c r="BY19" l="1"/>
  <c r="BY16"/>
  <c r="BY11"/>
  <c r="CB11" s="1"/>
  <c r="BY12"/>
  <c r="BY18"/>
  <c r="BY14"/>
  <c r="CD17"/>
  <c r="CE17" s="1"/>
  <c r="CB17"/>
  <c r="CD13"/>
  <c r="CE13" s="1"/>
  <c r="CB13"/>
  <c r="CD16"/>
  <c r="CE16" s="1"/>
  <c r="CB16"/>
  <c r="CD12"/>
  <c r="CE12" s="1"/>
  <c r="CB12"/>
  <c r="CD20"/>
  <c r="CE20" s="1"/>
  <c r="CB20"/>
  <c r="CD15"/>
  <c r="CE15" s="1"/>
  <c r="CB15"/>
  <c r="CB19" l="1"/>
  <c r="CD19"/>
  <c r="CE19" s="1"/>
  <c r="CD14"/>
  <c r="CE14" s="1"/>
  <c r="CB14"/>
  <c r="CD18"/>
  <c r="CE18" s="1"/>
  <c r="CB18"/>
  <c r="A6" i="6"/>
  <c r="A7" s="1"/>
  <c r="A8" s="1"/>
  <c r="A9" l="1"/>
  <c r="A10" s="1"/>
  <c r="A11" s="1"/>
  <c r="A12" s="1"/>
  <c r="A13" s="1"/>
  <c r="A14" s="1"/>
  <c r="A15" s="1"/>
  <c r="A16" s="1"/>
  <c r="A17" s="1"/>
  <c r="A18" s="1"/>
  <c r="A19" s="1"/>
  <c r="A20" s="1"/>
  <c r="A21" s="1"/>
  <c r="D24" i="10"/>
  <c r="D29" i="9"/>
  <c r="E29"/>
  <c r="E19" i="10"/>
  <c r="E18"/>
  <c r="E17"/>
  <c r="E16"/>
  <c r="E15"/>
  <c r="E14"/>
  <c r="E13"/>
  <c r="E21"/>
  <c r="E20"/>
  <c r="E12"/>
  <c r="E11"/>
  <c r="E10"/>
  <c r="A11"/>
  <c r="A12" s="1"/>
  <c r="A13" s="1"/>
  <c r="A14" s="1"/>
  <c r="A15" s="1"/>
  <c r="A16" s="1"/>
  <c r="A17" s="1"/>
  <c r="A18" s="1"/>
  <c r="A19" s="1"/>
  <c r="A20" s="1"/>
  <c r="A21" s="1"/>
  <c r="A24" s="1"/>
  <c r="E8"/>
  <c r="I61" i="9"/>
  <c r="E31"/>
  <c r="D31"/>
  <c r="E30"/>
  <c r="D30"/>
  <c r="E11"/>
  <c r="D11"/>
  <c r="E10"/>
  <c r="D10"/>
  <c r="A8"/>
  <c r="A10" s="1"/>
  <c r="A11" s="1"/>
  <c r="A12" s="1"/>
  <c r="A13" s="1"/>
  <c r="A14" s="1"/>
  <c r="A19" s="1"/>
  <c r="C17" i="8"/>
  <c r="E10" s="1"/>
  <c r="E12"/>
  <c r="E9"/>
  <c r="A6" i="7"/>
  <c r="A7" s="1"/>
  <c r="A8" s="1"/>
  <c r="A9" s="1"/>
  <c r="A10" s="1"/>
  <c r="A11" s="1"/>
  <c r="A12" s="1"/>
  <c r="A13" s="1"/>
  <c r="A14" s="1"/>
  <c r="A15" s="1"/>
  <c r="A25" i="6" l="1"/>
  <c r="A26" s="1"/>
  <c r="A28" s="1"/>
  <c r="A29" s="1"/>
  <c r="A30" s="1"/>
  <c r="A31" s="1"/>
  <c r="A32" s="1"/>
  <c r="A33" s="1"/>
  <c r="A34" s="1"/>
  <c r="A35" s="1"/>
  <c r="A36" s="1"/>
  <c r="A37" s="1"/>
  <c r="A38" s="1"/>
  <c r="A39" s="1"/>
  <c r="A40" s="1"/>
  <c r="A41" s="1"/>
  <c r="I29" i="9"/>
  <c r="I27"/>
  <c r="I26"/>
  <c r="I25"/>
  <c r="E11" i="8"/>
  <c r="E14"/>
  <c r="A25" i="9"/>
  <c r="A26" s="1"/>
  <c r="A27" s="1"/>
  <c r="A29" s="1"/>
  <c r="A30" s="1"/>
  <c r="A31" s="1"/>
  <c r="A32" s="1"/>
  <c r="A38" s="1"/>
  <c r="A39" s="1"/>
  <c r="A40" s="1"/>
  <c r="A41" s="1"/>
  <c r="A47" s="1"/>
  <c r="A48" s="1"/>
  <c r="A49" s="1"/>
  <c r="A50" s="1"/>
  <c r="A51" s="1"/>
  <c r="A57" s="1"/>
  <c r="A58" s="1"/>
  <c r="A59" s="1"/>
  <c r="A60" s="1"/>
  <c r="A61" s="1"/>
  <c r="A62" s="1"/>
  <c r="A68" s="1"/>
  <c r="A69" s="1"/>
  <c r="A71" s="1"/>
  <c r="E24" i="10"/>
  <c r="E13" i="8"/>
  <c r="E15"/>
  <c r="I7" i="9"/>
  <c r="I10"/>
  <c r="G12"/>
  <c r="I31"/>
  <c r="I40"/>
  <c r="I49"/>
  <c r="I59"/>
  <c r="I8"/>
  <c r="I19"/>
  <c r="G41"/>
  <c r="I38"/>
  <c r="G51"/>
  <c r="I47"/>
  <c r="I57"/>
  <c r="I11"/>
  <c r="G32"/>
  <c r="I30"/>
  <c r="I39"/>
  <c r="I48"/>
  <c r="K50"/>
  <c r="I50"/>
  <c r="I58"/>
  <c r="I60"/>
  <c r="G69"/>
  <c r="I68"/>
  <c r="E17" i="8" l="1"/>
  <c r="I62" i="9"/>
  <c r="I32"/>
  <c r="I51"/>
  <c r="I41"/>
  <c r="I12"/>
  <c r="I69"/>
  <c r="I14" l="1"/>
  <c r="BO10" i="4" l="1"/>
  <c r="D30" i="6"/>
  <c r="E30"/>
  <c r="F30"/>
  <c r="G30"/>
  <c r="H30"/>
  <c r="I30"/>
  <c r="J30"/>
  <c r="K30"/>
  <c r="L30"/>
  <c r="M30"/>
  <c r="N30"/>
  <c r="O30"/>
  <c r="P30"/>
  <c r="Q30"/>
  <c r="R30"/>
  <c r="S30"/>
  <c r="T30"/>
  <c r="U30"/>
  <c r="V30"/>
  <c r="W30"/>
  <c r="X30"/>
  <c r="Y30"/>
  <c r="Z30"/>
  <c r="AA30"/>
  <c r="AB30"/>
  <c r="AC30"/>
  <c r="AD30"/>
  <c r="AE30"/>
  <c r="AF30"/>
  <c r="AG30"/>
  <c r="V23"/>
  <c r="W23"/>
  <c r="X23"/>
  <c r="Y23"/>
  <c r="Z23"/>
  <c r="AA23"/>
  <c r="AB23"/>
  <c r="AC23"/>
  <c r="AD23"/>
  <c r="AE23"/>
  <c r="AF23"/>
  <c r="AG23"/>
  <c r="E3"/>
  <c r="F3" s="1"/>
  <c r="G3" s="1"/>
  <c r="H3" s="1"/>
  <c r="I3" s="1"/>
  <c r="J3" s="1"/>
  <c r="K3" s="1"/>
  <c r="L3" s="1"/>
  <c r="M3" s="1"/>
  <c r="N3" s="1"/>
  <c r="O3" s="1"/>
  <c r="P3" s="1"/>
  <c r="Q3" s="1"/>
  <c r="R3" s="1"/>
  <c r="S3" s="1"/>
  <c r="T3" s="1"/>
  <c r="U3" s="1"/>
  <c r="V3" s="1"/>
  <c r="W3" s="1"/>
  <c r="X3" s="1"/>
  <c r="Y3" s="1"/>
  <c r="Z3" s="1"/>
  <c r="AA3" s="1"/>
  <c r="AB3" s="1"/>
  <c r="AC3" s="1"/>
  <c r="AD3" s="1"/>
  <c r="AE3" s="1"/>
  <c r="AF3" s="1"/>
  <c r="AG3" s="1"/>
  <c r="D26" l="1"/>
  <c r="D29" s="1"/>
  <c r="D28"/>
  <c r="E28" s="1"/>
  <c r="F28" s="1"/>
  <c r="G28" s="1"/>
  <c r="H28" s="1"/>
  <c r="I28" s="1"/>
  <c r="J28" s="1"/>
  <c r="K28" s="1"/>
  <c r="L28" s="1"/>
  <c r="M28" s="1"/>
  <c r="N28" s="1"/>
  <c r="O28" s="1"/>
  <c r="P28" s="1"/>
  <c r="Q28" s="1"/>
  <c r="E29" l="1"/>
  <c r="D31"/>
  <c r="D36" s="1"/>
  <c r="R28"/>
  <c r="H60" i="4" l="1"/>
  <c r="F29" i="6"/>
  <c r="E31"/>
  <c r="I60" i="4" s="1"/>
  <c r="S28" i="6"/>
  <c r="T28" s="1"/>
  <c r="U28" s="1"/>
  <c r="E36" l="1"/>
  <c r="V28"/>
  <c r="W28" s="1"/>
  <c r="X28" s="1"/>
  <c r="Y28" s="1"/>
  <c r="Z28" s="1"/>
  <c r="AA28" s="1"/>
  <c r="AB28" s="1"/>
  <c r="AC28" s="1"/>
  <c r="AD28" s="1"/>
  <c r="AE28" s="1"/>
  <c r="AF28" s="1"/>
  <c r="AG28" s="1"/>
  <c r="D39" s="1"/>
  <c r="D41" s="1"/>
  <c r="C5" i="7"/>
  <c r="C7" s="1"/>
  <c r="C13" s="1"/>
  <c r="G29" i="6"/>
  <c r="F31"/>
  <c r="J60" i="4" s="1"/>
  <c r="F36" i="6" l="1"/>
  <c r="G36" s="1"/>
  <c r="H36" s="1"/>
  <c r="H29"/>
  <c r="H31" s="1"/>
  <c r="L60" i="4" s="1"/>
  <c r="G31" i="6"/>
  <c r="K60" i="4" s="1"/>
  <c r="I29" i="6" l="1"/>
  <c r="C51" i="4"/>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J29" i="6" l="1"/>
  <c r="I31"/>
  <c r="BY24" i="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H4"/>
  <c r="I4"/>
  <c r="J4"/>
  <c r="K4"/>
  <c r="L4"/>
  <c r="M4"/>
  <c r="C4"/>
  <c r="D4"/>
  <c r="E4"/>
  <c r="F4"/>
  <c r="G4"/>
  <c r="B4"/>
  <c r="BR9"/>
  <c r="BR10"/>
  <c r="BO9"/>
  <c r="BP9"/>
  <c r="BP10"/>
  <c r="BP8"/>
  <c r="BP21" s="1"/>
  <c r="BO8"/>
  <c r="BO21" s="1"/>
  <c r="BR8"/>
  <c r="BR21" s="1"/>
  <c r="BL41"/>
  <c r="BL28"/>
  <c r="M60" l="1"/>
  <c r="I36" i="6"/>
  <c r="K29"/>
  <c r="J31"/>
  <c r="N60" i="4" s="1"/>
  <c r="BS8"/>
  <c r="BS9"/>
  <c r="BT8"/>
  <c r="BT21" s="1"/>
  <c r="BS10"/>
  <c r="J36" i="6" l="1"/>
  <c r="BS21" i="4"/>
  <c r="L29" i="6"/>
  <c r="K31"/>
  <c r="O60" i="4" s="1"/>
  <c r="K36" i="6" l="1"/>
  <c r="L36" s="1"/>
  <c r="M29"/>
  <c r="L31"/>
  <c r="P60" i="4" s="1"/>
  <c r="BJ8"/>
  <c r="BN8" s="1"/>
  <c r="BU8" l="1"/>
  <c r="BN21"/>
  <c r="N29" i="6"/>
  <c r="M31"/>
  <c r="Q60" i="4" s="1"/>
  <c r="BQ10"/>
  <c r="BU10"/>
  <c r="BK8"/>
  <c r="BK28"/>
  <c r="BV8"/>
  <c r="BK10"/>
  <c r="BQ8"/>
  <c r="BJ21"/>
  <c r="BK41" s="1"/>
  <c r="BK11"/>
  <c r="BK9"/>
  <c r="M36" i="6" l="1"/>
  <c r="N36" s="1"/>
  <c r="O29"/>
  <c r="N31"/>
  <c r="R60" i="4" s="1"/>
  <c r="BK21"/>
  <c r="BY8"/>
  <c r="CD8" s="1"/>
  <c r="BQ11"/>
  <c r="BQ9"/>
  <c r="BU9"/>
  <c r="BW8"/>
  <c r="BZ8" s="1"/>
  <c r="BV10"/>
  <c r="BW10" s="1"/>
  <c r="BZ10" s="1"/>
  <c r="O36" i="6" l="1"/>
  <c r="BQ21" i="4"/>
  <c r="BY10"/>
  <c r="CB10" s="1"/>
  <c r="BV9"/>
  <c r="BV21" s="1"/>
  <c r="BU21"/>
  <c r="BU23" s="1"/>
  <c r="N53" s="1"/>
  <c r="P29" i="6"/>
  <c r="O31"/>
  <c r="S60" i="4" s="1"/>
  <c r="CE8"/>
  <c r="CB8"/>
  <c r="BW9"/>
  <c r="BZ9" s="1"/>
  <c r="BZ21" s="1"/>
  <c r="BY9" l="1"/>
  <c r="BW21"/>
  <c r="N55" s="1"/>
  <c r="CB9"/>
  <c r="AA54"/>
  <c r="AC54"/>
  <c r="AE54"/>
  <c r="AG54"/>
  <c r="AI54"/>
  <c r="AK54"/>
  <c r="O54"/>
  <c r="Q54"/>
  <c r="S54"/>
  <c r="U54"/>
  <c r="W54"/>
  <c r="Y54"/>
  <c r="P54"/>
  <c r="T54"/>
  <c r="V54"/>
  <c r="N54"/>
  <c r="AB54"/>
  <c r="AD54"/>
  <c r="AF54"/>
  <c r="AH54"/>
  <c r="AJ54"/>
  <c r="Z54"/>
  <c r="R54"/>
  <c r="X54"/>
  <c r="AB53"/>
  <c r="AD53"/>
  <c r="AF53"/>
  <c r="AH53"/>
  <c r="AJ53"/>
  <c r="Z53"/>
  <c r="P53"/>
  <c r="R53"/>
  <c r="T53"/>
  <c r="V53"/>
  <c r="X53"/>
  <c r="AA53"/>
  <c r="AC53"/>
  <c r="AE53"/>
  <c r="AG53"/>
  <c r="AI53"/>
  <c r="AK53"/>
  <c r="O53"/>
  <c r="Q53"/>
  <c r="S53"/>
  <c r="U53"/>
  <c r="W53"/>
  <c r="Y53"/>
  <c r="Q29" i="6"/>
  <c r="Q31" s="1"/>
  <c r="U60" i="4" s="1"/>
  <c r="P31" i="6"/>
  <c r="T60" i="4" s="1"/>
  <c r="M53"/>
  <c r="D53"/>
  <c r="F53"/>
  <c r="H53"/>
  <c r="J53"/>
  <c r="B53"/>
  <c r="L53"/>
  <c r="C53"/>
  <c r="E53"/>
  <c r="G53"/>
  <c r="I53"/>
  <c r="K53"/>
  <c r="D54"/>
  <c r="F54"/>
  <c r="H54"/>
  <c r="J54"/>
  <c r="L54"/>
  <c r="B54"/>
  <c r="C54"/>
  <c r="E54"/>
  <c r="G54"/>
  <c r="I54"/>
  <c r="K54"/>
  <c r="M54"/>
  <c r="CD11"/>
  <c r="CE11" s="1"/>
  <c r="CD10"/>
  <c r="CE10" s="1"/>
  <c r="P36" i="6" l="1"/>
  <c r="Q36" s="1"/>
  <c r="BY21" i="4"/>
  <c r="CD9"/>
  <c r="CE9" s="1"/>
  <c r="CE21"/>
  <c r="AH58" s="1"/>
  <c r="CD21"/>
  <c r="AB58"/>
  <c r="B55"/>
  <c r="B59" s="1"/>
  <c r="B61" s="1"/>
  <c r="B63" s="1"/>
  <c r="B64" s="1"/>
  <c r="AB55"/>
  <c r="AD55"/>
  <c r="AF55"/>
  <c r="AH55"/>
  <c r="AJ55"/>
  <c r="Z55"/>
  <c r="P55"/>
  <c r="R55"/>
  <c r="T55"/>
  <c r="V55"/>
  <c r="X55"/>
  <c r="O55"/>
  <c r="Q55"/>
  <c r="U55"/>
  <c r="W55"/>
  <c r="AA55"/>
  <c r="AC55"/>
  <c r="AE55"/>
  <c r="AG55"/>
  <c r="AI55"/>
  <c r="AK55"/>
  <c r="S55"/>
  <c r="Y55"/>
  <c r="R29" i="6"/>
  <c r="C55" i="4"/>
  <c r="C59" s="1"/>
  <c r="C61" s="1"/>
  <c r="C63" s="1"/>
  <c r="E55"/>
  <c r="E59" s="1"/>
  <c r="E61" s="1"/>
  <c r="E63" s="1"/>
  <c r="G55"/>
  <c r="G59" s="1"/>
  <c r="G61" s="1"/>
  <c r="G63" s="1"/>
  <c r="I55"/>
  <c r="I59" s="1"/>
  <c r="K55"/>
  <c r="K59" s="1"/>
  <c r="M55"/>
  <c r="M59" s="1"/>
  <c r="D55"/>
  <c r="D59" s="1"/>
  <c r="D61" s="1"/>
  <c r="D63" s="1"/>
  <c r="F55"/>
  <c r="F59" s="1"/>
  <c r="F61" s="1"/>
  <c r="F63" s="1"/>
  <c r="H55"/>
  <c r="H59" s="1"/>
  <c r="J55"/>
  <c r="J59" s="1"/>
  <c r="L55"/>
  <c r="L59" s="1"/>
  <c r="BY23"/>
  <c r="CB21"/>
  <c r="R36" i="6" l="1"/>
  <c r="N58" i="4"/>
  <c r="AG58"/>
  <c r="Q58"/>
  <c r="R58"/>
  <c r="Y58"/>
  <c r="V58"/>
  <c r="AK58"/>
  <c r="AC58"/>
  <c r="U58"/>
  <c r="Z58"/>
  <c r="AD58"/>
  <c r="D32" i="6"/>
  <c r="D33" s="1"/>
  <c r="D34" s="1"/>
  <c r="H61" i="4"/>
  <c r="H63" s="1"/>
  <c r="F32" i="6"/>
  <c r="F33" s="1"/>
  <c r="F34" s="1"/>
  <c r="J61" i="4"/>
  <c r="J63" s="1"/>
  <c r="I32" i="6"/>
  <c r="I33" s="1"/>
  <c r="I34" s="1"/>
  <c r="M61" i="4"/>
  <c r="M63" s="1"/>
  <c r="E32" i="6"/>
  <c r="E33" s="1"/>
  <c r="E34" s="1"/>
  <c r="I61" i="4"/>
  <c r="I63" s="1"/>
  <c r="C64"/>
  <c r="D64" s="1"/>
  <c r="E64" s="1"/>
  <c r="F64" s="1"/>
  <c r="G64" s="1"/>
  <c r="H32" i="6"/>
  <c r="H33" s="1"/>
  <c r="H34" s="1"/>
  <c r="L61" i="4"/>
  <c r="L63" s="1"/>
  <c r="G32" i="6"/>
  <c r="G33" s="1"/>
  <c r="G34" s="1"/>
  <c r="K61" i="4"/>
  <c r="K63" s="1"/>
  <c r="X58"/>
  <c r="T58"/>
  <c r="P58"/>
  <c r="AI58"/>
  <c r="AE58"/>
  <c r="AA58"/>
  <c r="W58"/>
  <c r="S58"/>
  <c r="O58"/>
  <c r="AJ58"/>
  <c r="AF58"/>
  <c r="AA57"/>
  <c r="AC57"/>
  <c r="AE57"/>
  <c r="AG57"/>
  <c r="AI57"/>
  <c r="AK57"/>
  <c r="AK59" s="1"/>
  <c r="P57"/>
  <c r="R57"/>
  <c r="T57"/>
  <c r="V57"/>
  <c r="X57"/>
  <c r="N57"/>
  <c r="N59" s="1"/>
  <c r="AB57"/>
  <c r="AB59" s="1"/>
  <c r="AD57"/>
  <c r="AD59" s="1"/>
  <c r="AF57"/>
  <c r="AH57"/>
  <c r="AH59" s="1"/>
  <c r="AJ57"/>
  <c r="Z57"/>
  <c r="O57"/>
  <c r="Q57"/>
  <c r="Q59" s="1"/>
  <c r="S57"/>
  <c r="U57"/>
  <c r="U59" s="1"/>
  <c r="W57"/>
  <c r="Y57"/>
  <c r="Y59" s="1"/>
  <c r="S29" i="6"/>
  <c r="R31"/>
  <c r="V60" i="4" s="1"/>
  <c r="AG59" l="1"/>
  <c r="R59"/>
  <c r="N32" i="6" s="1"/>
  <c r="N33" s="1"/>
  <c r="N34" s="1"/>
  <c r="Z59" i="4"/>
  <c r="V59"/>
  <c r="V61" s="1"/>
  <c r="V63" s="1"/>
  <c r="AC59"/>
  <c r="W59"/>
  <c r="O59"/>
  <c r="O61" s="1"/>
  <c r="O63" s="1"/>
  <c r="AF59"/>
  <c r="X59"/>
  <c r="P59"/>
  <c r="P61" s="1"/>
  <c r="P63" s="1"/>
  <c r="AE59"/>
  <c r="H64"/>
  <c r="D35" i="6" s="1"/>
  <c r="E35" s="1"/>
  <c r="F35" s="1"/>
  <c r="G35" s="1"/>
  <c r="H35" s="1"/>
  <c r="I35" s="1"/>
  <c r="Q32"/>
  <c r="Q33" s="1"/>
  <c r="Q34" s="1"/>
  <c r="U61" i="4"/>
  <c r="U63" s="1"/>
  <c r="K32" i="6"/>
  <c r="K33" s="1"/>
  <c r="K34" s="1"/>
  <c r="L32"/>
  <c r="L33" s="1"/>
  <c r="L34" s="1"/>
  <c r="M32"/>
  <c r="M33" s="1"/>
  <c r="M34" s="1"/>
  <c r="Q61" i="4"/>
  <c r="Q63" s="1"/>
  <c r="J32" i="6"/>
  <c r="J33" s="1"/>
  <c r="J34" s="1"/>
  <c r="N61" i="4"/>
  <c r="N63" s="1"/>
  <c r="S59"/>
  <c r="AJ59"/>
  <c r="T59"/>
  <c r="AI59"/>
  <c r="AA59"/>
  <c r="T29" i="6"/>
  <c r="S31"/>
  <c r="W60" i="4" s="1"/>
  <c r="S36" i="6" l="1"/>
  <c r="T36" s="1"/>
  <c r="W61" i="4"/>
  <c r="W63" s="1"/>
  <c r="R61"/>
  <c r="R63" s="1"/>
  <c r="I64"/>
  <c r="J64" s="1"/>
  <c r="K64" s="1"/>
  <c r="L64" s="1"/>
  <c r="M64" s="1"/>
  <c r="N64" s="1"/>
  <c r="O64" s="1"/>
  <c r="P64" s="1"/>
  <c r="Q64" s="1"/>
  <c r="S32" i="6"/>
  <c r="R32"/>
  <c r="R33" s="1"/>
  <c r="R34" s="1"/>
  <c r="J35"/>
  <c r="K35" s="1"/>
  <c r="L35" s="1"/>
  <c r="M35" s="1"/>
  <c r="N35" s="1"/>
  <c r="P32"/>
  <c r="P33" s="1"/>
  <c r="P34" s="1"/>
  <c r="T61" i="4"/>
  <c r="T63" s="1"/>
  <c r="O32" i="6"/>
  <c r="O33" s="1"/>
  <c r="O34" s="1"/>
  <c r="S61" i="4"/>
  <c r="S63" s="1"/>
  <c r="S33" i="6"/>
  <c r="T32"/>
  <c r="U29"/>
  <c r="T31"/>
  <c r="X60" i="4" s="1"/>
  <c r="X61" s="1"/>
  <c r="X63" s="1"/>
  <c r="O35" i="6" l="1"/>
  <c r="P35" s="1"/>
  <c r="Q35" s="1"/>
  <c r="R35" s="1"/>
  <c r="R64" i="4"/>
  <c r="S64" s="1"/>
  <c r="T64" s="1"/>
  <c r="U64" s="1"/>
  <c r="V64" s="1"/>
  <c r="W64" s="1"/>
  <c r="X64" s="1"/>
  <c r="T33" i="6"/>
  <c r="U32"/>
  <c r="V29"/>
  <c r="U31"/>
  <c r="U36" s="1"/>
  <c r="S34"/>
  <c r="Y60" i="4" l="1"/>
  <c r="Y61" s="1"/>
  <c r="Y63" s="1"/>
  <c r="Y64" s="1"/>
  <c r="S35" i="6"/>
  <c r="U33"/>
  <c r="V32"/>
  <c r="T34"/>
  <c r="W29"/>
  <c r="V31"/>
  <c r="Z60" i="4" s="1"/>
  <c r="Z61" s="1"/>
  <c r="Z63" s="1"/>
  <c r="V36" i="6" l="1"/>
  <c r="Z64" i="4"/>
  <c r="T35" i="6"/>
  <c r="V33"/>
  <c r="W32"/>
  <c r="U34"/>
  <c r="X29"/>
  <c r="W31"/>
  <c r="AA60" i="4" s="1"/>
  <c r="AA61" s="1"/>
  <c r="AA63" s="1"/>
  <c r="W36" i="6" l="1"/>
  <c r="AA64" i="4"/>
  <c r="U35" i="6"/>
  <c r="W33"/>
  <c r="X32"/>
  <c r="V34"/>
  <c r="V35" s="1"/>
  <c r="Y29"/>
  <c r="X31"/>
  <c r="AB60" i="4" s="1"/>
  <c r="AB61" s="1"/>
  <c r="AB63" s="1"/>
  <c r="X36" i="6" l="1"/>
  <c r="AB64" i="4"/>
  <c r="X33" i="6"/>
  <c r="Y32"/>
  <c r="W34"/>
  <c r="W35" s="1"/>
  <c r="Z29"/>
  <c r="Y31"/>
  <c r="AC60" i="4" s="1"/>
  <c r="AC61" s="1"/>
  <c r="AC63" s="1"/>
  <c r="Y36" i="6" l="1"/>
  <c r="AC64" i="4"/>
  <c r="Y33" i="6"/>
  <c r="Z32"/>
  <c r="X34"/>
  <c r="X35" s="1"/>
  <c r="AA29"/>
  <c r="Z31"/>
  <c r="AD60" i="4" s="1"/>
  <c r="AD61" s="1"/>
  <c r="AD63" s="1"/>
  <c r="Z36" i="6" l="1"/>
  <c r="AD64" i="4"/>
  <c r="Z33" i="6"/>
  <c r="AA32"/>
  <c r="AB29"/>
  <c r="AA31"/>
  <c r="AE60" i="4" s="1"/>
  <c r="AE61" s="1"/>
  <c r="AE63" s="1"/>
  <c r="Y34" i="6"/>
  <c r="Y35" s="1"/>
  <c r="AA36" l="1"/>
  <c r="AE64" i="4"/>
  <c r="AA33" i="6"/>
  <c r="AB32"/>
  <c r="Z34"/>
  <c r="Z35" s="1"/>
  <c r="AC29"/>
  <c r="AB31"/>
  <c r="AF60" i="4" s="1"/>
  <c r="AF61" s="1"/>
  <c r="AF63" s="1"/>
  <c r="AB36" i="6" l="1"/>
  <c r="AF64" i="4"/>
  <c r="AB33" i="6"/>
  <c r="AC32"/>
  <c r="AD29"/>
  <c r="AC31"/>
  <c r="AG60" i="4" s="1"/>
  <c r="AG61" s="1"/>
  <c r="AG63" s="1"/>
  <c r="AA34" i="6"/>
  <c r="AA35" s="1"/>
  <c r="AC36" l="1"/>
  <c r="AG64" i="4"/>
  <c r="AC33" i="6"/>
  <c r="AD32"/>
  <c r="AB34"/>
  <c r="AB35" s="1"/>
  <c r="AE29"/>
  <c r="AD31"/>
  <c r="AH60" i="4" s="1"/>
  <c r="AH61" s="1"/>
  <c r="AH63" s="1"/>
  <c r="AD36" i="6" l="1"/>
  <c r="AH64" i="4"/>
  <c r="AD33" i="6"/>
  <c r="AE32"/>
  <c r="AF29"/>
  <c r="AE31"/>
  <c r="AI60" i="4" s="1"/>
  <c r="AI61" s="1"/>
  <c r="AI63" s="1"/>
  <c r="AC34" i="6"/>
  <c r="AC35" s="1"/>
  <c r="AE36" l="1"/>
  <c r="AI64" i="4"/>
  <c r="AE33" i="6"/>
  <c r="AG32"/>
  <c r="AF32"/>
  <c r="AD34"/>
  <c r="AD35" s="1"/>
  <c r="AG29"/>
  <c r="AG31" s="1"/>
  <c r="AK60" i="4" s="1"/>
  <c r="AK61" s="1"/>
  <c r="AK63" s="1"/>
  <c r="AF31" i="6"/>
  <c r="AJ60" i="4" s="1"/>
  <c r="AJ61" s="1"/>
  <c r="AJ63" s="1"/>
  <c r="AF36" i="6" l="1"/>
  <c r="AG36" s="1"/>
  <c r="AJ64" i="4"/>
  <c r="AK64" s="1"/>
  <c r="AG33" i="6"/>
  <c r="D38"/>
  <c r="C8" i="7" s="1"/>
  <c r="AF33" i="6"/>
  <c r="AE34"/>
  <c r="AE35" s="1"/>
  <c r="AG34" l="1"/>
  <c r="AF34"/>
  <c r="AF35" s="1"/>
  <c r="AG35" l="1"/>
  <c r="D37" s="1"/>
  <c r="C9" i="7" s="1"/>
  <c r="C10" s="1"/>
  <c r="C12" l="1"/>
  <c r="C14"/>
  <c r="C15" l="1"/>
  <c r="C19" s="1"/>
  <c r="G17" i="8" s="1"/>
  <c r="G10" s="1"/>
  <c r="K32" i="9" s="1"/>
  <c r="L32" s="1"/>
  <c r="L25" s="1"/>
  <c r="M25" s="1"/>
  <c r="O25" s="1"/>
  <c r="G13" i="8" l="1"/>
  <c r="K62" i="9" s="1"/>
  <c r="L62" s="1"/>
  <c r="L58" s="1"/>
  <c r="M58" s="1"/>
  <c r="O58" s="1"/>
  <c r="L29"/>
  <c r="M29" s="1"/>
  <c r="O29" s="1"/>
  <c r="L30"/>
  <c r="M30" s="1"/>
  <c r="O30" s="1"/>
  <c r="G14" i="8"/>
  <c r="K68" i="9" s="1"/>
  <c r="L68" s="1"/>
  <c r="M68" s="1"/>
  <c r="O68" s="1"/>
  <c r="L26"/>
  <c r="M26" s="1"/>
  <c r="K26" s="1"/>
  <c r="G15" i="8"/>
  <c r="K51" i="9" s="1"/>
  <c r="L51" s="1"/>
  <c r="L48" s="1"/>
  <c r="M48" s="1"/>
  <c r="O48" s="1"/>
  <c r="L31"/>
  <c r="M31" s="1"/>
  <c r="K31" s="1"/>
  <c r="L27"/>
  <c r="M27" s="1"/>
  <c r="O27" s="1"/>
  <c r="G11" i="8"/>
  <c r="K19" i="9" s="1"/>
  <c r="L19" s="1"/>
  <c r="M19" s="1"/>
  <c r="O19" s="1"/>
  <c r="G9" i="8"/>
  <c r="K12" i="9" s="1"/>
  <c r="L12" s="1"/>
  <c r="L10" s="1"/>
  <c r="M10" s="1"/>
  <c r="O10" s="1"/>
  <c r="C36" i="10" s="1"/>
  <c r="G12" i="8"/>
  <c r="K41" i="9" s="1"/>
  <c r="L41" s="1"/>
  <c r="L38" s="1"/>
  <c r="M38" s="1"/>
  <c r="O38" s="1"/>
  <c r="K25"/>
  <c r="O26"/>
  <c r="L57" l="1"/>
  <c r="M57" s="1"/>
  <c r="O57" s="1"/>
  <c r="L60"/>
  <c r="M60" s="1"/>
  <c r="K60" s="1"/>
  <c r="L59"/>
  <c r="M59" s="1"/>
  <c r="L49"/>
  <c r="M49" s="1"/>
  <c r="O49" s="1"/>
  <c r="O31"/>
  <c r="K30"/>
  <c r="L47"/>
  <c r="M47" s="1"/>
  <c r="K47" s="1"/>
  <c r="K29"/>
  <c r="K48"/>
  <c r="K71"/>
  <c r="L61"/>
  <c r="M61" s="1"/>
  <c r="K61" s="1"/>
  <c r="K58"/>
  <c r="K27"/>
  <c r="L39"/>
  <c r="M39" s="1"/>
  <c r="L40"/>
  <c r="M40" s="1"/>
  <c r="K38"/>
  <c r="G18" i="10"/>
  <c r="I18" s="1"/>
  <c r="G16"/>
  <c r="I16" s="1"/>
  <c r="G14"/>
  <c r="I14" s="1"/>
  <c r="G19"/>
  <c r="I19" s="1"/>
  <c r="G17"/>
  <c r="I17" s="1"/>
  <c r="G15"/>
  <c r="I15" s="1"/>
  <c r="G13"/>
  <c r="I13" s="1"/>
  <c r="K10" i="9"/>
  <c r="L8"/>
  <c r="M8" s="1"/>
  <c r="L11"/>
  <c r="M11" s="1"/>
  <c r="L7"/>
  <c r="M7" s="1"/>
  <c r="O47"/>
  <c r="O59"/>
  <c r="K59"/>
  <c r="K49" l="1"/>
  <c r="K57"/>
  <c r="O60"/>
  <c r="O40"/>
  <c r="K40"/>
  <c r="K39"/>
  <c r="O39"/>
  <c r="K11"/>
  <c r="O11"/>
  <c r="K7"/>
  <c r="O7"/>
  <c r="D36" i="10" s="1"/>
  <c r="O8" i="9"/>
  <c r="K8"/>
  <c r="G20" i="10" l="1"/>
  <c r="I20" s="1"/>
  <c r="G11"/>
  <c r="I11" s="1"/>
  <c r="G21"/>
  <c r="I21" s="1"/>
  <c r="G12"/>
  <c r="I12" s="1"/>
  <c r="G10"/>
  <c r="I10" l="1"/>
  <c r="I24" s="1"/>
  <c r="I26" s="1"/>
  <c r="G24"/>
</calcChain>
</file>

<file path=xl/comments1.xml><?xml version="1.0" encoding="utf-8"?>
<comments xmlns="http://schemas.openxmlformats.org/spreadsheetml/2006/main">
  <authors>
    <author>Summers</author>
  </authors>
  <commentList>
    <comment ref="CD3" authorId="0">
      <text>
        <r>
          <rPr>
            <b/>
            <sz val="9"/>
            <color indexed="81"/>
            <rFont val="Tahoma"/>
            <family val="2"/>
          </rPr>
          <t>Summers:</t>
        </r>
        <r>
          <rPr>
            <sz val="9"/>
            <color indexed="81"/>
            <rFont val="Tahoma"/>
            <family val="2"/>
          </rPr>
          <t xml:space="preserve">
Did not differentiate between 15 yr depr rate and 20 yr depr rate.  Everything that is closed to investment this year should get the 20 year rate, regardless of when the costs were acquired.</t>
        </r>
      </text>
    </comment>
    <comment ref="CC4" authorId="0">
      <text>
        <r>
          <rPr>
            <b/>
            <sz val="9"/>
            <color indexed="81"/>
            <rFont val="Tahoma"/>
            <family val="2"/>
          </rPr>
          <t>Summers:</t>
        </r>
        <r>
          <rPr>
            <sz val="9"/>
            <color indexed="81"/>
            <rFont val="Tahoma"/>
            <family val="2"/>
          </rPr>
          <t xml:space="preserve">
There is no split on closings in 2011.  Everything is 100% tax depr at the 20 yr rate.
However, costs were incurred before 2011, so there will be a split into allocation buckets based on when costs were incurred.</t>
        </r>
      </text>
    </comment>
  </commentList>
</comments>
</file>

<file path=xl/sharedStrings.xml><?xml version="1.0" encoding="utf-8"?>
<sst xmlns="http://schemas.openxmlformats.org/spreadsheetml/2006/main" count="644" uniqueCount="328">
  <si>
    <t>Project</t>
  </si>
  <si>
    <t>2007-06-30</t>
  </si>
  <si>
    <t>2007-05-31</t>
  </si>
  <si>
    <t>2007-07-31</t>
  </si>
  <si>
    <t>2007-10-31</t>
  </si>
  <si>
    <t>2007-12-31</t>
  </si>
  <si>
    <t>2007-11-30</t>
  </si>
  <si>
    <t>2008-01-31</t>
  </si>
  <si>
    <t>2008-02-29</t>
  </si>
  <si>
    <t>2008-03-31</t>
  </si>
  <si>
    <t>2010-06-30</t>
  </si>
  <si>
    <t>2008-07-31</t>
  </si>
  <si>
    <t>01006822</t>
  </si>
  <si>
    <t>2008-06-30</t>
  </si>
  <si>
    <t>2008-08-31</t>
  </si>
  <si>
    <t>2008-12-31</t>
  </si>
  <si>
    <t>2008-11-30</t>
  </si>
  <si>
    <t>2009-09-30</t>
  </si>
  <si>
    <t>2009-10-31</t>
  </si>
  <si>
    <t>2009-05-31</t>
  </si>
  <si>
    <t>2009-03-31</t>
  </si>
  <si>
    <t>2007-04-30</t>
  </si>
  <si>
    <t>2007-09-30</t>
  </si>
  <si>
    <t>2008-04-30</t>
  </si>
  <si>
    <t>2008-05-31</t>
  </si>
  <si>
    <t>2009-02-28</t>
  </si>
  <si>
    <t>2009-11-30</t>
  </si>
  <si>
    <t>2008-10-31</t>
  </si>
  <si>
    <t>2008-09-30</t>
  </si>
  <si>
    <t>2009-07-31</t>
  </si>
  <si>
    <t>2011-02-28</t>
  </si>
  <si>
    <t>01006824</t>
  </si>
  <si>
    <t>2009-01-31</t>
  </si>
  <si>
    <t>2009-12-31</t>
  </si>
  <si>
    <t>2009-04-30</t>
  </si>
  <si>
    <t>2007-08-31</t>
  </si>
  <si>
    <t>01007067</t>
  </si>
  <si>
    <t>2010-07-31</t>
  </si>
  <si>
    <t>2010-05-31</t>
  </si>
  <si>
    <t>2010-08-31</t>
  </si>
  <si>
    <t>2010-11-30</t>
  </si>
  <si>
    <t>2010-12-31</t>
  </si>
  <si>
    <t>2010-10-31</t>
  </si>
  <si>
    <t>2009-08-31</t>
  </si>
  <si>
    <t>2010-02-28</t>
  </si>
  <si>
    <t>2010-01-31</t>
  </si>
  <si>
    <t>2011-03-31</t>
  </si>
  <si>
    <t>2011-04-30</t>
  </si>
  <si>
    <t>2011-07-31</t>
  </si>
  <si>
    <t>2011-08-31</t>
  </si>
  <si>
    <t>2011-06-30</t>
  </si>
  <si>
    <t>2011-05-31</t>
  </si>
  <si>
    <t>2009-06-30</t>
  </si>
  <si>
    <t>2010-09-30</t>
  </si>
  <si>
    <t>2010-03-31</t>
  </si>
  <si>
    <t>2010-04-30</t>
  </si>
  <si>
    <t>2011-01-31</t>
  </si>
  <si>
    <t>01008213</t>
  </si>
  <si>
    <t>01009341</t>
  </si>
  <si>
    <t>01009359</t>
  </si>
  <si>
    <t>01009441</t>
  </si>
  <si>
    <t>01009497</t>
  </si>
  <si>
    <t>2007-03-31</t>
  </si>
  <si>
    <t>Grand Total</t>
  </si>
  <si>
    <t>Closed Prior to Tracker</t>
  </si>
  <si>
    <t>Amounts Closed</t>
  </si>
  <si>
    <t>Costs Incurred</t>
  </si>
  <si>
    <t>Tracker eligible costs</t>
  </si>
  <si>
    <t>prior costs not closed</t>
  </si>
  <si>
    <t>time frame</t>
  </si>
  <si>
    <t>Bonus Depreciation rate</t>
  </si>
  <si>
    <t>Depreciation schedule</t>
  </si>
  <si>
    <t>15 yr</t>
  </si>
  <si>
    <t>current yr costs</t>
  </si>
  <si>
    <t>20 yr</t>
  </si>
  <si>
    <t>Costs incurred as of 12/31/2009</t>
  </si>
  <si>
    <t>Cost Buckets</t>
  </si>
  <si>
    <t>Closing Buckets</t>
  </si>
  <si>
    <t>Total Closed</t>
  </si>
  <si>
    <t>Total Costs</t>
  </si>
  <si>
    <t>Closed</t>
  </si>
  <si>
    <t>closed 50% pd</t>
  </si>
  <si>
    <t>incurred 50% pd</t>
  </si>
  <si>
    <t>closed 100% pd</t>
  </si>
  <si>
    <t>incurred 100% pd</t>
  </si>
  <si>
    <t>2010 Bucket Allocations</t>
  </si>
  <si>
    <t>107 balance check</t>
  </si>
  <si>
    <t>Current Year Costs</t>
  </si>
  <si>
    <t>Total</t>
  </si>
  <si>
    <t>2011 Bucket Allocations</t>
  </si>
  <si>
    <t>Closed 100% pd</t>
  </si>
  <si>
    <t>RATES</t>
  </si>
  <si>
    <t>100% Bonus Deferred Tax Rate</t>
  </si>
  <si>
    <t>50% Bonus Deferred Tax Rate (15 yr)</t>
  </si>
  <si>
    <t>50% Bouns Deferred Tax Rate (20 yr)</t>
  </si>
  <si>
    <t>2010 Buckets</t>
  </si>
  <si>
    <t>Closed 50% pd, incurred 50% pd</t>
  </si>
  <si>
    <t>Closed 100% pd, incurred 100% pd</t>
  </si>
  <si>
    <t>Closed 100% pd, incurred 50 % pd</t>
  </si>
  <si>
    <t>Already in Rates</t>
  </si>
  <si>
    <t>Total In bucket</t>
  </si>
  <si>
    <t>2011 Buckets</t>
  </si>
  <si>
    <t>Closed 100% pd, incurred 50% pd</t>
  </si>
  <si>
    <t>Yr1</t>
  </si>
  <si>
    <t>Yr2</t>
  </si>
  <si>
    <t>Yr3</t>
  </si>
  <si>
    <t>Yr4</t>
  </si>
  <si>
    <t>Yr5</t>
  </si>
  <si>
    <t>Yr6</t>
  </si>
  <si>
    <t>Yr7</t>
  </si>
  <si>
    <t>Yr8</t>
  </si>
  <si>
    <t>Yr9</t>
  </si>
  <si>
    <t>Yr10</t>
  </si>
  <si>
    <t>Yr11</t>
  </si>
  <si>
    <t>Yr12</t>
  </si>
  <si>
    <t>Yr13</t>
  </si>
  <si>
    <t>Yr14</t>
  </si>
  <si>
    <t>Yr15</t>
  </si>
  <si>
    <t>Yr16</t>
  </si>
  <si>
    <t>Yr17</t>
  </si>
  <si>
    <t>Yr18</t>
  </si>
  <si>
    <t>Yr19</t>
  </si>
  <si>
    <t>Yr20</t>
  </si>
  <si>
    <t>Yr21</t>
  </si>
  <si>
    <t>Tax Depreciation Calculations</t>
  </si>
  <si>
    <t>Description</t>
  </si>
  <si>
    <t>FL 4 Install 28,000' of 24"</t>
  </si>
  <si>
    <t>FL11 Install 55,780' of 24"</t>
  </si>
  <si>
    <t xml:space="preserve">FL19 Install 8",12" and 20"  </t>
  </si>
  <si>
    <t>Total Net Investment (101)</t>
  </si>
  <si>
    <t>Already in rates</t>
  </si>
  <si>
    <t>Total investment not in rates</t>
  </si>
  <si>
    <t>Cumulative Plant Balances</t>
  </si>
  <si>
    <t>Cumulative Plant Balances (Less $10.1 Mil)</t>
  </si>
  <si>
    <t>Book Depreciation Rate per Month</t>
  </si>
  <si>
    <t>Book Depreciation</t>
  </si>
  <si>
    <t>Accumulated Depreciation</t>
  </si>
  <si>
    <t>Questar 13 Month Avg (Accum Depr)</t>
  </si>
  <si>
    <t>Questar 13 Month Avg (Plant Additions)</t>
  </si>
  <si>
    <t>Less $10.1 Million</t>
  </si>
  <si>
    <t>Questar 13 Mo Avg Not in Rates</t>
  </si>
  <si>
    <t>FL12 Install 7300' of 24"</t>
  </si>
  <si>
    <t>FL17 Install 12" and 6"</t>
  </si>
  <si>
    <t>FL13 Included in FL12</t>
  </si>
  <si>
    <t>Use 50% Bonus</t>
  </si>
  <si>
    <t>Use 100% Bonus</t>
  </si>
  <si>
    <t>Use 50% bonus</t>
  </si>
  <si>
    <t>Use 100% bonus</t>
  </si>
  <si>
    <t>FL12 Retirement</t>
  </si>
  <si>
    <t>FL17 Retirement</t>
  </si>
  <si>
    <t>FL18 Retirement</t>
  </si>
  <si>
    <t>Temporary Difference (Book/Tax Depr)</t>
  </si>
  <si>
    <t>ADIT</t>
  </si>
  <si>
    <t>Calculation of Revenue Requirement</t>
  </si>
  <si>
    <t>Revenue</t>
  </si>
  <si>
    <t>Requirement</t>
  </si>
  <si>
    <t>Total Net Investment</t>
  </si>
  <si>
    <t>1/</t>
  </si>
  <si>
    <t>Less: Amount currently in rates</t>
  </si>
  <si>
    <t>2/</t>
  </si>
  <si>
    <t xml:space="preserve">     Replacement Infrastructure in Tracker</t>
  </si>
  <si>
    <t xml:space="preserve">              Less:  Accumulated Depreciation</t>
  </si>
  <si>
    <t>3/</t>
  </si>
  <si>
    <t xml:space="preserve">                        Accumulated Deferred Income Tax</t>
  </si>
  <si>
    <t>4/</t>
  </si>
  <si>
    <t xml:space="preserve">     Net Rate Base</t>
  </si>
  <si>
    <t xml:space="preserve">     Current Commission-Allowed Pre-Tax Rate of Return</t>
  </si>
  <si>
    <t xml:space="preserve">     Allowed Pre-Tax Return (Line 6 x Line 7)</t>
  </si>
  <si>
    <t xml:space="preserve">               Plus:  Net Depreciation Expense</t>
  </si>
  <si>
    <t xml:space="preserve">                        Net Taxes Other Than Income (1.2% x Line 6)</t>
  </si>
  <si>
    <t xml:space="preserve">     Total Revenue Requirement (Lines 8 through 10)</t>
  </si>
  <si>
    <t xml:space="preserve">    rate of 2.1% by the net investment amount on line 3.</t>
  </si>
  <si>
    <t>Questar 13 Month Avg (ADIT)</t>
  </si>
  <si>
    <t>Cost of Service Allocation</t>
  </si>
  <si>
    <t>A</t>
  </si>
  <si>
    <t>B</t>
  </si>
  <si>
    <t>C</t>
  </si>
  <si>
    <t>Commission Ordered</t>
  </si>
  <si>
    <t>09-057-16</t>
  </si>
  <si>
    <t xml:space="preserve">Percent </t>
  </si>
  <si>
    <t>Tariff</t>
  </si>
  <si>
    <t>Revenue Requirement</t>
  </si>
  <si>
    <t>of Total</t>
  </si>
  <si>
    <t>GS</t>
  </si>
  <si>
    <t>FS</t>
  </si>
  <si>
    <t>NGV</t>
  </si>
  <si>
    <t>IS</t>
  </si>
  <si>
    <t>TS</t>
  </si>
  <si>
    <t>MT</t>
  </si>
  <si>
    <t>FT-1</t>
  </si>
  <si>
    <t>Totals</t>
  </si>
  <si>
    <t>1/ Per Docket 09-057-16, Settlement Stipulation exhibit 1, page 2, column F</t>
  </si>
  <si>
    <t>Rate Calculation</t>
  </si>
  <si>
    <t xml:space="preserve">D </t>
  </si>
  <si>
    <t>E</t>
  </si>
  <si>
    <t>F</t>
  </si>
  <si>
    <t>G</t>
  </si>
  <si>
    <t>H</t>
  </si>
  <si>
    <t>I</t>
  </si>
  <si>
    <t>J</t>
  </si>
  <si>
    <t>K</t>
  </si>
  <si>
    <t>Utah GS</t>
  </si>
  <si>
    <t xml:space="preserve">Current Rates </t>
  </si>
  <si>
    <t>Infrastructure</t>
  </si>
  <si>
    <t>Current Rates</t>
  </si>
  <si>
    <t>(I - J)</t>
  </si>
  <si>
    <t>Replacement</t>
  </si>
  <si>
    <t xml:space="preserve">Percentage </t>
  </si>
  <si>
    <t>Difference</t>
  </si>
  <si>
    <t>Volumetric Rates</t>
  </si>
  <si>
    <t>Dth</t>
  </si>
  <si>
    <t>Curr. Rate</t>
  </si>
  <si>
    <t>Revenues</t>
  </si>
  <si>
    <t>Increase</t>
  </si>
  <si>
    <t>Rate</t>
  </si>
  <si>
    <t>Winter</t>
  </si>
  <si>
    <t>Block 1</t>
  </si>
  <si>
    <t>First</t>
  </si>
  <si>
    <t>Block 2</t>
  </si>
  <si>
    <t>Next</t>
  </si>
  <si>
    <t>Summer</t>
  </si>
  <si>
    <t>Total Volumetric Charges</t>
  </si>
  <si>
    <t>Fixed Charges</t>
  </si>
  <si>
    <t>Utah NGV</t>
  </si>
  <si>
    <t>Percentage</t>
  </si>
  <si>
    <t>All Usage</t>
  </si>
  <si>
    <t>All Over</t>
  </si>
  <si>
    <t>Utah FS</t>
  </si>
  <si>
    <t>Block 3</t>
  </si>
  <si>
    <t>Total Winter</t>
  </si>
  <si>
    <t>Utah IS</t>
  </si>
  <si>
    <t>Utah FT-1</t>
  </si>
  <si>
    <t>Block 4</t>
  </si>
  <si>
    <t>Utah TS</t>
  </si>
  <si>
    <t xml:space="preserve">Annual Demand Charges per Dth of </t>
  </si>
  <si>
    <t>Contract Firm Transportation</t>
  </si>
  <si>
    <t>Utah MT</t>
  </si>
  <si>
    <t>EFFECT ON GS TYPICAL CUSTOMER</t>
  </si>
  <si>
    <t>80 DTHS -  ANNUAL CONSUMPTION</t>
  </si>
  <si>
    <t>(A)</t>
  </si>
  <si>
    <t>(B)</t>
  </si>
  <si>
    <t xml:space="preserve">(C)   </t>
  </si>
  <si>
    <t xml:space="preserve">    (D)</t>
  </si>
  <si>
    <t xml:space="preserve">   (E)</t>
  </si>
  <si>
    <t xml:space="preserve">    (F)</t>
  </si>
  <si>
    <t xml:space="preserve">   Billed at Current</t>
  </si>
  <si>
    <t xml:space="preserve">   Billed at</t>
  </si>
  <si>
    <t>Usage</t>
  </si>
  <si>
    <t xml:space="preserve">   Rate Effective</t>
  </si>
  <si>
    <t xml:space="preserve">   Proposed</t>
  </si>
  <si>
    <t>Schedule</t>
  </si>
  <si>
    <t>Month</t>
  </si>
  <si>
    <t>In Dth</t>
  </si>
  <si>
    <t xml:space="preserve">   Rate</t>
  </si>
  <si>
    <t>Change</t>
  </si>
  <si>
    <t>Jan</t>
  </si>
  <si>
    <t>Feb</t>
  </si>
  <si>
    <t>Mar</t>
  </si>
  <si>
    <t>Apr</t>
  </si>
  <si>
    <t>May</t>
  </si>
  <si>
    <t>Jun</t>
  </si>
  <si>
    <t>Jul</t>
  </si>
  <si>
    <t>Aug</t>
  </si>
  <si>
    <t>Sep</t>
  </si>
  <si>
    <t>Oct</t>
  </si>
  <si>
    <t>Nov</t>
  </si>
  <si>
    <t>Dec</t>
  </si>
  <si>
    <t xml:space="preserve"> </t>
  </si>
  <si>
    <t>Percent Change:</t>
  </si>
  <si>
    <t>%</t>
  </si>
  <si>
    <t>BSF</t>
  </si>
  <si>
    <t>1st Block</t>
  </si>
  <si>
    <t>Proposed</t>
  </si>
  <si>
    <t>Current</t>
  </si>
  <si>
    <t>Tax Depreciation</t>
  </si>
  <si>
    <t>DIT</t>
  </si>
  <si>
    <t>1/ Per the Settlement Stipulation, paragraph 16 in Docket 09-057-16.</t>
  </si>
  <si>
    <t>D</t>
  </si>
  <si>
    <t>L</t>
  </si>
  <si>
    <t>M</t>
  </si>
  <si>
    <t>N</t>
  </si>
  <si>
    <t>O</t>
  </si>
  <si>
    <t>P</t>
  </si>
  <si>
    <t>Q</t>
  </si>
  <si>
    <t>R</t>
  </si>
  <si>
    <t>S</t>
  </si>
  <si>
    <t>T</t>
  </si>
  <si>
    <t>U</t>
  </si>
  <si>
    <t>V</t>
  </si>
  <si>
    <t>W</t>
  </si>
  <si>
    <t>X</t>
  </si>
  <si>
    <t>Y</t>
  </si>
  <si>
    <t>Z</t>
  </si>
  <si>
    <t>QGC Infrastructure Replacement Project Summary</t>
  </si>
  <si>
    <t>1/ ADIT is calculated using a 13 month average covering the test period.</t>
  </si>
  <si>
    <t>5/</t>
  </si>
  <si>
    <t>4/ Current Commission allowed pretax return as shown in Section 2.07 of the Company's tariff</t>
  </si>
  <si>
    <t xml:space="preserve">5/ Depreciation expense and accumulated depreciation calculated by multiplying the depreciation </t>
  </si>
  <si>
    <t>Removal Costs (108)</t>
  </si>
  <si>
    <t>2/ Total calculated surcharge amount from Exhibit 1.1 page 2, line 15</t>
  </si>
  <si>
    <t>Temporary Difference</t>
  </si>
  <si>
    <t>Tax Rate</t>
  </si>
  <si>
    <t>Deferred taxes</t>
  </si>
  <si>
    <t>2011-09-30</t>
  </si>
  <si>
    <t>2011-10-31</t>
  </si>
  <si>
    <t>2011-11-30</t>
  </si>
  <si>
    <t>2011-12-31</t>
  </si>
  <si>
    <t>01009253</t>
  </si>
  <si>
    <t>01009372</t>
  </si>
  <si>
    <t>01009725</t>
  </si>
  <si>
    <t>01009612</t>
  </si>
  <si>
    <t>FL46 - Inst 12" buried block valve</t>
  </si>
  <si>
    <t>FL10 - Inst Valve Assembly</t>
  </si>
  <si>
    <t>01009666</t>
  </si>
  <si>
    <t>FL25 - Repl 65,500' of 12"</t>
  </si>
  <si>
    <t>2/ See Exhibit 1.1 line 35</t>
  </si>
  <si>
    <t>FL16 - Inst 100' of 4"</t>
  </si>
  <si>
    <t>FL12 Install 20,835' of 24"</t>
  </si>
  <si>
    <t>FL34 Install 289' of 20"</t>
  </si>
  <si>
    <t>FL18 Install 12" &amp; 8"</t>
  </si>
  <si>
    <t>10/1/11</t>
  </si>
  <si>
    <t>Bonus Depreciation Overcollection</t>
  </si>
  <si>
    <t>Proration Adjustment</t>
  </si>
  <si>
    <t>Total Revenue Requirement</t>
  </si>
  <si>
    <t>FL25 Retirement</t>
  </si>
  <si>
    <t>FL19 Retirement</t>
  </si>
  <si>
    <t>Adjustments to Revenue Requirement:</t>
  </si>
  <si>
    <t>3/ Depreciation for tax purposes is calculated using the average ADIT for the test period.  See exhibit 1.1 line 32</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</si>
</sst>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mmmm\-yy;@"/>
    <numFmt numFmtId="165" formatCode="_(* #,##0_);_(* \(#,##0\);_(* &quot;-&quot;??_);_(@_)"/>
    <numFmt numFmtId="166" formatCode="0.000%"/>
    <numFmt numFmtId="167" formatCode="0.0000%"/>
    <numFmt numFmtId="168" formatCode="_(&quot;$&quot;* #,##0_);_(&quot;$&quot;* \(#,##0\);_(&quot;$&quot;* &quot;-&quot;??_);_(@_)"/>
    <numFmt numFmtId="169" formatCode="#,##0.00000_);\(#,##0.00000\)"/>
    <numFmt numFmtId="170" formatCode="0.0000000_)"/>
    <numFmt numFmtId="171" formatCode="#,##0.00000"/>
    <numFmt numFmtId="172" formatCode="&quot;$&quot;#,##0.00000_);\(&quot;$&quot;#,##0.00000\)"/>
    <numFmt numFmtId="173" formatCode="#,##0.0"/>
    <numFmt numFmtId="174" formatCode="#,##0.0_);\(#,##0.0\)"/>
    <numFmt numFmtId="175" formatCode="0.00_);\(0.00\)"/>
    <numFmt numFmtId="176" formatCode="[$-409]d\-mmm\-yy;@"/>
    <numFmt numFmtId="177" formatCode="0.00000"/>
  </numFmts>
  <fonts count="18">
    <font>
      <sz val="10"/>
      <name val="MS Sans Serif"/>
    </font>
    <font>
      <b/>
      <sz val="10"/>
      <name val="MS Sans Serif"/>
      <family val="2"/>
    </font>
    <font>
      <sz val="10"/>
      <name val="MS Sans Serif"/>
      <family val="2"/>
    </font>
    <font>
      <sz val="10"/>
      <name val="MS Sans Serif"/>
      <family val="2"/>
    </font>
    <font>
      <b/>
      <sz val="10"/>
      <name val="MS Sans Serif"/>
      <family val="2"/>
    </font>
    <font>
      <sz val="9"/>
      <color indexed="81"/>
      <name val="Tahoma"/>
      <family val="2"/>
    </font>
    <font>
      <b/>
      <sz val="9"/>
      <color indexed="81"/>
      <name val="Tahoma"/>
      <family val="2"/>
    </font>
    <font>
      <i/>
      <sz val="10"/>
      <name val="MS Sans Serif"/>
      <family val="2"/>
    </font>
    <font>
      <sz val="10"/>
      <name val="Arial"/>
      <family val="2"/>
    </font>
    <font>
      <sz val="10"/>
      <color theme="1"/>
      <name val="Arial"/>
      <family val="2"/>
    </font>
    <font>
      <b/>
      <sz val="10"/>
      <name val="Arial"/>
      <family val="2"/>
    </font>
    <font>
      <b/>
      <sz val="12"/>
      <name val="Arial"/>
      <family val="2"/>
    </font>
    <font>
      <sz val="10"/>
      <color indexed="8"/>
      <name val="Arial"/>
      <family val="2"/>
    </font>
    <font>
      <b/>
      <sz val="10"/>
      <color indexed="8"/>
      <name val="Arial"/>
      <family val="2"/>
    </font>
    <font>
      <sz val="10"/>
      <color indexed="10"/>
      <name val="Arial"/>
      <family val="2"/>
    </font>
    <font>
      <sz val="8"/>
      <name val="LinePrinter"/>
    </font>
    <font>
      <b/>
      <sz val="10"/>
      <color indexed="12"/>
      <name val="Arial"/>
      <family val="2"/>
    </font>
    <font>
      <b/>
      <sz val="12"/>
      <name val="MS Sans Serif"/>
      <family val="2"/>
    </font>
  </fonts>
  <fills count="5">
    <fill>
      <patternFill patternType="none"/>
    </fill>
    <fill>
      <patternFill patternType="gray125"/>
    </fill>
    <fill>
      <patternFill patternType="mediumGray">
        <fgColor indexed="22"/>
      </patternFill>
    </fill>
    <fill>
      <patternFill patternType="solid">
        <fgColor theme="1"/>
        <bgColor indexed="64"/>
      </patternFill>
    </fill>
    <fill>
      <patternFill patternType="solid">
        <fgColor theme="8" tint="0.59999389629810485"/>
        <bgColor indexed="64"/>
      </patternFill>
    </fill>
  </fills>
  <borders count="7">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s>
  <cellStyleXfs count="15">
    <xf numFmtId="164" fontId="0" fillId="0" borderId="0"/>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1" fillId="0" borderId="1">
      <alignment horizontal="center"/>
    </xf>
    <xf numFmtId="3" fontId="2" fillId="0" borderId="0" applyFont="0" applyFill="0" applyBorder="0" applyAlignment="0" applyProtection="0"/>
    <xf numFmtId="164" fontId="2" fillId="2" borderId="0" applyNumberFormat="0" applyFon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Protection="0"/>
    <xf numFmtId="0" fontId="8" fillId="0" borderId="0"/>
    <xf numFmtId="9" fontId="8" fillId="0" borderId="0" applyFont="0" applyFill="0" applyBorder="0" applyAlignment="0" applyProtection="0"/>
    <xf numFmtId="0" fontId="15" fillId="0" borderId="0"/>
  </cellStyleXfs>
  <cellXfs count="250">
    <xf numFmtId="164" fontId="0" fillId="0" borderId="0" xfId="0"/>
    <xf numFmtId="38" fontId="0" fillId="0" borderId="0" xfId="0" applyNumberFormat="1"/>
    <xf numFmtId="164" fontId="3" fillId="0" borderId="0" xfId="0" applyFont="1"/>
    <xf numFmtId="164" fontId="4" fillId="0" borderId="0" xfId="0" applyFont="1"/>
    <xf numFmtId="164" fontId="0" fillId="0" borderId="0" xfId="0" applyBorder="1"/>
    <xf numFmtId="164" fontId="0" fillId="0" borderId="0" xfId="0" applyFill="1"/>
    <xf numFmtId="164" fontId="3" fillId="0" borderId="0" xfId="0" applyFont="1" applyAlignment="1">
      <alignment wrapText="1"/>
    </xf>
    <xf numFmtId="43" fontId="0" fillId="0" borderId="0" xfId="7" applyFont="1" applyFill="1"/>
    <xf numFmtId="43" fontId="0" fillId="0" borderId="2" xfId="7" applyFont="1" applyBorder="1"/>
    <xf numFmtId="43" fontId="0" fillId="0" borderId="0" xfId="7" applyFont="1"/>
    <xf numFmtId="164" fontId="0" fillId="0" borderId="0" xfId="0" quotePrefix="1"/>
    <xf numFmtId="43" fontId="3" fillId="0" borderId="0" xfId="7" applyFont="1"/>
    <xf numFmtId="43" fontId="3" fillId="0" borderId="0" xfId="7" applyFont="1" applyAlignment="1">
      <alignment wrapText="1"/>
    </xf>
    <xf numFmtId="9" fontId="3" fillId="0" borderId="0" xfId="7" applyNumberFormat="1" applyFont="1" applyAlignment="1">
      <alignment horizontal="center" wrapText="1"/>
    </xf>
    <xf numFmtId="9" fontId="0" fillId="0" borderId="0" xfId="7" applyNumberFormat="1" applyFont="1" applyAlignment="1">
      <alignment horizontal="center"/>
    </xf>
    <xf numFmtId="43" fontId="3" fillId="0" borderId="0" xfId="7" applyFont="1" applyAlignment="1">
      <alignment horizontal="center" wrapText="1"/>
    </xf>
    <xf numFmtId="43" fontId="3" fillId="0" borderId="0" xfId="7" applyFont="1" applyAlignment="1">
      <alignment horizontal="center"/>
    </xf>
    <xf numFmtId="2" fontId="0" fillId="0" borderId="0" xfId="0" applyNumberFormat="1"/>
    <xf numFmtId="0" fontId="3" fillId="0" borderId="0" xfId="7" applyNumberFormat="1" applyFont="1" applyAlignment="1">
      <alignment horizontal="center"/>
    </xf>
    <xf numFmtId="1" fontId="0" fillId="0" borderId="0" xfId="0" applyNumberFormat="1"/>
    <xf numFmtId="165" fontId="0" fillId="0" borderId="0" xfId="7" applyNumberFormat="1" applyFont="1"/>
    <xf numFmtId="164" fontId="0" fillId="3" borderId="0" xfId="0" applyFill="1"/>
    <xf numFmtId="43" fontId="0" fillId="3" borderId="0" xfId="7" applyFont="1" applyFill="1"/>
    <xf numFmtId="164" fontId="3" fillId="0" borderId="0" xfId="0" applyFont="1" applyAlignment="1">
      <alignment horizontal="center"/>
    </xf>
    <xf numFmtId="0" fontId="4" fillId="0" borderId="0" xfId="0" applyNumberFormat="1" applyFont="1" applyAlignment="1">
      <alignment horizontal="center"/>
    </xf>
    <xf numFmtId="166" fontId="0" fillId="0" borderId="0" xfId="8" applyNumberFormat="1" applyFont="1"/>
    <xf numFmtId="167" fontId="0" fillId="0" borderId="0" xfId="8" applyNumberFormat="1" applyFont="1"/>
    <xf numFmtId="43" fontId="0" fillId="0" borderId="0" xfId="7" applyFont="1" applyAlignment="1">
      <alignment horizontal="right"/>
    </xf>
    <xf numFmtId="43" fontId="4" fillId="0" borderId="2" xfId="7" applyFont="1" applyBorder="1"/>
    <xf numFmtId="164" fontId="3" fillId="4" borderId="0" xfId="0" applyFont="1" applyFill="1" applyAlignment="1">
      <alignment wrapText="1"/>
    </xf>
    <xf numFmtId="164" fontId="3" fillId="4" borderId="0" xfId="0" applyFont="1" applyFill="1"/>
    <xf numFmtId="164" fontId="0" fillId="4" borderId="0" xfId="0" applyFill="1"/>
    <xf numFmtId="165" fontId="0" fillId="4" borderId="0" xfId="7" applyNumberFormat="1" applyFont="1" applyFill="1"/>
    <xf numFmtId="43" fontId="0" fillId="4" borderId="2" xfId="7" applyNumberFormat="1" applyFont="1" applyFill="1" applyBorder="1"/>
    <xf numFmtId="43" fontId="4" fillId="4" borderId="2" xfId="7" applyNumberFormat="1" applyFont="1" applyFill="1" applyBorder="1"/>
    <xf numFmtId="43" fontId="4" fillId="4" borderId="2" xfId="7" applyFont="1" applyFill="1" applyBorder="1"/>
    <xf numFmtId="43" fontId="0" fillId="4" borderId="0" xfId="7" applyFont="1" applyFill="1"/>
    <xf numFmtId="164" fontId="3" fillId="4" borderId="0" xfId="0" applyFont="1" applyFill="1" applyAlignment="1">
      <alignment horizontal="center"/>
    </xf>
    <xf numFmtId="9" fontId="0" fillId="4" borderId="0" xfId="7" applyNumberFormat="1" applyFont="1" applyFill="1" applyAlignment="1">
      <alignment horizontal="center"/>
    </xf>
    <xf numFmtId="164" fontId="0" fillId="0" borderId="0" xfId="0" applyAlignment="1">
      <alignment horizontal="left" indent="1"/>
    </xf>
    <xf numFmtId="164" fontId="0" fillId="0" borderId="0" xfId="0" applyFont="1" applyAlignment="1">
      <alignment horizontal="left" indent="1"/>
    </xf>
    <xf numFmtId="164" fontId="0" fillId="0" borderId="0" xfId="0" applyFont="1" applyAlignment="1">
      <alignment horizontal="left"/>
    </xf>
    <xf numFmtId="164" fontId="4" fillId="0" borderId="0" xfId="8" applyNumberFormat="1" applyFont="1"/>
    <xf numFmtId="164" fontId="0" fillId="0" borderId="0" xfId="7" applyNumberFormat="1" applyFont="1" applyAlignment="1">
      <alignment horizontal="center"/>
    </xf>
    <xf numFmtId="38" fontId="0" fillId="0" borderId="0" xfId="7" applyNumberFormat="1" applyFont="1"/>
    <xf numFmtId="164" fontId="7" fillId="4" borderId="0" xfId="0" applyFont="1" applyFill="1"/>
    <xf numFmtId="43" fontId="7" fillId="4" borderId="0" xfId="7" applyFont="1" applyFill="1" applyAlignment="1">
      <alignment horizontal="center"/>
    </xf>
    <xf numFmtId="43" fontId="3" fillId="0" borderId="0" xfId="7" applyFont="1" applyFill="1" applyAlignment="1">
      <alignment horizontal="center" wrapText="1"/>
    </xf>
    <xf numFmtId="164" fontId="3" fillId="0" borderId="0" xfId="0" applyFont="1" applyFill="1" applyAlignment="1">
      <alignment horizontal="center"/>
    </xf>
    <xf numFmtId="9" fontId="0" fillId="0" borderId="0" xfId="7" applyNumberFormat="1" applyFont="1" applyFill="1" applyAlignment="1">
      <alignment horizontal="center"/>
    </xf>
    <xf numFmtId="43" fontId="3" fillId="0" borderId="0" xfId="7" applyFont="1" applyFill="1" applyAlignment="1">
      <alignment horizontal="center"/>
    </xf>
    <xf numFmtId="43" fontId="0" fillId="0" borderId="2" xfId="7" applyFont="1" applyFill="1" applyBorder="1"/>
    <xf numFmtId="165" fontId="0" fillId="0" borderId="3" xfId="7" applyNumberFormat="1" applyFont="1" applyBorder="1"/>
    <xf numFmtId="164" fontId="4" fillId="0" borderId="0" xfId="0" applyFont="1" applyAlignment="1">
      <alignment horizontal="center"/>
    </xf>
    <xf numFmtId="164" fontId="9" fillId="0" borderId="0" xfId="0" applyFont="1"/>
    <xf numFmtId="164" fontId="9" fillId="0" borderId="0" xfId="0" applyFont="1" applyAlignment="1">
      <alignment horizontal="center"/>
    </xf>
    <xf numFmtId="164" fontId="9" fillId="0" borderId="0" xfId="0" applyFont="1" applyAlignment="1"/>
    <xf numFmtId="164" fontId="9" fillId="0" borderId="4" xfId="0" applyFont="1" applyBorder="1" applyAlignment="1">
      <alignment horizontal="center"/>
    </xf>
    <xf numFmtId="164" fontId="9" fillId="0" borderId="0" xfId="0" applyFont="1" applyBorder="1" applyAlignment="1">
      <alignment horizontal="left" vertical="top"/>
    </xf>
    <xf numFmtId="6" fontId="9" fillId="0" borderId="0" xfId="0" applyNumberFormat="1" applyFont="1"/>
    <xf numFmtId="5" fontId="9" fillId="0" borderId="0" xfId="0" applyNumberFormat="1" applyFont="1"/>
    <xf numFmtId="6" fontId="9" fillId="0" borderId="4" xfId="0" applyNumberFormat="1" applyFont="1" applyBorder="1"/>
    <xf numFmtId="10" fontId="9" fillId="0" borderId="0" xfId="8" applyNumberFormat="1" applyFont="1"/>
    <xf numFmtId="6" fontId="9" fillId="0" borderId="3" xfId="0" applyNumberFormat="1" applyFont="1" applyBorder="1"/>
    <xf numFmtId="164" fontId="9" fillId="0" borderId="0" xfId="0" applyFont="1" applyBorder="1" applyAlignment="1"/>
    <xf numFmtId="6" fontId="0" fillId="0" borderId="0" xfId="0" applyNumberFormat="1" applyFill="1" applyBorder="1"/>
    <xf numFmtId="6" fontId="0" fillId="0" borderId="0" xfId="0" applyNumberFormat="1" applyBorder="1"/>
    <xf numFmtId="5" fontId="0" fillId="0" borderId="0" xfId="0" applyNumberFormat="1" applyBorder="1"/>
    <xf numFmtId="0" fontId="9" fillId="0" borderId="0" xfId="0" applyNumberFormat="1" applyFont="1"/>
    <xf numFmtId="0" fontId="0" fillId="0" borderId="0" xfId="0" applyNumberFormat="1"/>
    <xf numFmtId="164" fontId="0" fillId="0" borderId="0" xfId="0" quotePrefix="1" applyFill="1"/>
    <xf numFmtId="0" fontId="8" fillId="0" borderId="0" xfId="9"/>
    <xf numFmtId="5" fontId="8" fillId="0" borderId="0" xfId="9" applyNumberFormat="1" applyFont="1"/>
    <xf numFmtId="0" fontId="8" fillId="0" borderId="0" xfId="9" applyFont="1"/>
    <xf numFmtId="0" fontId="8" fillId="0" borderId="0" xfId="9" applyFont="1" applyAlignment="1">
      <alignment horizontal="center"/>
    </xf>
    <xf numFmtId="0" fontId="8" fillId="0" borderId="0" xfId="9" applyFont="1" applyAlignment="1">
      <alignment horizontal="center" vertical="center"/>
    </xf>
    <xf numFmtId="0" fontId="8" fillId="0" borderId="0" xfId="9" quotePrefix="1" applyFont="1" applyAlignment="1">
      <alignment horizontal="center" vertical="center"/>
    </xf>
    <xf numFmtId="0" fontId="8" fillId="0" borderId="0" xfId="9" applyFont="1" applyBorder="1" applyAlignment="1">
      <alignment horizontal="center" vertical="center"/>
    </xf>
    <xf numFmtId="0" fontId="8" fillId="0" borderId="0" xfId="9" applyFont="1" applyBorder="1" applyAlignment="1">
      <alignment horizontal="center"/>
    </xf>
    <xf numFmtId="0" fontId="8" fillId="0" borderId="0" xfId="9" quotePrefix="1" applyFont="1" applyAlignment="1">
      <alignment horizontal="center"/>
    </xf>
    <xf numFmtId="0" fontId="8" fillId="0" borderId="4" xfId="9" applyFont="1" applyBorder="1"/>
    <xf numFmtId="0" fontId="8" fillId="0" borderId="4" xfId="9" applyFont="1" applyFill="1" applyBorder="1" applyAlignment="1">
      <alignment horizontal="center"/>
    </xf>
    <xf numFmtId="0" fontId="8" fillId="0" borderId="0" xfId="9" applyAlignment="1">
      <alignment horizontal="center"/>
    </xf>
    <xf numFmtId="168" fontId="9" fillId="0" borderId="2" xfId="10" applyNumberFormat="1" applyFont="1" applyBorder="1"/>
    <xf numFmtId="168" fontId="9" fillId="0" borderId="0" xfId="10" applyNumberFormat="1" applyFont="1" applyBorder="1"/>
    <xf numFmtId="10" fontId="9" fillId="0" borderId="0" xfId="8" applyNumberFormat="1" applyFont="1" applyBorder="1"/>
    <xf numFmtId="165" fontId="9" fillId="0" borderId="0" xfId="11" applyNumberFormat="1" applyFont="1"/>
    <xf numFmtId="165" fontId="9" fillId="0" borderId="0" xfId="11" applyNumberFormat="1" applyFont="1" applyBorder="1"/>
    <xf numFmtId="165" fontId="9" fillId="0" borderId="4" xfId="11" applyNumberFormat="1" applyFont="1" applyBorder="1"/>
    <xf numFmtId="10" fontId="9" fillId="0" borderId="4" xfId="8" applyNumberFormat="1" applyFont="1" applyBorder="1"/>
    <xf numFmtId="168" fontId="9" fillId="0" borderId="4" xfId="10" applyNumberFormat="1" applyFont="1" applyBorder="1"/>
    <xf numFmtId="168" fontId="9" fillId="0" borderId="0" xfId="10" applyNumberFormat="1" applyFont="1"/>
    <xf numFmtId="9" fontId="9" fillId="0" borderId="0" xfId="8" applyFont="1"/>
    <xf numFmtId="0" fontId="10" fillId="0" borderId="0" xfId="12" applyFont="1" applyFill="1" applyAlignment="1">
      <alignment horizontal="center"/>
    </xf>
    <xf numFmtId="0" fontId="8" fillId="0" borderId="0" xfId="12" applyFont="1" applyFill="1"/>
    <xf numFmtId="0" fontId="8" fillId="0" borderId="0" xfId="12" applyFont="1" applyFill="1" applyAlignment="1"/>
    <xf numFmtId="3" fontId="8" fillId="0" borderId="0" xfId="12" applyNumberFormat="1" applyFont="1" applyFill="1" applyAlignment="1">
      <alignment horizontal="center"/>
    </xf>
    <xf numFmtId="0" fontId="8" fillId="0" borderId="0" xfId="12" applyFont="1" applyFill="1" applyBorder="1" applyAlignment="1"/>
    <xf numFmtId="0" fontId="10" fillId="0" borderId="0" xfId="12" applyFont="1" applyFill="1" applyBorder="1" applyAlignment="1">
      <alignment horizontal="center"/>
    </xf>
    <xf numFmtId="0" fontId="10" fillId="0" borderId="0" xfId="12" quotePrefix="1" applyFont="1" applyFill="1" applyBorder="1" applyAlignment="1" applyProtection="1">
      <alignment horizontal="left"/>
    </xf>
    <xf numFmtId="0" fontId="8" fillId="0" borderId="0" xfId="12" applyFont="1" applyFill="1" applyBorder="1" applyAlignment="1" applyProtection="1"/>
    <xf numFmtId="3" fontId="8" fillId="0" borderId="0" xfId="12" applyNumberFormat="1" applyFont="1" applyFill="1" applyBorder="1" applyAlignment="1" applyProtection="1">
      <alignment horizontal="center"/>
    </xf>
    <xf numFmtId="0" fontId="10" fillId="0" borderId="0" xfId="12" applyFont="1" applyFill="1" applyAlignment="1" applyProtection="1">
      <alignment horizontal="center"/>
    </xf>
    <xf numFmtId="0" fontId="10" fillId="0" borderId="0" xfId="12" applyFont="1" applyFill="1" applyAlignment="1" applyProtection="1"/>
    <xf numFmtId="0" fontId="10" fillId="0" borderId="1" xfId="12" applyFont="1" applyFill="1" applyBorder="1" applyAlignment="1"/>
    <xf numFmtId="0" fontId="10" fillId="0" borderId="1" xfId="12" applyFont="1" applyFill="1" applyBorder="1" applyAlignment="1" applyProtection="1"/>
    <xf numFmtId="3" fontId="10" fillId="0" borderId="1" xfId="12" applyNumberFormat="1" applyFont="1" applyFill="1" applyBorder="1" applyAlignment="1" applyProtection="1">
      <alignment horizontal="center"/>
    </xf>
    <xf numFmtId="3" fontId="10" fillId="0" borderId="0" xfId="12" applyNumberFormat="1" applyFont="1" applyFill="1" applyBorder="1" applyAlignment="1" applyProtection="1">
      <alignment horizontal="center"/>
    </xf>
    <xf numFmtId="0" fontId="10" fillId="0" borderId="1" xfId="12" applyFont="1" applyFill="1" applyBorder="1" applyAlignment="1" applyProtection="1">
      <alignment horizontal="center"/>
    </xf>
    <xf numFmtId="0" fontId="10" fillId="0" borderId="1" xfId="12" quotePrefix="1" applyFont="1" applyFill="1" applyBorder="1" applyAlignment="1" applyProtection="1">
      <alignment horizontal="center"/>
    </xf>
    <xf numFmtId="0" fontId="12" fillId="0" borderId="0" xfId="12" quotePrefix="1" applyFont="1" applyFill="1" applyBorder="1" applyAlignment="1" applyProtection="1">
      <alignment horizontal="left"/>
    </xf>
    <xf numFmtId="37" fontId="12" fillId="0" borderId="0" xfId="12" quotePrefix="1" applyNumberFormat="1" applyFont="1" applyFill="1" applyBorder="1" applyAlignment="1" applyProtection="1">
      <alignment horizontal="center"/>
    </xf>
    <xf numFmtId="37" fontId="12" fillId="0" borderId="0" xfId="12" applyNumberFormat="1" applyFont="1" applyFill="1" applyAlignment="1"/>
    <xf numFmtId="169" fontId="12" fillId="0" borderId="0" xfId="12" applyNumberFormat="1" applyFont="1" applyFill="1" applyAlignment="1"/>
    <xf numFmtId="37" fontId="12" fillId="0" borderId="0" xfId="12" applyNumberFormat="1" applyFont="1" applyFill="1" applyAlignment="1" applyProtection="1"/>
    <xf numFmtId="4" fontId="8" fillId="0" borderId="0" xfId="12" applyNumberFormat="1" applyFont="1" applyFill="1" applyBorder="1" applyAlignment="1" applyProtection="1"/>
    <xf numFmtId="10" fontId="12" fillId="0" borderId="0" xfId="13" applyNumberFormat="1" applyFont="1" applyFill="1" applyAlignment="1"/>
    <xf numFmtId="169" fontId="12" fillId="0" borderId="0" xfId="12" applyNumberFormat="1" applyFont="1" applyFill="1" applyAlignment="1" applyProtection="1"/>
    <xf numFmtId="170" fontId="8" fillId="0" borderId="0" xfId="12" applyNumberFormat="1" applyFont="1" applyFill="1" applyBorder="1" applyAlignment="1" applyProtection="1"/>
    <xf numFmtId="0" fontId="12" fillId="0" borderId="0" xfId="12" applyFont="1" applyFill="1" applyAlignment="1"/>
    <xf numFmtId="3" fontId="12" fillId="0" borderId="0" xfId="12" quotePrefix="1" applyNumberFormat="1" applyFont="1" applyFill="1" applyBorder="1" applyAlignment="1" applyProtection="1">
      <alignment horizontal="center"/>
    </xf>
    <xf numFmtId="0" fontId="12" fillId="0" borderId="0" xfId="12" applyFont="1" applyFill="1" applyBorder="1" applyAlignment="1" applyProtection="1"/>
    <xf numFmtId="0" fontId="13" fillId="0" borderId="0" xfId="12" quotePrefix="1" applyFont="1" applyFill="1" applyBorder="1" applyAlignment="1" applyProtection="1">
      <alignment horizontal="left"/>
    </xf>
    <xf numFmtId="37" fontId="12" fillId="0" borderId="3" xfId="12" applyNumberFormat="1" applyFont="1" applyFill="1" applyBorder="1" applyAlignment="1"/>
    <xf numFmtId="169" fontId="12" fillId="0" borderId="3" xfId="12" applyNumberFormat="1" applyFont="1" applyFill="1" applyBorder="1" applyAlignment="1"/>
    <xf numFmtId="171" fontId="8" fillId="0" borderId="0" xfId="12" applyNumberFormat="1" applyFont="1" applyFill="1" applyBorder="1" applyAlignment="1" applyProtection="1"/>
    <xf numFmtId="10" fontId="12" fillId="0" borderId="3" xfId="13" applyNumberFormat="1" applyFont="1" applyFill="1" applyBorder="1" applyAlignment="1"/>
    <xf numFmtId="0" fontId="8" fillId="0" borderId="0" xfId="12" quotePrefix="1" applyFont="1" applyFill="1" applyBorder="1" applyAlignment="1" applyProtection="1">
      <alignment horizontal="left"/>
    </xf>
    <xf numFmtId="3" fontId="8" fillId="0" borderId="0" xfId="12" quotePrefix="1" applyNumberFormat="1" applyFont="1" applyFill="1" applyBorder="1" applyAlignment="1" applyProtection="1">
      <alignment horizontal="center"/>
    </xf>
    <xf numFmtId="37" fontId="8" fillId="0" borderId="0" xfId="12" applyNumberFormat="1" applyFont="1" applyFill="1" applyAlignment="1"/>
    <xf numFmtId="172" fontId="8" fillId="0" borderId="0" xfId="12" applyNumberFormat="1" applyFont="1" applyFill="1" applyAlignment="1"/>
    <xf numFmtId="37" fontId="8" fillId="0" borderId="0" xfId="12" applyNumberFormat="1" applyFont="1" applyFill="1" applyAlignment="1" applyProtection="1"/>
    <xf numFmtId="0" fontId="8" fillId="0" borderId="1" xfId="12" applyFont="1" applyFill="1" applyBorder="1" applyAlignment="1" applyProtection="1"/>
    <xf numFmtId="3" fontId="8" fillId="0" borderId="1" xfId="12" applyNumberFormat="1" applyFont="1" applyFill="1" applyBorder="1" applyAlignment="1" applyProtection="1">
      <alignment horizontal="center"/>
    </xf>
    <xf numFmtId="37" fontId="8" fillId="0" borderId="1" xfId="12" applyNumberFormat="1" applyFont="1" applyFill="1" applyBorder="1" applyAlignment="1" applyProtection="1"/>
    <xf numFmtId="37" fontId="8" fillId="0" borderId="0" xfId="12" applyNumberFormat="1" applyFont="1" applyFill="1" applyBorder="1" applyAlignment="1" applyProtection="1"/>
    <xf numFmtId="0" fontId="12" fillId="0" borderId="0" xfId="12" applyFont="1" applyFill="1" applyBorder="1" applyAlignment="1" applyProtection="1">
      <alignment horizontal="left"/>
    </xf>
    <xf numFmtId="10" fontId="12" fillId="0" borderId="2" xfId="13" applyNumberFormat="1" applyFont="1" applyFill="1" applyBorder="1" applyAlignment="1"/>
    <xf numFmtId="10" fontId="12" fillId="0" borderId="0" xfId="13" applyNumberFormat="1" applyFont="1" applyFill="1" applyBorder="1" applyAlignment="1"/>
    <xf numFmtId="5" fontId="12" fillId="0" borderId="1" xfId="12" applyNumberFormat="1" applyFont="1" applyFill="1" applyBorder="1" applyAlignment="1" applyProtection="1"/>
    <xf numFmtId="5" fontId="8" fillId="0" borderId="1" xfId="12" applyNumberFormat="1" applyFont="1" applyFill="1" applyBorder="1" applyAlignment="1" applyProtection="1"/>
    <xf numFmtId="5" fontId="12" fillId="0" borderId="0" xfId="12" applyNumberFormat="1" applyFont="1" applyFill="1" applyBorder="1" applyAlignment="1" applyProtection="1"/>
    <xf numFmtId="5" fontId="8" fillId="0" borderId="0" xfId="12" applyNumberFormat="1" applyFont="1" applyFill="1" applyBorder="1" applyAlignment="1" applyProtection="1"/>
    <xf numFmtId="10" fontId="12" fillId="0" borderId="0" xfId="13" applyNumberFormat="1" applyFont="1" applyFill="1" applyAlignment="1" applyProtection="1"/>
    <xf numFmtId="172" fontId="12" fillId="0" borderId="0" xfId="12" applyNumberFormat="1" applyFont="1" applyFill="1" applyAlignment="1"/>
    <xf numFmtId="37" fontId="12" fillId="0" borderId="2" xfId="12" applyNumberFormat="1" applyFont="1" applyFill="1" applyBorder="1" applyAlignment="1"/>
    <xf numFmtId="172" fontId="12" fillId="0" borderId="2" xfId="12" applyNumberFormat="1" applyFont="1" applyFill="1" applyBorder="1" applyAlignment="1"/>
    <xf numFmtId="37" fontId="12" fillId="0" borderId="0" xfId="12" applyNumberFormat="1" applyFont="1" applyFill="1" applyBorder="1" applyAlignment="1"/>
    <xf numFmtId="172" fontId="12" fillId="0" borderId="0" xfId="12" applyNumberFormat="1" applyFont="1" applyFill="1" applyBorder="1" applyAlignment="1"/>
    <xf numFmtId="37" fontId="12" fillId="0" borderId="0" xfId="12" applyNumberFormat="1" applyFont="1" applyFill="1" applyAlignment="1">
      <alignment horizontal="center"/>
    </xf>
    <xf numFmtId="37" fontId="12" fillId="0" borderId="0" xfId="12" applyNumberFormat="1" applyFont="1" applyFill="1" applyBorder="1" applyAlignment="1">
      <alignment horizontal="center"/>
    </xf>
    <xf numFmtId="0" fontId="14" fillId="0" borderId="1" xfId="12" applyFont="1" applyFill="1" applyBorder="1" applyAlignment="1" applyProtection="1"/>
    <xf numFmtId="0" fontId="8" fillId="0" borderId="1" xfId="12" quotePrefix="1" applyFont="1" applyFill="1" applyBorder="1" applyAlignment="1" applyProtection="1">
      <alignment horizontal="left"/>
    </xf>
    <xf numFmtId="3" fontId="8" fillId="0" borderId="1" xfId="12" quotePrefix="1" applyNumberFormat="1" applyFont="1" applyFill="1" applyBorder="1" applyAlignment="1" applyProtection="1">
      <alignment horizontal="center"/>
    </xf>
    <xf numFmtId="37" fontId="8" fillId="0" borderId="1" xfId="12" applyNumberFormat="1" applyFont="1" applyFill="1" applyBorder="1" applyAlignment="1"/>
    <xf numFmtId="172" fontId="8" fillId="0" borderId="1" xfId="12" applyNumberFormat="1" applyFont="1" applyFill="1" applyBorder="1" applyAlignment="1"/>
    <xf numFmtId="0" fontId="14" fillId="0" borderId="0" xfId="12" applyFont="1" applyFill="1" applyBorder="1" applyAlignment="1" applyProtection="1"/>
    <xf numFmtId="37" fontId="8" fillId="0" borderId="0" xfId="12" applyNumberFormat="1" applyFont="1" applyFill="1" applyBorder="1" applyAlignment="1"/>
    <xf numFmtId="172" fontId="8" fillId="0" borderId="0" xfId="12" applyNumberFormat="1" applyFont="1" applyFill="1" applyBorder="1" applyAlignment="1"/>
    <xf numFmtId="3" fontId="14" fillId="0" borderId="0" xfId="12" applyNumberFormat="1" applyFont="1" applyFill="1" applyBorder="1" applyAlignment="1" applyProtection="1">
      <alignment horizontal="center"/>
    </xf>
    <xf numFmtId="10" fontId="8" fillId="0" borderId="0" xfId="13" applyNumberFormat="1" applyFont="1" applyFill="1" applyBorder="1" applyAlignment="1" applyProtection="1"/>
    <xf numFmtId="169" fontId="12" fillId="0" borderId="0" xfId="12" applyNumberFormat="1" applyFont="1" applyFill="1" applyBorder="1" applyAlignment="1"/>
    <xf numFmtId="0" fontId="8" fillId="0" borderId="0" xfId="12" applyFont="1" applyFill="1" applyBorder="1" applyAlignment="1">
      <alignment horizontal="left"/>
    </xf>
    <xf numFmtId="37" fontId="12" fillId="0" borderId="4" xfId="12" applyNumberFormat="1" applyFont="1" applyFill="1" applyBorder="1" applyAlignment="1"/>
    <xf numFmtId="10" fontId="8" fillId="0" borderId="4" xfId="13" applyNumberFormat="1" applyFont="1" applyFill="1" applyBorder="1" applyAlignment="1" applyProtection="1"/>
    <xf numFmtId="169" fontId="12" fillId="0" borderId="4" xfId="12" applyNumberFormat="1" applyFont="1" applyFill="1" applyBorder="1" applyAlignment="1"/>
    <xf numFmtId="7" fontId="8" fillId="0" borderId="0" xfId="12" applyNumberFormat="1" applyFont="1" applyFill="1" applyBorder="1" applyAlignment="1" applyProtection="1"/>
    <xf numFmtId="0" fontId="12" fillId="0" borderId="1" xfId="12" applyFont="1" applyFill="1" applyBorder="1" applyAlignment="1" applyProtection="1"/>
    <xf numFmtId="3" fontId="14" fillId="0" borderId="1" xfId="12" applyNumberFormat="1" applyFont="1" applyFill="1" applyBorder="1" applyAlignment="1" applyProtection="1">
      <alignment horizontal="center"/>
    </xf>
    <xf numFmtId="37" fontId="12" fillId="0" borderId="1" xfId="12" applyNumberFormat="1" applyFont="1" applyFill="1" applyBorder="1" applyAlignment="1"/>
    <xf numFmtId="7" fontId="8" fillId="0" borderId="1" xfId="12" applyNumberFormat="1" applyFont="1" applyFill="1" applyBorder="1" applyAlignment="1" applyProtection="1"/>
    <xf numFmtId="3" fontId="12" fillId="0" borderId="5" xfId="12" quotePrefix="1" applyNumberFormat="1" applyFont="1" applyFill="1" applyBorder="1" applyAlignment="1" applyProtection="1">
      <alignment horizontal="center"/>
    </xf>
    <xf numFmtId="172" fontId="12" fillId="0" borderId="0" xfId="12" applyNumberFormat="1" applyFont="1" applyFill="1" applyBorder="1" applyAlignment="1">
      <alignment horizontal="center"/>
    </xf>
    <xf numFmtId="0" fontId="8" fillId="0" borderId="0" xfId="12" applyFont="1" applyFill="1" applyAlignment="1">
      <alignment horizontal="right"/>
    </xf>
    <xf numFmtId="5" fontId="10" fillId="0" borderId="6" xfId="12" applyNumberFormat="1" applyFont="1" applyFill="1" applyBorder="1" applyAlignment="1"/>
    <xf numFmtId="0" fontId="8" fillId="0" borderId="0" xfId="14" applyFont="1" applyFill="1" applyProtection="1"/>
    <xf numFmtId="0" fontId="10" fillId="0" borderId="0" xfId="14" applyFont="1" applyFill="1" applyAlignment="1" applyProtection="1">
      <alignment horizontal="center"/>
    </xf>
    <xf numFmtId="0" fontId="8" fillId="0" borderId="0" xfId="14" applyFont="1" applyFill="1" applyAlignment="1" applyProtection="1">
      <alignment horizontal="center"/>
    </xf>
    <xf numFmtId="0" fontId="8" fillId="0" borderId="0" xfId="14" quotePrefix="1" applyFont="1" applyFill="1" applyAlignment="1" applyProtection="1">
      <alignment horizontal="center"/>
    </xf>
    <xf numFmtId="0" fontId="8" fillId="0" borderId="0" xfId="14" quotePrefix="1" applyFont="1" applyFill="1" applyAlignment="1" applyProtection="1">
      <alignment horizontal="right"/>
    </xf>
    <xf numFmtId="0" fontId="10" fillId="0" borderId="0" xfId="14" applyFont="1" applyFill="1" applyProtection="1"/>
    <xf numFmtId="0" fontId="8" fillId="0" borderId="0" xfId="14" applyFont="1" applyFill="1" applyAlignment="1" applyProtection="1">
      <alignment vertical="center"/>
    </xf>
    <xf numFmtId="0" fontId="10" fillId="0" borderId="0" xfId="14" applyFont="1" applyFill="1" applyAlignment="1" applyProtection="1">
      <alignment horizontal="center" vertical="center"/>
    </xf>
    <xf numFmtId="0" fontId="10" fillId="0" borderId="0" xfId="14" quotePrefix="1" applyFont="1" applyFill="1" applyAlignment="1" applyProtection="1">
      <alignment horizontal="right" vertical="center"/>
    </xf>
    <xf numFmtId="0" fontId="10" fillId="0" borderId="0" xfId="14" applyFont="1" applyFill="1" applyAlignment="1" applyProtection="1">
      <alignment vertical="center"/>
    </xf>
    <xf numFmtId="0" fontId="8" fillId="0" borderId="0" xfId="14" applyFont="1" applyFill="1" applyAlignment="1" applyProtection="1">
      <alignment vertical="top"/>
    </xf>
    <xf numFmtId="0" fontId="10" fillId="0" borderId="1" xfId="14" applyFont="1" applyFill="1" applyBorder="1" applyAlignment="1" applyProtection="1">
      <alignment horizontal="center" vertical="top"/>
    </xf>
    <xf numFmtId="0" fontId="10" fillId="0" borderId="1" xfId="14" quotePrefix="1" applyFont="1" applyFill="1" applyBorder="1" applyAlignment="1" applyProtection="1">
      <alignment horizontal="right" vertical="top"/>
    </xf>
    <xf numFmtId="0" fontId="10" fillId="0" borderId="1" xfId="14" applyFont="1" applyFill="1" applyBorder="1" applyAlignment="1" applyProtection="1">
      <alignment horizontal="right" vertical="top"/>
    </xf>
    <xf numFmtId="173" fontId="12" fillId="0" borderId="0" xfId="9" applyNumberFormat="1" applyFont="1" applyAlignment="1" applyProtection="1">
      <alignment horizontal="right"/>
    </xf>
    <xf numFmtId="7" fontId="8" fillId="0" borderId="0" xfId="14" applyNumberFormat="1" applyFont="1" applyFill="1" applyAlignment="1" applyProtection="1">
      <alignment horizontal="right"/>
    </xf>
    <xf numFmtId="39" fontId="8" fillId="0" borderId="0" xfId="14" applyNumberFormat="1" applyFont="1" applyFill="1" applyAlignment="1" applyProtection="1">
      <alignment horizontal="right"/>
    </xf>
    <xf numFmtId="174" fontId="8" fillId="0" borderId="6" xfId="14" applyNumberFormat="1" applyFont="1" applyFill="1" applyBorder="1" applyAlignment="1" applyProtection="1">
      <alignment horizontal="center"/>
    </xf>
    <xf numFmtId="7" fontId="8" fillId="0" borderId="6" xfId="14" applyNumberFormat="1" applyFont="1" applyFill="1" applyBorder="1" applyAlignment="1" applyProtection="1">
      <alignment horizontal="center"/>
    </xf>
    <xf numFmtId="39" fontId="8" fillId="0" borderId="6" xfId="14" applyNumberFormat="1" applyFont="1" applyFill="1" applyBorder="1" applyAlignment="1" applyProtection="1">
      <alignment horizontal="center"/>
    </xf>
    <xf numFmtId="39" fontId="8" fillId="0" borderId="0" xfId="14" applyNumberFormat="1" applyFont="1" applyFill="1" applyBorder="1" applyAlignment="1" applyProtection="1">
      <alignment horizontal="center"/>
    </xf>
    <xf numFmtId="174" fontId="8" fillId="0" borderId="0" xfId="14" applyNumberFormat="1" applyFont="1" applyFill="1" applyAlignment="1" applyProtection="1">
      <alignment horizontal="center"/>
    </xf>
    <xf numFmtId="7" fontId="8" fillId="0" borderId="0" xfId="14" applyNumberFormat="1" applyFont="1" applyFill="1" applyAlignment="1" applyProtection="1">
      <alignment horizontal="center"/>
    </xf>
    <xf numFmtId="174" fontId="8" fillId="0" borderId="0" xfId="14" applyNumberFormat="1" applyFont="1" applyFill="1" applyAlignment="1">
      <alignment horizontal="center"/>
    </xf>
    <xf numFmtId="174" fontId="8" fillId="0" borderId="0" xfId="14" applyNumberFormat="1" applyFont="1" applyFill="1" applyAlignment="1" applyProtection="1">
      <alignment horizontal="right"/>
    </xf>
    <xf numFmtId="7" fontId="8" fillId="0" borderId="0" xfId="14" applyNumberFormat="1" applyFont="1" applyFill="1" applyProtection="1"/>
    <xf numFmtId="0" fontId="8" fillId="0" borderId="0" xfId="14" applyFont="1" applyFill="1" applyAlignment="1" applyProtection="1">
      <alignment horizontal="right"/>
    </xf>
    <xf numFmtId="175" fontId="8" fillId="0" borderId="0" xfId="13" applyNumberFormat="1" applyFont="1" applyFill="1" applyAlignment="1" applyProtection="1">
      <alignment horizontal="right"/>
    </xf>
    <xf numFmtId="0" fontId="8" fillId="0" borderId="0" xfId="14" quotePrefix="1" applyFont="1" applyFill="1" applyAlignment="1" applyProtection="1">
      <alignment horizontal="left"/>
    </xf>
    <xf numFmtId="176" fontId="8" fillId="0" borderId="0" xfId="9" applyNumberFormat="1" applyBorder="1"/>
    <xf numFmtId="0" fontId="8" fillId="0" borderId="0" xfId="9" applyBorder="1"/>
    <xf numFmtId="0" fontId="8" fillId="0" borderId="1" xfId="9" applyFont="1" applyBorder="1"/>
    <xf numFmtId="0" fontId="8" fillId="0" borderId="1" xfId="9" quotePrefix="1" applyFont="1" applyBorder="1" applyAlignment="1">
      <alignment horizontal="center"/>
    </xf>
    <xf numFmtId="0" fontId="8" fillId="0" borderId="0" xfId="9" applyFont="1" applyBorder="1"/>
    <xf numFmtId="2" fontId="8" fillId="0" borderId="0" xfId="9" applyNumberFormat="1" applyBorder="1"/>
    <xf numFmtId="177" fontId="8" fillId="0" borderId="0" xfId="9" applyNumberFormat="1" applyBorder="1"/>
    <xf numFmtId="0" fontId="8" fillId="0" borderId="0" xfId="9" quotePrefix="1" applyFont="1" applyBorder="1" applyAlignment="1">
      <alignment horizontal="center"/>
    </xf>
    <xf numFmtId="14" fontId="16" fillId="0" borderId="0" xfId="14" quotePrefix="1" applyNumberFormat="1" applyFont="1" applyFill="1" applyBorder="1" applyAlignment="1" applyProtection="1">
      <alignment horizontal="center" vertical="top"/>
    </xf>
    <xf numFmtId="177" fontId="8" fillId="0" borderId="0" xfId="9" applyNumberFormat="1" applyFont="1" applyBorder="1"/>
    <xf numFmtId="164" fontId="4" fillId="0" borderId="0" xfId="0" applyFont="1" applyAlignment="1"/>
    <xf numFmtId="165" fontId="9" fillId="0" borderId="4" xfId="0" applyNumberFormat="1" applyFont="1" applyFill="1" applyBorder="1"/>
    <xf numFmtId="38" fontId="2" fillId="0" borderId="0" xfId="0" applyNumberFormat="1" applyFont="1"/>
    <xf numFmtId="164" fontId="2" fillId="0" borderId="0" xfId="0" applyFont="1"/>
    <xf numFmtId="165" fontId="0" fillId="0" borderId="0" xfId="7" applyNumberFormat="1" applyFont="1" applyFill="1"/>
    <xf numFmtId="164" fontId="1" fillId="0" borderId="0" xfId="0" applyFont="1" applyAlignment="1">
      <alignment horizontal="left"/>
    </xf>
    <xf numFmtId="6" fontId="9" fillId="0" borderId="0" xfId="0" applyNumberFormat="1" applyFont="1" applyBorder="1"/>
    <xf numFmtId="164" fontId="8" fillId="0" borderId="0" xfId="0" applyFont="1" applyAlignment="1">
      <alignment horizontal="left" indent="1"/>
    </xf>
    <xf numFmtId="165" fontId="8" fillId="0" borderId="0" xfId="7" applyNumberFormat="1" applyFont="1"/>
    <xf numFmtId="164" fontId="9" fillId="0" borderId="0" xfId="0" applyFont="1" applyFill="1" applyBorder="1" applyAlignment="1">
      <alignment horizontal="left" vertical="top" indent="1"/>
    </xf>
    <xf numFmtId="164" fontId="9" fillId="0" borderId="0" xfId="0" applyFont="1" applyFill="1" applyBorder="1" applyAlignment="1">
      <alignment horizontal="left" vertical="top"/>
    </xf>
    <xf numFmtId="165" fontId="8" fillId="0" borderId="3" xfId="7" applyNumberFormat="1" applyFont="1" applyBorder="1"/>
    <xf numFmtId="3" fontId="10" fillId="0" borderId="0" xfId="12" applyNumberFormat="1" applyFont="1" applyFill="1" applyAlignment="1">
      <alignment horizontal="center"/>
    </xf>
    <xf numFmtId="7" fontId="8" fillId="0" borderId="4" xfId="12" applyNumberFormat="1" applyFont="1" applyFill="1" applyBorder="1" applyAlignment="1" applyProtection="1"/>
    <xf numFmtId="169" fontId="12" fillId="0" borderId="5" xfId="12" applyNumberFormat="1" applyFont="1" applyFill="1" applyBorder="1" applyAlignment="1"/>
    <xf numFmtId="43" fontId="3" fillId="0" borderId="0" xfId="7" applyFont="1" applyAlignment="1">
      <alignment horizontal="center" wrapText="1"/>
    </xf>
    <xf numFmtId="164" fontId="3" fillId="4" borderId="0" xfId="0" applyFont="1" applyFill="1" applyAlignment="1">
      <alignment horizontal="center"/>
    </xf>
    <xf numFmtId="164" fontId="3" fillId="0" borderId="0" xfId="0" applyFont="1" applyAlignment="1">
      <alignment horizontal="center"/>
    </xf>
    <xf numFmtId="0" fontId="4" fillId="0" borderId="0" xfId="7" applyNumberFormat="1" applyFont="1" applyAlignment="1">
      <alignment horizontal="center"/>
    </xf>
    <xf numFmtId="0" fontId="3" fillId="0" borderId="0" xfId="7" applyNumberFormat="1" applyFont="1" applyAlignment="1">
      <alignment horizontal="center"/>
    </xf>
    <xf numFmtId="0" fontId="4" fillId="0" borderId="0" xfId="0" applyNumberFormat="1" applyFont="1" applyAlignment="1">
      <alignment horizontal="center"/>
    </xf>
    <xf numFmtId="164" fontId="17" fillId="0" borderId="0" xfId="0" applyFont="1" applyAlignment="1">
      <alignment horizontal="center"/>
    </xf>
    <xf numFmtId="164" fontId="4" fillId="0" borderId="0" xfId="0" applyFont="1" applyAlignment="1">
      <alignment horizontal="center"/>
    </xf>
    <xf numFmtId="5" fontId="10" fillId="0" borderId="0" xfId="9" applyNumberFormat="1" applyFont="1" applyAlignment="1">
      <alignment horizontal="center"/>
    </xf>
    <xf numFmtId="3" fontId="10" fillId="0" borderId="0" xfId="12" applyNumberFormat="1" applyFont="1" applyFill="1" applyAlignment="1">
      <alignment horizontal="center"/>
    </xf>
    <xf numFmtId="0" fontId="11" fillId="0" borderId="0" xfId="12" applyFont="1" applyFill="1" applyAlignment="1">
      <alignment horizontal="center"/>
    </xf>
    <xf numFmtId="0" fontId="10" fillId="0" borderId="0" xfId="14" quotePrefix="1" applyFont="1" applyFill="1" applyAlignment="1" applyProtection="1">
      <alignment horizontal="center" vertical="center"/>
    </xf>
    <xf numFmtId="0" fontId="10" fillId="0" borderId="0" xfId="14" applyFont="1" applyFill="1" applyAlignment="1" applyProtection="1">
      <alignment horizontal="center" vertical="center"/>
    </xf>
    <xf numFmtId="0" fontId="10" fillId="0" borderId="0" xfId="14" quotePrefix="1" applyFont="1" applyFill="1" applyAlignment="1">
      <alignment horizontal="center" vertical="center"/>
    </xf>
    <xf numFmtId="0" fontId="10" fillId="0" borderId="0" xfId="14" applyFont="1" applyFill="1" applyAlignment="1">
      <alignment horizontal="center" vertical="center"/>
    </xf>
    <xf numFmtId="14" fontId="10" fillId="0" borderId="1" xfId="14" quotePrefix="1" applyNumberFormat="1" applyFont="1" applyFill="1" applyBorder="1" applyAlignment="1" applyProtection="1">
      <alignment horizontal="left" vertical="top" indent="4"/>
    </xf>
    <xf numFmtId="0" fontId="10" fillId="0" borderId="1" xfId="14" quotePrefix="1" applyFont="1" applyFill="1" applyBorder="1" applyAlignment="1" applyProtection="1">
      <alignment horizontal="center" vertical="top"/>
    </xf>
    <xf numFmtId="0" fontId="10" fillId="0" borderId="1" xfId="14" applyFont="1" applyFill="1" applyBorder="1" applyAlignment="1" applyProtection="1">
      <alignment horizontal="center" vertical="top"/>
    </xf>
    <xf numFmtId="0" fontId="10" fillId="0" borderId="0" xfId="14" quotePrefix="1" applyFont="1" applyFill="1" applyAlignment="1" applyProtection="1">
      <alignment horizontal="center"/>
    </xf>
    <xf numFmtId="0" fontId="10" fillId="0" borderId="0" xfId="14" applyFont="1" applyFill="1" applyAlignment="1" applyProtection="1">
      <alignment horizontal="center"/>
    </xf>
    <xf numFmtId="0" fontId="8" fillId="0" borderId="0" xfId="14" quotePrefix="1" applyFont="1" applyFill="1" applyAlignment="1" applyProtection="1">
      <alignment horizontal="center"/>
    </xf>
  </cellXfs>
  <cellStyles count="15">
    <cellStyle name="Comma" xfId="7" builtinId="3"/>
    <cellStyle name="Comma 2" xfId="11"/>
    <cellStyle name="Currency 2" xfId="10"/>
    <cellStyle name="Normal" xfId="0" builtinId="0"/>
    <cellStyle name="Normal 3" xfId="9"/>
    <cellStyle name="Normal 4 2" xfId="12"/>
    <cellStyle name="Normal_Pass-Through Model 11_2007 - 10_2008" xfId="14"/>
    <cellStyle name="Percent" xfId="8" builtinId="5"/>
    <cellStyle name="Percent 2" xfId="13"/>
    <cellStyle name="PSChar" xfId="1"/>
    <cellStyle name="PSDate" xfId="2"/>
    <cellStyle name="PSDec" xfId="3"/>
    <cellStyle name="PSHeading" xfId="4"/>
    <cellStyle name="PSInt" xfId="5"/>
    <cellStyle name="PSSpacer"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N74"/>
  <sheetViews>
    <sheetView tabSelected="1" zoomScale="85" zoomScaleNormal="85" workbookViewId="0">
      <pane xSplit="1" ySplit="7" topLeftCell="BB14" activePane="bottomRight" state="frozen"/>
      <selection pane="topRight" activeCell="B1" sqref="B1"/>
      <selection pane="bottomLeft" activeCell="A5" sqref="A5"/>
      <selection pane="bottomRight" activeCell="BI24" sqref="BI24"/>
    </sheetView>
  </sheetViews>
  <sheetFormatPr defaultRowHeight="12.75"/>
  <cols>
    <col min="1" max="1" width="37" bestFit="1" customWidth="1"/>
    <col min="2" max="8" width="15.42578125" customWidth="1"/>
    <col min="9" max="37" width="16" bestFit="1" customWidth="1"/>
    <col min="38" max="38" width="13.42578125" bestFit="1" customWidth="1"/>
    <col min="39" max="39" width="13.5703125" bestFit="1" customWidth="1"/>
    <col min="40" max="40" width="13" bestFit="1" customWidth="1"/>
    <col min="41" max="41" width="13.5703125" bestFit="1" customWidth="1"/>
    <col min="42" max="42" width="14.28515625" bestFit="1" customWidth="1"/>
    <col min="43" max="43" width="13.42578125" bestFit="1" customWidth="1"/>
    <col min="44" max="44" width="13.5703125" bestFit="1" customWidth="1"/>
    <col min="45" max="45" width="13.28515625" bestFit="1" customWidth="1"/>
    <col min="46" max="46" width="14.28515625" bestFit="1" customWidth="1"/>
    <col min="47" max="47" width="13.5703125" bestFit="1" customWidth="1"/>
    <col min="48" max="48" width="13.140625" bestFit="1" customWidth="1"/>
    <col min="49" max="50" width="12.85546875" bestFit="1" customWidth="1"/>
    <col min="51" max="51" width="13.5703125" bestFit="1" customWidth="1"/>
    <col min="52" max="52" width="13" bestFit="1" customWidth="1"/>
    <col min="53" max="53" width="13.42578125" bestFit="1" customWidth="1"/>
    <col min="54" max="54" width="13.28515625" bestFit="1" customWidth="1"/>
    <col min="55" max="55" width="14.140625" bestFit="1" customWidth="1"/>
    <col min="56" max="59" width="14.140625" customWidth="1"/>
    <col min="60" max="60" width="16" customWidth="1"/>
    <col min="62" max="62" width="21.5703125" style="9" customWidth="1"/>
    <col min="63" max="63" width="20.85546875" style="9" bestFit="1" customWidth="1"/>
    <col min="64" max="64" width="20.85546875" style="9" customWidth="1"/>
    <col min="65" max="65" width="23.140625" style="9" bestFit="1" customWidth="1"/>
    <col min="66" max="69" width="13.7109375" style="9" customWidth="1"/>
    <col min="70" max="71" width="14.28515625" style="9" customWidth="1"/>
    <col min="72" max="72" width="14.42578125" style="9" customWidth="1"/>
    <col min="73" max="73" width="16.85546875" bestFit="1" customWidth="1"/>
    <col min="74" max="74" width="16.85546875" customWidth="1"/>
    <col min="75" max="75" width="15.85546875" customWidth="1"/>
    <col min="76" max="76" width="1.85546875" customWidth="1"/>
    <col min="77" max="77" width="14.140625" customWidth="1"/>
    <col min="78" max="78" width="13.7109375" customWidth="1"/>
    <col min="79" max="79" width="13.85546875" customWidth="1"/>
    <col min="80" max="80" width="14" customWidth="1"/>
    <col min="81" max="81" width="14.28515625" customWidth="1"/>
    <col min="82" max="82" width="15.140625" bestFit="1" customWidth="1"/>
    <col min="83" max="83" width="16.5703125" customWidth="1"/>
    <col min="84" max="84" width="1.85546875" customWidth="1"/>
    <col min="85" max="118" width="9.140625" style="9"/>
  </cols>
  <sheetData>
    <row r="1" spans="1:118">
      <c r="BX1" s="21"/>
      <c r="CF1" s="21"/>
    </row>
    <row r="2" spans="1:118">
      <c r="BN2" s="232">
        <v>2010</v>
      </c>
      <c r="BO2" s="232"/>
      <c r="BP2" s="232"/>
      <c r="BQ2" s="232"/>
      <c r="BR2" s="232"/>
      <c r="BS2" s="232"/>
      <c r="BT2" s="232"/>
      <c r="BU2" s="232"/>
      <c r="BV2" s="232"/>
      <c r="BW2" s="232"/>
      <c r="BX2" s="21"/>
      <c r="BY2" s="234">
        <v>2011</v>
      </c>
      <c r="BZ2" s="234"/>
      <c r="CA2" s="234"/>
      <c r="CB2" s="234"/>
      <c r="CC2" s="234"/>
      <c r="CD2" s="234"/>
      <c r="CE2" s="234"/>
      <c r="CF2" s="21"/>
    </row>
    <row r="3" spans="1:118">
      <c r="BN3" s="233" t="s">
        <v>76</v>
      </c>
      <c r="BO3" s="233"/>
      <c r="BP3" s="233"/>
      <c r="BQ3" s="18"/>
      <c r="BR3" s="18"/>
      <c r="BS3" s="233" t="s">
        <v>77</v>
      </c>
      <c r="BT3" s="233"/>
      <c r="BU3" s="230" t="s">
        <v>85</v>
      </c>
      <c r="BV3" s="230"/>
      <c r="BW3" s="230"/>
      <c r="BX3" s="21"/>
      <c r="BY3" s="231" t="s">
        <v>76</v>
      </c>
      <c r="BZ3" s="231"/>
      <c r="CA3" s="231"/>
      <c r="CD3" s="230" t="s">
        <v>89</v>
      </c>
      <c r="CE3" s="230"/>
      <c r="CF3" s="21"/>
    </row>
    <row r="4" spans="1:118" ht="25.5">
      <c r="B4" s="19">
        <f>YEAR(B7)</f>
        <v>2007</v>
      </c>
      <c r="C4" s="19">
        <f t="shared" ref="C4:BG4" si="0">YEAR(C7)</f>
        <v>2007</v>
      </c>
      <c r="D4" s="19">
        <f t="shared" si="0"/>
        <v>2007</v>
      </c>
      <c r="E4" s="19">
        <f t="shared" si="0"/>
        <v>2007</v>
      </c>
      <c r="F4" s="19">
        <f t="shared" si="0"/>
        <v>2007</v>
      </c>
      <c r="G4" s="19">
        <f t="shared" si="0"/>
        <v>2007</v>
      </c>
      <c r="H4" s="19">
        <f>YEAR(H7)</f>
        <v>2007</v>
      </c>
      <c r="I4" s="19">
        <f t="shared" si="0"/>
        <v>2007</v>
      </c>
      <c r="J4" s="19">
        <f t="shared" si="0"/>
        <v>2007</v>
      </c>
      <c r="K4" s="19">
        <f t="shared" si="0"/>
        <v>2007</v>
      </c>
      <c r="L4" s="19">
        <f t="shared" si="0"/>
        <v>2008</v>
      </c>
      <c r="M4" s="19">
        <f t="shared" si="0"/>
        <v>2008</v>
      </c>
      <c r="N4" s="19">
        <f t="shared" si="0"/>
        <v>2008</v>
      </c>
      <c r="O4" s="19">
        <f t="shared" si="0"/>
        <v>2008</v>
      </c>
      <c r="P4" s="19">
        <f t="shared" si="0"/>
        <v>2008</v>
      </c>
      <c r="Q4" s="19">
        <f t="shared" si="0"/>
        <v>2008</v>
      </c>
      <c r="R4" s="19">
        <f t="shared" si="0"/>
        <v>2008</v>
      </c>
      <c r="S4" s="19">
        <f t="shared" si="0"/>
        <v>2008</v>
      </c>
      <c r="T4" s="19">
        <f t="shared" si="0"/>
        <v>2008</v>
      </c>
      <c r="U4" s="19">
        <f t="shared" si="0"/>
        <v>2008</v>
      </c>
      <c r="V4" s="19">
        <f t="shared" si="0"/>
        <v>2008</v>
      </c>
      <c r="W4" s="19">
        <f t="shared" si="0"/>
        <v>2008</v>
      </c>
      <c r="X4" s="19">
        <f t="shared" si="0"/>
        <v>2009</v>
      </c>
      <c r="Y4" s="19">
        <f t="shared" si="0"/>
        <v>2009</v>
      </c>
      <c r="Z4" s="19">
        <f t="shared" si="0"/>
        <v>2009</v>
      </c>
      <c r="AA4" s="19">
        <f t="shared" si="0"/>
        <v>2009</v>
      </c>
      <c r="AB4" s="19">
        <f t="shared" si="0"/>
        <v>2009</v>
      </c>
      <c r="AC4" s="19">
        <f t="shared" si="0"/>
        <v>2009</v>
      </c>
      <c r="AD4" s="19">
        <f t="shared" si="0"/>
        <v>2009</v>
      </c>
      <c r="AE4" s="19">
        <f t="shared" si="0"/>
        <v>2009</v>
      </c>
      <c r="AF4" s="19">
        <f t="shared" si="0"/>
        <v>2009</v>
      </c>
      <c r="AG4" s="19">
        <f t="shared" si="0"/>
        <v>2009</v>
      </c>
      <c r="AH4" s="19">
        <f t="shared" si="0"/>
        <v>2009</v>
      </c>
      <c r="AI4" s="19">
        <f t="shared" si="0"/>
        <v>2009</v>
      </c>
      <c r="AJ4" s="19">
        <f t="shared" si="0"/>
        <v>2010</v>
      </c>
      <c r="AK4" s="19">
        <f t="shared" si="0"/>
        <v>2010</v>
      </c>
      <c r="AL4" s="19">
        <f t="shared" si="0"/>
        <v>2010</v>
      </c>
      <c r="AM4" s="19">
        <f t="shared" si="0"/>
        <v>2010</v>
      </c>
      <c r="AN4" s="19">
        <f t="shared" si="0"/>
        <v>2010</v>
      </c>
      <c r="AO4" s="19">
        <f t="shared" si="0"/>
        <v>2010</v>
      </c>
      <c r="AP4" s="19">
        <f t="shared" si="0"/>
        <v>2010</v>
      </c>
      <c r="AQ4" s="19">
        <f t="shared" si="0"/>
        <v>2010</v>
      </c>
      <c r="AR4" s="19">
        <f t="shared" si="0"/>
        <v>2010</v>
      </c>
      <c r="AS4" s="19">
        <f t="shared" si="0"/>
        <v>2010</v>
      </c>
      <c r="AT4" s="19">
        <f t="shared" si="0"/>
        <v>2010</v>
      </c>
      <c r="AU4" s="19">
        <f t="shared" si="0"/>
        <v>2010</v>
      </c>
      <c r="AV4" s="19">
        <f t="shared" si="0"/>
        <v>2011</v>
      </c>
      <c r="AW4" s="19">
        <f t="shared" si="0"/>
        <v>2011</v>
      </c>
      <c r="AX4" s="19">
        <f t="shared" si="0"/>
        <v>2011</v>
      </c>
      <c r="AY4" s="19">
        <f t="shared" si="0"/>
        <v>2011</v>
      </c>
      <c r="AZ4" s="19">
        <f t="shared" si="0"/>
        <v>2011</v>
      </c>
      <c r="BA4" s="19">
        <f t="shared" si="0"/>
        <v>2011</v>
      </c>
      <c r="BB4" s="19">
        <f t="shared" si="0"/>
        <v>2011</v>
      </c>
      <c r="BC4" s="19">
        <f t="shared" si="0"/>
        <v>2011</v>
      </c>
      <c r="BD4" s="19">
        <f t="shared" si="0"/>
        <v>2011</v>
      </c>
      <c r="BE4" s="19">
        <f t="shared" si="0"/>
        <v>2011</v>
      </c>
      <c r="BF4" s="19">
        <f t="shared" si="0"/>
        <v>2011</v>
      </c>
      <c r="BG4" s="19">
        <f t="shared" si="0"/>
        <v>2011</v>
      </c>
      <c r="BM4" s="12" t="s">
        <v>69</v>
      </c>
      <c r="BN4" s="12" t="s">
        <v>68</v>
      </c>
      <c r="BO4" s="229" t="s">
        <v>73</v>
      </c>
      <c r="BP4" s="229"/>
      <c r="BQ4" s="47" t="s">
        <v>79</v>
      </c>
      <c r="BR4" s="47" t="s">
        <v>78</v>
      </c>
      <c r="BS4" s="15" t="s">
        <v>80</v>
      </c>
      <c r="BT4" s="15" t="s">
        <v>80</v>
      </c>
      <c r="BU4" s="29" t="s">
        <v>81</v>
      </c>
      <c r="BV4" s="29" t="s">
        <v>83</v>
      </c>
      <c r="BW4" s="30" t="s">
        <v>83</v>
      </c>
      <c r="BX4" s="21"/>
      <c r="BY4" s="229" t="s">
        <v>68</v>
      </c>
      <c r="BZ4" s="229"/>
      <c r="CA4" s="6" t="s">
        <v>87</v>
      </c>
      <c r="CB4" s="47" t="s">
        <v>79</v>
      </c>
      <c r="CC4" s="48" t="s">
        <v>78</v>
      </c>
      <c r="CD4" s="37" t="s">
        <v>90</v>
      </c>
      <c r="CE4" s="37" t="s">
        <v>90</v>
      </c>
      <c r="CF4" s="21"/>
    </row>
    <row r="5" spans="1:118">
      <c r="B5" s="17">
        <v>0.5</v>
      </c>
      <c r="C5" s="17">
        <v>0.5</v>
      </c>
      <c r="D5" s="17">
        <v>0.5</v>
      </c>
      <c r="E5" s="17">
        <v>0.5</v>
      </c>
      <c r="F5" s="17">
        <v>0.5</v>
      </c>
      <c r="G5" s="17">
        <v>0.5</v>
      </c>
      <c r="H5" s="17">
        <v>0.5</v>
      </c>
      <c r="I5" s="17">
        <v>0.5</v>
      </c>
      <c r="J5" s="17">
        <v>0.5</v>
      </c>
      <c r="K5" s="17">
        <v>0.5</v>
      </c>
      <c r="L5" s="17">
        <v>0.5</v>
      </c>
      <c r="M5" s="17">
        <v>0.5</v>
      </c>
      <c r="N5" s="17">
        <v>0.5</v>
      </c>
      <c r="O5" s="17">
        <v>0.5</v>
      </c>
      <c r="P5" s="17">
        <v>0.5</v>
      </c>
      <c r="Q5" s="17">
        <v>0.5</v>
      </c>
      <c r="R5" s="17">
        <v>0.5</v>
      </c>
      <c r="S5" s="17">
        <v>0.5</v>
      </c>
      <c r="T5" s="17">
        <v>0.5</v>
      </c>
      <c r="U5" s="17">
        <v>0.5</v>
      </c>
      <c r="V5" s="17">
        <v>0.5</v>
      </c>
      <c r="W5" s="17">
        <v>0.5</v>
      </c>
      <c r="X5" s="17">
        <v>0.5</v>
      </c>
      <c r="Y5" s="17">
        <v>0.5</v>
      </c>
      <c r="Z5" s="17">
        <v>0.5</v>
      </c>
      <c r="AA5" s="17">
        <v>0.5</v>
      </c>
      <c r="AB5" s="17">
        <v>0.5</v>
      </c>
      <c r="AC5" s="17">
        <v>0.5</v>
      </c>
      <c r="AD5" s="17">
        <v>0.5</v>
      </c>
      <c r="AE5" s="17">
        <v>0.5</v>
      </c>
      <c r="AF5" s="17">
        <v>0.5</v>
      </c>
      <c r="AG5" s="17">
        <v>0.5</v>
      </c>
      <c r="AH5" s="17">
        <v>0.5</v>
      </c>
      <c r="AI5" s="17">
        <v>0.5</v>
      </c>
      <c r="AJ5" s="17">
        <v>0.5</v>
      </c>
      <c r="AK5" s="17">
        <v>0.5</v>
      </c>
      <c r="AL5" s="17">
        <v>0.5</v>
      </c>
      <c r="AM5" s="17">
        <v>0.5</v>
      </c>
      <c r="AN5" s="17">
        <v>0.5</v>
      </c>
      <c r="AO5" s="17">
        <v>0.5</v>
      </c>
      <c r="AP5" s="17">
        <v>0.5</v>
      </c>
      <c r="AQ5" s="17">
        <v>0.5</v>
      </c>
      <c r="AR5" s="17">
        <v>0.5</v>
      </c>
      <c r="AS5" s="17">
        <v>1</v>
      </c>
      <c r="AT5" s="17">
        <v>1</v>
      </c>
      <c r="AU5" s="17">
        <v>1</v>
      </c>
      <c r="AV5" s="17">
        <v>1</v>
      </c>
      <c r="AW5" s="17">
        <v>1</v>
      </c>
      <c r="AX5" s="17">
        <v>1</v>
      </c>
      <c r="AY5" s="17">
        <v>1</v>
      </c>
      <c r="AZ5" s="17">
        <v>1</v>
      </c>
      <c r="BA5" s="17">
        <v>1</v>
      </c>
      <c r="BB5" s="17">
        <v>1</v>
      </c>
      <c r="BC5" s="17">
        <v>1</v>
      </c>
      <c r="BD5" s="17">
        <v>1</v>
      </c>
      <c r="BE5" s="17">
        <v>1</v>
      </c>
      <c r="BF5" s="17">
        <v>1</v>
      </c>
      <c r="BG5" s="17">
        <v>1</v>
      </c>
      <c r="BM5" s="11" t="s">
        <v>70</v>
      </c>
      <c r="BN5" s="13">
        <v>0.5</v>
      </c>
      <c r="BO5" s="14">
        <v>0.5</v>
      </c>
      <c r="BP5" s="14">
        <v>1</v>
      </c>
      <c r="BQ5" s="49"/>
      <c r="BR5" s="49"/>
      <c r="BS5" s="14">
        <v>0.5</v>
      </c>
      <c r="BT5" s="14">
        <v>1</v>
      </c>
      <c r="BU5" s="30" t="s">
        <v>82</v>
      </c>
      <c r="BV5" s="30" t="s">
        <v>82</v>
      </c>
      <c r="BW5" s="30" t="s">
        <v>84</v>
      </c>
      <c r="BX5" s="21"/>
      <c r="BY5" s="13">
        <v>0.5</v>
      </c>
      <c r="BZ5" s="13">
        <v>1</v>
      </c>
      <c r="CA5" s="13">
        <v>1</v>
      </c>
      <c r="CB5" s="49"/>
      <c r="CC5" s="5"/>
      <c r="CD5" s="38" t="s">
        <v>82</v>
      </c>
      <c r="CE5" s="38" t="s">
        <v>84</v>
      </c>
      <c r="CF5" s="21"/>
    </row>
    <row r="6" spans="1:118">
      <c r="A6" s="3" t="s">
        <v>65</v>
      </c>
      <c r="B6" s="2" t="s">
        <v>72</v>
      </c>
      <c r="C6" s="2" t="s">
        <v>72</v>
      </c>
      <c r="D6" s="2" t="s">
        <v>72</v>
      </c>
      <c r="E6" s="2" t="s">
        <v>72</v>
      </c>
      <c r="F6" s="2" t="s">
        <v>72</v>
      </c>
      <c r="G6" s="2" t="s">
        <v>72</v>
      </c>
      <c r="H6" s="2" t="s">
        <v>72</v>
      </c>
      <c r="I6" s="2" t="s">
        <v>72</v>
      </c>
      <c r="J6" s="2" t="s">
        <v>72</v>
      </c>
      <c r="K6" s="2" t="s">
        <v>72</v>
      </c>
      <c r="L6" s="2" t="s">
        <v>72</v>
      </c>
      <c r="M6" s="2" t="s">
        <v>72</v>
      </c>
      <c r="N6" s="2" t="s">
        <v>72</v>
      </c>
      <c r="O6" s="2" t="s">
        <v>72</v>
      </c>
      <c r="P6" s="2" t="s">
        <v>72</v>
      </c>
      <c r="Q6" s="2" t="s">
        <v>72</v>
      </c>
      <c r="R6" s="2" t="s">
        <v>72</v>
      </c>
      <c r="S6" s="2" t="s">
        <v>72</v>
      </c>
      <c r="T6" s="2" t="s">
        <v>72</v>
      </c>
      <c r="U6" s="2" t="s">
        <v>72</v>
      </c>
      <c r="V6" s="2" t="s">
        <v>72</v>
      </c>
      <c r="W6" s="2" t="s">
        <v>72</v>
      </c>
      <c r="X6" s="2" t="s">
        <v>72</v>
      </c>
      <c r="Y6" s="2" t="s">
        <v>72</v>
      </c>
      <c r="Z6" s="2" t="s">
        <v>72</v>
      </c>
      <c r="AA6" s="2" t="s">
        <v>72</v>
      </c>
      <c r="AB6" s="2" t="s">
        <v>72</v>
      </c>
      <c r="AC6" s="2" t="s">
        <v>72</v>
      </c>
      <c r="AD6" s="2" t="s">
        <v>72</v>
      </c>
      <c r="AE6" s="2" t="s">
        <v>72</v>
      </c>
      <c r="AF6" s="2" t="s">
        <v>72</v>
      </c>
      <c r="AG6" s="2" t="s">
        <v>72</v>
      </c>
      <c r="AH6" s="2" t="s">
        <v>72</v>
      </c>
      <c r="AI6" s="2" t="s">
        <v>72</v>
      </c>
      <c r="AJ6" s="2" t="s">
        <v>72</v>
      </c>
      <c r="AK6" s="2" t="s">
        <v>72</v>
      </c>
      <c r="AL6" s="2" t="s">
        <v>72</v>
      </c>
      <c r="AM6" s="2" t="s">
        <v>72</v>
      </c>
      <c r="AN6" s="2" t="s">
        <v>72</v>
      </c>
      <c r="AO6" s="2" t="s">
        <v>72</v>
      </c>
      <c r="AP6" s="2" t="s">
        <v>72</v>
      </c>
      <c r="AQ6" s="2" t="s">
        <v>72</v>
      </c>
      <c r="AR6" s="2" t="s">
        <v>72</v>
      </c>
      <c r="AS6" s="2" t="s">
        <v>72</v>
      </c>
      <c r="AT6" s="2" t="s">
        <v>72</v>
      </c>
      <c r="AU6" s="2" t="s">
        <v>72</v>
      </c>
      <c r="AV6" s="2" t="s">
        <v>74</v>
      </c>
      <c r="AW6" s="2" t="s">
        <v>74</v>
      </c>
      <c r="AX6" s="2" t="s">
        <v>74</v>
      </c>
      <c r="AY6" s="2" t="s">
        <v>74</v>
      </c>
      <c r="AZ6" s="2" t="s">
        <v>74</v>
      </c>
      <c r="BA6" s="2" t="s">
        <v>74</v>
      </c>
      <c r="BB6" s="2" t="s">
        <v>74</v>
      </c>
      <c r="BC6" s="2" t="s">
        <v>74</v>
      </c>
      <c r="BD6" s="2"/>
      <c r="BE6" s="2"/>
      <c r="BF6" s="2"/>
      <c r="BG6" s="2"/>
      <c r="BM6" s="11" t="s">
        <v>71</v>
      </c>
      <c r="BN6" s="15" t="s">
        <v>72</v>
      </c>
      <c r="BO6" s="16" t="s">
        <v>72</v>
      </c>
      <c r="BP6" s="16" t="s">
        <v>72</v>
      </c>
      <c r="BQ6" s="50"/>
      <c r="BR6" s="50"/>
      <c r="BS6" s="16" t="s">
        <v>72</v>
      </c>
      <c r="BT6" s="16" t="s">
        <v>72</v>
      </c>
      <c r="BU6" s="45" t="s">
        <v>144</v>
      </c>
      <c r="BV6" s="45" t="s">
        <v>144</v>
      </c>
      <c r="BW6" s="45" t="s">
        <v>145</v>
      </c>
      <c r="BX6" s="21"/>
      <c r="BY6" s="15" t="s">
        <v>72</v>
      </c>
      <c r="BZ6" s="15" t="s">
        <v>72</v>
      </c>
      <c r="CA6" s="23" t="s">
        <v>74</v>
      </c>
      <c r="CB6" s="50"/>
      <c r="CC6" s="5"/>
      <c r="CD6" s="46" t="s">
        <v>146</v>
      </c>
      <c r="CE6" s="46" t="s">
        <v>147</v>
      </c>
      <c r="CF6" s="21"/>
    </row>
    <row r="7" spans="1:118">
      <c r="A7" t="s">
        <v>0</v>
      </c>
      <c r="B7" t="s">
        <v>62</v>
      </c>
      <c r="C7" t="s">
        <v>21</v>
      </c>
      <c r="D7" t="s">
        <v>2</v>
      </c>
      <c r="E7" t="s">
        <v>1</v>
      </c>
      <c r="F7" t="s">
        <v>3</v>
      </c>
      <c r="G7" t="s">
        <v>35</v>
      </c>
      <c r="H7" t="s">
        <v>22</v>
      </c>
      <c r="I7" t="s">
        <v>4</v>
      </c>
      <c r="J7" t="s">
        <v>6</v>
      </c>
      <c r="K7" t="s">
        <v>5</v>
      </c>
      <c r="L7" t="s">
        <v>7</v>
      </c>
      <c r="M7" t="s">
        <v>8</v>
      </c>
      <c r="N7" t="s">
        <v>9</v>
      </c>
      <c r="O7" t="s">
        <v>23</v>
      </c>
      <c r="P7" t="s">
        <v>24</v>
      </c>
      <c r="Q7" t="s">
        <v>13</v>
      </c>
      <c r="R7" t="s">
        <v>11</v>
      </c>
      <c r="S7" t="s">
        <v>14</v>
      </c>
      <c r="T7" t="s">
        <v>28</v>
      </c>
      <c r="U7" t="s">
        <v>27</v>
      </c>
      <c r="V7" t="s">
        <v>16</v>
      </c>
      <c r="W7" t="s">
        <v>15</v>
      </c>
      <c r="X7" t="s">
        <v>32</v>
      </c>
      <c r="Y7" t="s">
        <v>25</v>
      </c>
      <c r="Z7" t="s">
        <v>20</v>
      </c>
      <c r="AA7" t="s">
        <v>34</v>
      </c>
      <c r="AB7" t="s">
        <v>19</v>
      </c>
      <c r="AC7" t="s">
        <v>52</v>
      </c>
      <c r="AD7" t="s">
        <v>29</v>
      </c>
      <c r="AE7" t="s">
        <v>43</v>
      </c>
      <c r="AF7" t="s">
        <v>17</v>
      </c>
      <c r="AG7" t="s">
        <v>18</v>
      </c>
      <c r="AH7" t="s">
        <v>26</v>
      </c>
      <c r="AI7" t="s">
        <v>33</v>
      </c>
      <c r="AJ7" t="s">
        <v>45</v>
      </c>
      <c r="AK7" t="s">
        <v>44</v>
      </c>
      <c r="AL7" t="s">
        <v>54</v>
      </c>
      <c r="AM7" t="s">
        <v>55</v>
      </c>
      <c r="AN7" t="s">
        <v>38</v>
      </c>
      <c r="AO7" t="s">
        <v>10</v>
      </c>
      <c r="AP7" t="s">
        <v>37</v>
      </c>
      <c r="AQ7" t="s">
        <v>39</v>
      </c>
      <c r="AR7" t="s">
        <v>53</v>
      </c>
      <c r="AS7" t="s">
        <v>42</v>
      </c>
      <c r="AT7" t="s">
        <v>40</v>
      </c>
      <c r="AU7" t="s">
        <v>41</v>
      </c>
      <c r="AV7" t="s">
        <v>56</v>
      </c>
      <c r="AW7" t="s">
        <v>30</v>
      </c>
      <c r="AX7" t="s">
        <v>46</v>
      </c>
      <c r="AY7" t="s">
        <v>47</v>
      </c>
      <c r="AZ7" t="s">
        <v>51</v>
      </c>
      <c r="BA7" t="s">
        <v>50</v>
      </c>
      <c r="BB7" t="s">
        <v>48</v>
      </c>
      <c r="BC7" t="s">
        <v>49</v>
      </c>
      <c r="BD7" t="s">
        <v>303</v>
      </c>
      <c r="BE7" t="s">
        <v>304</v>
      </c>
      <c r="BF7" t="s">
        <v>305</v>
      </c>
      <c r="BG7" t="s">
        <v>306</v>
      </c>
      <c r="BH7" t="s">
        <v>63</v>
      </c>
      <c r="BJ7" s="9" t="s">
        <v>64</v>
      </c>
      <c r="BK7" s="11" t="s">
        <v>67</v>
      </c>
      <c r="BL7" s="11"/>
      <c r="BQ7" s="7"/>
      <c r="BR7" s="7"/>
      <c r="BU7" s="31"/>
      <c r="BV7" s="30"/>
      <c r="BW7" s="31"/>
      <c r="BX7" s="21"/>
      <c r="CB7" s="7"/>
      <c r="CC7" s="5"/>
      <c r="CD7" s="31"/>
      <c r="CE7" s="31"/>
      <c r="CF7" s="21"/>
    </row>
    <row r="8" spans="1:118">
      <c r="A8" t="s">
        <v>12</v>
      </c>
      <c r="B8" s="9"/>
      <c r="C8" s="9"/>
      <c r="D8" s="9"/>
      <c r="E8" s="9"/>
      <c r="F8" s="9"/>
      <c r="G8" s="9"/>
      <c r="H8" s="9"/>
      <c r="I8" s="9"/>
      <c r="J8" s="9"/>
      <c r="K8" s="9"/>
      <c r="L8" s="9"/>
      <c r="M8" s="9"/>
      <c r="N8" s="9"/>
      <c r="O8" s="9"/>
      <c r="P8" s="9"/>
      <c r="Q8" s="9">
        <v>-9560240</v>
      </c>
      <c r="R8" s="9"/>
      <c r="S8" s="9"/>
      <c r="T8" s="9"/>
      <c r="U8" s="9">
        <v>-8730962.870000001</v>
      </c>
      <c r="V8" s="9">
        <v>-918502.88</v>
      </c>
      <c r="W8" s="9">
        <v>-50851.18</v>
      </c>
      <c r="X8" s="9">
        <v>-399118.37</v>
      </c>
      <c r="Y8" s="9">
        <v>13073.4</v>
      </c>
      <c r="Z8" s="9">
        <v>109373.57</v>
      </c>
      <c r="AA8" s="9">
        <v>10089.459999999999</v>
      </c>
      <c r="AB8" s="9"/>
      <c r="AC8" s="9">
        <v>-255466.56</v>
      </c>
      <c r="AD8" s="9">
        <v>-35049.26</v>
      </c>
      <c r="AE8" s="9"/>
      <c r="AF8" s="9"/>
      <c r="AG8" s="9"/>
      <c r="AH8" s="9"/>
      <c r="AI8" s="9"/>
      <c r="AJ8" s="9"/>
      <c r="AK8" s="9"/>
      <c r="AL8" s="9"/>
      <c r="AM8" s="9"/>
      <c r="AN8" s="9"/>
      <c r="AO8" s="9"/>
      <c r="AP8" s="9"/>
      <c r="AQ8" s="9"/>
      <c r="AR8" s="9"/>
      <c r="AS8" s="9">
        <v>-670027.01</v>
      </c>
      <c r="AT8" s="9"/>
      <c r="AU8" s="9"/>
      <c r="AV8" s="9"/>
      <c r="AW8" s="9"/>
      <c r="AX8" s="9"/>
      <c r="AY8" s="9"/>
      <c r="AZ8" s="9">
        <v>-18838.41</v>
      </c>
      <c r="BA8" s="9"/>
      <c r="BB8" s="9"/>
      <c r="BC8" s="9"/>
      <c r="BD8" s="9"/>
      <c r="BE8" s="9"/>
      <c r="BF8" s="9"/>
      <c r="BG8" s="9"/>
      <c r="BH8" s="9">
        <f>SUM(B8:BG8)</f>
        <v>-20506520.110000003</v>
      </c>
      <c r="BJ8" s="9">
        <f>SUM(B8:AI8)</f>
        <v>-19817654.690000001</v>
      </c>
      <c r="BK8" s="9">
        <f>BH8-BJ8</f>
        <v>-688865.42000000179</v>
      </c>
      <c r="BN8" s="9">
        <f t="shared" ref="BN8:BN19" si="1">BL28+BJ8</f>
        <v>-5412.8900000080466</v>
      </c>
      <c r="BO8" s="9">
        <f t="shared" ref="BO8:BO19" si="2">SUM(AJ28:AR28)</f>
        <v>675439.89999999991</v>
      </c>
      <c r="BP8" s="9">
        <f t="shared" ref="BP8:BP19" si="3">SUM(AS28:AU28)</f>
        <v>791.91</v>
      </c>
      <c r="BQ8" s="7">
        <f>SUM(BN8:BP8)</f>
        <v>670818.91999999189</v>
      </c>
      <c r="BR8" s="7">
        <f>SUM(AJ8:AU8)</f>
        <v>-670027.01</v>
      </c>
      <c r="BS8" s="9">
        <f>SUMIFS($B8:$BC8,$B$4:$BC$4,$BN$2,$B$5:$BC$5,BS$5)</f>
        <v>0</v>
      </c>
      <c r="BT8" s="9">
        <f>SUMIFS($B8:$BC8,$B$4:$BC$4,$BN$2,$B$5:$BC$5,BT$5)</f>
        <v>-670027.01</v>
      </c>
      <c r="BU8" s="32">
        <f>IF(BN8&gt;=-BS8,MIN(BN8,-BS8),IF(SUM(BN8:BO8)&gt;=-BS8,MIN(SUM(BN8:BO8),-BS8),0))</f>
        <v>0</v>
      </c>
      <c r="BV8" s="32">
        <f>IF(BR8=0,0,SUM(BN8:BO8))</f>
        <v>670027.00999999186</v>
      </c>
      <c r="BW8" s="32">
        <f t="shared" ref="BW8:BW20" si="4">-SUM(BU8:BV8)-BR8</f>
        <v>8.149072527885437E-9</v>
      </c>
      <c r="BX8" s="22"/>
      <c r="BY8" s="9">
        <f t="shared" ref="BY8:BY20" si="5">SUM(BN8:BO8)-SUM(BU8:BV8)</f>
        <v>0</v>
      </c>
      <c r="BZ8" s="9">
        <f>BP8-BW8</f>
        <v>791.9099999918509</v>
      </c>
      <c r="CA8" s="9">
        <f t="shared" ref="CA8:CA18" si="6">SUM(AV28:BG28)</f>
        <v>18046.5</v>
      </c>
      <c r="CB8" s="7">
        <f>SUM(BY8:CA8)</f>
        <v>18838.409999991851</v>
      </c>
      <c r="CC8" s="7">
        <f>SUM(AV8:BG8)</f>
        <v>-18838.41</v>
      </c>
      <c r="CD8" s="32">
        <f>IF(BY8&lt;-CC8,BY8,0)</f>
        <v>0</v>
      </c>
      <c r="CE8" s="32">
        <f>-CC8-CD8</f>
        <v>18838.41</v>
      </c>
      <c r="CF8" s="21"/>
    </row>
    <row r="9" spans="1:118">
      <c r="A9" t="s">
        <v>31</v>
      </c>
      <c r="B9" s="9"/>
      <c r="C9" s="9"/>
      <c r="D9" s="9"/>
      <c r="E9" s="9"/>
      <c r="F9" s="9"/>
      <c r="G9" s="9"/>
      <c r="H9" s="9"/>
      <c r="I9" s="9"/>
      <c r="J9" s="9"/>
      <c r="K9" s="9"/>
      <c r="L9" s="9"/>
      <c r="M9" s="9"/>
      <c r="N9" s="9"/>
      <c r="O9" s="9"/>
      <c r="P9" s="9"/>
      <c r="Q9" s="9">
        <v>-4187682</v>
      </c>
      <c r="R9" s="9"/>
      <c r="S9" s="9"/>
      <c r="T9" s="9"/>
      <c r="U9" s="9">
        <v>-5268871.05</v>
      </c>
      <c r="V9" s="9">
        <v>-16482707.93</v>
      </c>
      <c r="W9" s="9">
        <v>-2611900.1</v>
      </c>
      <c r="X9" s="9">
        <v>-1698569.12</v>
      </c>
      <c r="Y9" s="9">
        <v>-64643.25</v>
      </c>
      <c r="Z9" s="9">
        <v>110173.21</v>
      </c>
      <c r="AA9" s="9">
        <v>-366704.34</v>
      </c>
      <c r="AB9" s="9"/>
      <c r="AC9" s="9">
        <v>113313.69</v>
      </c>
      <c r="AD9" s="9">
        <v>-29886.78</v>
      </c>
      <c r="AE9" s="9"/>
      <c r="AF9" s="9">
        <v>-154089.76</v>
      </c>
      <c r="AG9" s="9">
        <v>-246508.34</v>
      </c>
      <c r="AH9" s="9">
        <v>-31553.17</v>
      </c>
      <c r="AI9" s="9">
        <v>-5620.35</v>
      </c>
      <c r="AJ9" s="9">
        <v>-4128.67</v>
      </c>
      <c r="AK9" s="9">
        <v>-208.45</v>
      </c>
      <c r="AL9" s="9"/>
      <c r="AM9" s="9">
        <v>-31520.5</v>
      </c>
      <c r="AN9" s="9">
        <v>-2206.83</v>
      </c>
      <c r="AO9" s="9">
        <v>-4074.87</v>
      </c>
      <c r="AP9" s="9">
        <v>-11204.41</v>
      </c>
      <c r="AQ9" s="9"/>
      <c r="AR9" s="9">
        <v>-330037.25</v>
      </c>
      <c r="AS9" s="9">
        <v>-52900.19</v>
      </c>
      <c r="AT9" s="9"/>
      <c r="AU9" s="9">
        <v>-54606.11</v>
      </c>
      <c r="AV9" s="9">
        <v>49598.2</v>
      </c>
      <c r="AW9" s="9"/>
      <c r="AX9" s="9"/>
      <c r="AY9" s="9">
        <v>3250.77</v>
      </c>
      <c r="AZ9" s="9"/>
      <c r="BA9" s="9"/>
      <c r="BB9" s="9"/>
      <c r="BC9" s="9"/>
      <c r="BD9" s="9"/>
      <c r="BE9" s="9"/>
      <c r="BF9" s="9"/>
      <c r="BG9" s="9"/>
      <c r="BH9" s="9">
        <f t="shared" ref="BH9:BH20" si="7">SUM(B9:BG9)</f>
        <v>-31363287.600000009</v>
      </c>
      <c r="BJ9" s="9">
        <f t="shared" ref="BJ9:BJ20" si="8">SUM(B9:AI9)</f>
        <v>-30925249.290000007</v>
      </c>
      <c r="BK9" s="9">
        <f t="shared" ref="BK9:BK20" si="9">BH9-BJ9</f>
        <v>-438038.31000000238</v>
      </c>
      <c r="BN9" s="9">
        <f t="shared" si="1"/>
        <v>4128.6699999943376</v>
      </c>
      <c r="BO9" s="9">
        <f t="shared" si="2"/>
        <v>432152.5</v>
      </c>
      <c r="BP9" s="9">
        <f t="shared" si="3"/>
        <v>5007.91</v>
      </c>
      <c r="BQ9" s="7">
        <f t="shared" ref="BQ9:BQ20" si="10">SUM(BN9:BP9)</f>
        <v>441289.07999999431</v>
      </c>
      <c r="BR9" s="7">
        <f t="shared" ref="BR9:BR20" si="11">SUM(AJ9:AU9)</f>
        <v>-490887.27999999997</v>
      </c>
      <c r="BS9" s="9">
        <f>SUMIFS($B9:$BC9,$B$4:$BC$4,$BN$2,$B$5:$BC$5,BS$5)</f>
        <v>-383380.98</v>
      </c>
      <c r="BT9" s="9">
        <f t="shared" ref="BT9:BT20" si="12">SUMIFS($B9:$BC9,$B$4:$BC$4,$BN$2,$B$5:$BC$5,BT$5)</f>
        <v>-107506.3</v>
      </c>
      <c r="BU9" s="32">
        <f t="shared" ref="BU9:BU20" si="13">IF(BN9&gt;=-BS9,MIN(BN9,-BS9),IF(SUM(BN9:BO9)&gt;=-BS9,MIN(SUM(BN9:BO9),-BS9),0))</f>
        <v>383380.98</v>
      </c>
      <c r="BV9" s="32">
        <f t="shared" ref="BV9:BV20" si="14">IF(BR9=0,0,SUM(BN9:BO9)-BU9)</f>
        <v>52900.189999994356</v>
      </c>
      <c r="BW9" s="32">
        <f t="shared" si="4"/>
        <v>54606.110000005632</v>
      </c>
      <c r="BX9" s="22"/>
      <c r="BY9" s="9">
        <f t="shared" si="5"/>
        <v>0</v>
      </c>
      <c r="BZ9" s="9">
        <f t="shared" ref="BZ9:BZ20" si="15">BP9-BW9</f>
        <v>-49598.200000005629</v>
      </c>
      <c r="CA9" s="9">
        <f t="shared" si="6"/>
        <v>-3250.77</v>
      </c>
      <c r="CB9" s="7">
        <f t="shared" ref="CB9:CB20" si="16">SUM(BY9:CA9)</f>
        <v>-52848.970000005625</v>
      </c>
      <c r="CC9" s="7">
        <f t="shared" ref="CC9:CC20" si="17">SUM(AV9:BG9)</f>
        <v>52848.969999999994</v>
      </c>
      <c r="CD9" s="32">
        <f t="shared" ref="CD9:CD10" si="18">IF(BY9&lt;-CC9,BY9,0)</f>
        <v>0</v>
      </c>
      <c r="CE9" s="32">
        <f t="shared" ref="CE9:CE20" si="19">-CC9-CD9</f>
        <v>-52848.969999999994</v>
      </c>
      <c r="CF9" s="21"/>
    </row>
    <row r="10" spans="1:118" s="5" customFormat="1">
      <c r="A10" s="5" t="s">
        <v>36</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v>-5817529.0499999998</v>
      </c>
      <c r="AF10" s="7"/>
      <c r="AG10" s="7"/>
      <c r="AH10" s="7"/>
      <c r="AI10" s="7"/>
      <c r="AJ10" s="7"/>
      <c r="AK10" s="7"/>
      <c r="AL10" s="7"/>
      <c r="AM10" s="7"/>
      <c r="AN10" s="7"/>
      <c r="AO10" s="7"/>
      <c r="AP10" s="7">
        <v>-10750282.300000001</v>
      </c>
      <c r="AQ10" s="7"/>
      <c r="AR10" s="7"/>
      <c r="AS10" s="7">
        <v>-3856680.37</v>
      </c>
      <c r="AT10" s="7">
        <v>-20371763.529999997</v>
      </c>
      <c r="AU10" s="7"/>
      <c r="AV10" s="7"/>
      <c r="AW10" s="7"/>
      <c r="AX10" s="7"/>
      <c r="AY10" s="7"/>
      <c r="AZ10" s="7">
        <v>-890810.94</v>
      </c>
      <c r="BA10" s="7"/>
      <c r="BB10" s="7"/>
      <c r="BC10" s="7"/>
      <c r="BD10" s="7">
        <v>-300939.62</v>
      </c>
      <c r="BE10" s="7"/>
      <c r="BF10" s="7">
        <v>-19045.150000000001</v>
      </c>
      <c r="BG10" s="7"/>
      <c r="BH10" s="9">
        <f>SUM(B10:BG10)</f>
        <v>-42007050.959999993</v>
      </c>
      <c r="BJ10" s="9">
        <f t="shared" si="8"/>
        <v>-5817529.0499999998</v>
      </c>
      <c r="BK10" s="7">
        <f t="shared" si="9"/>
        <v>-36189521.909999996</v>
      </c>
      <c r="BL10" s="7"/>
      <c r="BM10" s="7"/>
      <c r="BN10" s="9">
        <f t="shared" si="1"/>
        <v>10246422.18</v>
      </c>
      <c r="BO10" s="7">
        <f t="shared" si="2"/>
        <v>21047460.850000001</v>
      </c>
      <c r="BP10" s="7">
        <f t="shared" si="3"/>
        <v>4888682.3399999989</v>
      </c>
      <c r="BQ10" s="7">
        <f t="shared" si="10"/>
        <v>36182565.369999997</v>
      </c>
      <c r="BR10" s="7">
        <f t="shared" si="11"/>
        <v>-34978726.200000003</v>
      </c>
      <c r="BS10" s="7">
        <f>SUMIFS($B10:$BC10,$B$4:$BC$4,$BN$2,$B$5:$BC$5,BS$5)</f>
        <v>-10750282.300000001</v>
      </c>
      <c r="BT10" s="9">
        <f t="shared" si="12"/>
        <v>-24228443.899999999</v>
      </c>
      <c r="BU10" s="32">
        <f t="shared" si="13"/>
        <v>10750282.300000001</v>
      </c>
      <c r="BV10" s="32">
        <f t="shared" si="14"/>
        <v>20543600.73</v>
      </c>
      <c r="BW10" s="32">
        <f t="shared" si="4"/>
        <v>3684843.1700000018</v>
      </c>
      <c r="BX10" s="22"/>
      <c r="BY10" s="9">
        <f t="shared" si="5"/>
        <v>0</v>
      </c>
      <c r="BZ10" s="9">
        <f t="shared" si="15"/>
        <v>1203839.1699999971</v>
      </c>
      <c r="CA10" s="9">
        <f t="shared" si="6"/>
        <v>21360.889999999752</v>
      </c>
      <c r="CB10" s="7">
        <f t="shared" si="16"/>
        <v>1225200.0599999968</v>
      </c>
      <c r="CC10" s="7">
        <f t="shared" si="17"/>
        <v>-1210795.71</v>
      </c>
      <c r="CD10" s="32">
        <f t="shared" si="18"/>
        <v>0</v>
      </c>
      <c r="CE10" s="32">
        <f t="shared" si="19"/>
        <v>1210795.71</v>
      </c>
      <c r="CF10" s="21"/>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row>
    <row r="11" spans="1:118">
      <c r="A11" s="10" t="s">
        <v>57</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7">
        <v>-6216955.0899999999</v>
      </c>
      <c r="BD11" s="7">
        <v>-110789.52</v>
      </c>
      <c r="BE11" s="7"/>
      <c r="BF11" s="7">
        <v>-181184.54</v>
      </c>
      <c r="BG11" s="7"/>
      <c r="BH11" s="9">
        <f t="shared" si="7"/>
        <v>-6508929.1499999994</v>
      </c>
      <c r="BJ11" s="9">
        <f t="shared" si="8"/>
        <v>0</v>
      </c>
      <c r="BK11" s="9">
        <f t="shared" si="9"/>
        <v>-6508929.1499999994</v>
      </c>
      <c r="BN11" s="9">
        <f t="shared" si="1"/>
        <v>35281.440000000002</v>
      </c>
      <c r="BO11" s="9">
        <f t="shared" si="2"/>
        <v>2552104.2899999986</v>
      </c>
      <c r="BP11" s="9">
        <f t="shared" si="3"/>
        <v>1324682.5299999996</v>
      </c>
      <c r="BQ11" s="7">
        <f t="shared" si="10"/>
        <v>3912068.2599999979</v>
      </c>
      <c r="BR11" s="7">
        <f t="shared" si="11"/>
        <v>0</v>
      </c>
      <c r="BS11" s="7">
        <f t="shared" ref="BS11:BS20" si="20">SUMIFS($B11:$BC11,$B$4:$BC$4,$BN$2,$B$5:$BC$5,BS$5)</f>
        <v>0</v>
      </c>
      <c r="BT11" s="9">
        <f t="shared" si="12"/>
        <v>0</v>
      </c>
      <c r="BU11" s="32">
        <f t="shared" si="13"/>
        <v>0</v>
      </c>
      <c r="BV11" s="32">
        <f t="shared" si="14"/>
        <v>0</v>
      </c>
      <c r="BW11" s="32">
        <f t="shared" si="4"/>
        <v>0</v>
      </c>
      <c r="BX11" s="22"/>
      <c r="BY11" s="9">
        <f t="shared" si="5"/>
        <v>2587385.7299999986</v>
      </c>
      <c r="BZ11" s="9">
        <f t="shared" si="15"/>
        <v>1324682.5299999996</v>
      </c>
      <c r="CA11" s="9">
        <f t="shared" si="6"/>
        <v>2594113.2800000003</v>
      </c>
      <c r="CB11" s="7">
        <f t="shared" si="16"/>
        <v>6506181.5399999982</v>
      </c>
      <c r="CC11" s="7">
        <f t="shared" si="17"/>
        <v>-6508929.1499999994</v>
      </c>
      <c r="CD11" s="32">
        <f>IF(BY11&lt;-CC11,BY11,0)</f>
        <v>2587385.7299999986</v>
      </c>
      <c r="CE11" s="32">
        <f t="shared" si="19"/>
        <v>3921543.4200000009</v>
      </c>
      <c r="CF11" s="21"/>
    </row>
    <row r="12" spans="1:118">
      <c r="A12" s="70" t="s">
        <v>307</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7"/>
      <c r="BD12" s="7"/>
      <c r="BE12" s="7"/>
      <c r="BF12" s="7">
        <v>-249499.37</v>
      </c>
      <c r="BG12" s="7"/>
      <c r="BH12" s="9">
        <f t="shared" si="7"/>
        <v>-249499.37</v>
      </c>
      <c r="BJ12" s="9">
        <f t="shared" si="8"/>
        <v>0</v>
      </c>
      <c r="BK12" s="9">
        <f t="shared" si="9"/>
        <v>-249499.37</v>
      </c>
      <c r="BN12" s="9">
        <f t="shared" si="1"/>
        <v>0</v>
      </c>
      <c r="BO12" s="9">
        <f t="shared" si="2"/>
        <v>47885.65</v>
      </c>
      <c r="BP12" s="9">
        <f t="shared" si="3"/>
        <v>192217.74999999994</v>
      </c>
      <c r="BQ12" s="7">
        <f t="shared" si="10"/>
        <v>240103.39999999994</v>
      </c>
      <c r="BR12" s="7">
        <f t="shared" si="11"/>
        <v>0</v>
      </c>
      <c r="BS12" s="7">
        <f t="shared" si="20"/>
        <v>0</v>
      </c>
      <c r="BT12" s="9">
        <f t="shared" si="12"/>
        <v>0</v>
      </c>
      <c r="BU12" s="32">
        <f t="shared" si="13"/>
        <v>0</v>
      </c>
      <c r="BV12" s="32">
        <f t="shared" si="14"/>
        <v>0</v>
      </c>
      <c r="BW12" s="32">
        <f t="shared" si="4"/>
        <v>0</v>
      </c>
      <c r="BX12" s="22"/>
      <c r="BY12" s="9">
        <f t="shared" si="5"/>
        <v>47885.65</v>
      </c>
      <c r="BZ12" s="9">
        <f t="shared" si="15"/>
        <v>192217.74999999994</v>
      </c>
      <c r="CA12" s="9">
        <f t="shared" si="6"/>
        <v>9395.9699999999993</v>
      </c>
      <c r="CB12" s="7">
        <f t="shared" si="16"/>
        <v>249499.36999999994</v>
      </c>
      <c r="CC12" s="7">
        <f t="shared" si="17"/>
        <v>-249499.37</v>
      </c>
      <c r="CD12" s="32">
        <f t="shared" ref="CD12:CD20" si="21">IF(BY12&lt;-CC12,BY12,0)</f>
        <v>47885.65</v>
      </c>
      <c r="CE12" s="32">
        <f t="shared" si="19"/>
        <v>201613.72</v>
      </c>
      <c r="CF12" s="21"/>
    </row>
    <row r="13" spans="1:118" s="5" customFormat="1">
      <c r="A13" s="70" t="s">
        <v>58</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v>-18991053.130000003</v>
      </c>
      <c r="BD13" s="7">
        <v>-288904.96999999997</v>
      </c>
      <c r="BE13" s="7"/>
      <c r="BF13" s="7">
        <v>-449392.73</v>
      </c>
      <c r="BG13" s="7"/>
      <c r="BH13" s="9">
        <f t="shared" si="7"/>
        <v>-19729350.830000002</v>
      </c>
      <c r="BJ13" s="9">
        <f t="shared" si="8"/>
        <v>0</v>
      </c>
      <c r="BK13" s="9">
        <f t="shared" si="9"/>
        <v>-19729350.830000002</v>
      </c>
      <c r="BL13" s="7"/>
      <c r="BM13" s="7"/>
      <c r="BN13" s="9">
        <f t="shared" si="1"/>
        <v>0</v>
      </c>
      <c r="BO13" s="9">
        <f t="shared" si="2"/>
        <v>53524.61</v>
      </c>
      <c r="BP13" s="9">
        <f t="shared" si="3"/>
        <v>5209318.4400000004</v>
      </c>
      <c r="BQ13" s="7">
        <f t="shared" si="10"/>
        <v>5262843.0500000007</v>
      </c>
      <c r="BR13" s="7">
        <f t="shared" si="11"/>
        <v>0</v>
      </c>
      <c r="BS13" s="7">
        <f t="shared" si="20"/>
        <v>0</v>
      </c>
      <c r="BT13" s="9">
        <f t="shared" si="12"/>
        <v>0</v>
      </c>
      <c r="BU13" s="32">
        <f t="shared" si="13"/>
        <v>0</v>
      </c>
      <c r="BV13" s="32">
        <f t="shared" si="14"/>
        <v>0</v>
      </c>
      <c r="BW13" s="32">
        <f t="shared" si="4"/>
        <v>0</v>
      </c>
      <c r="BX13" s="22"/>
      <c r="BY13" s="9">
        <f t="shared" si="5"/>
        <v>53524.61</v>
      </c>
      <c r="BZ13" s="9">
        <f t="shared" si="15"/>
        <v>5209318.4400000004</v>
      </c>
      <c r="CA13" s="9">
        <f t="shared" si="6"/>
        <v>14481769.740000002</v>
      </c>
      <c r="CB13" s="7">
        <f t="shared" si="16"/>
        <v>19744612.790000003</v>
      </c>
      <c r="CC13" s="7">
        <f t="shared" si="17"/>
        <v>-19729350.830000002</v>
      </c>
      <c r="CD13" s="32">
        <f t="shared" si="21"/>
        <v>53524.61</v>
      </c>
      <c r="CE13" s="32">
        <f t="shared" si="19"/>
        <v>19675826.220000003</v>
      </c>
      <c r="CF13" s="21"/>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row>
    <row r="14" spans="1:118">
      <c r="A14" s="10" t="s">
        <v>59</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7">
        <v>-5448678.0799999991</v>
      </c>
      <c r="BD14" s="7">
        <v>-136756.13</v>
      </c>
      <c r="BE14" s="7"/>
      <c r="BF14" s="7">
        <v>-284646.34000000003</v>
      </c>
      <c r="BG14" s="7"/>
      <c r="BH14" s="9">
        <f t="shared" si="7"/>
        <v>-5870080.5499999989</v>
      </c>
      <c r="BJ14" s="9">
        <f t="shared" si="8"/>
        <v>0</v>
      </c>
      <c r="BK14" s="9">
        <f t="shared" si="9"/>
        <v>-5870080.5499999989</v>
      </c>
      <c r="BN14" s="9">
        <f t="shared" si="1"/>
        <v>0</v>
      </c>
      <c r="BO14" s="9">
        <f t="shared" si="2"/>
        <v>34565.100000000006</v>
      </c>
      <c r="BP14" s="9">
        <f t="shared" si="3"/>
        <v>80231.23</v>
      </c>
      <c r="BQ14" s="7">
        <f t="shared" si="10"/>
        <v>114796.33</v>
      </c>
      <c r="BR14" s="7">
        <f t="shared" si="11"/>
        <v>0</v>
      </c>
      <c r="BS14" s="7">
        <f t="shared" si="20"/>
        <v>0</v>
      </c>
      <c r="BT14" s="9">
        <f t="shared" si="12"/>
        <v>0</v>
      </c>
      <c r="BU14" s="32">
        <f t="shared" si="13"/>
        <v>0</v>
      </c>
      <c r="BV14" s="32">
        <f t="shared" si="14"/>
        <v>0</v>
      </c>
      <c r="BW14" s="32">
        <f t="shared" si="4"/>
        <v>0</v>
      </c>
      <c r="BX14" s="22"/>
      <c r="BY14" s="9">
        <f t="shared" si="5"/>
        <v>34565.100000000006</v>
      </c>
      <c r="BZ14" s="9">
        <f t="shared" si="15"/>
        <v>80231.23</v>
      </c>
      <c r="CA14" s="9">
        <f t="shared" si="6"/>
        <v>5837318.2000000002</v>
      </c>
      <c r="CB14" s="7">
        <f t="shared" si="16"/>
        <v>5952114.5300000003</v>
      </c>
      <c r="CC14" s="7">
        <f t="shared" si="17"/>
        <v>-5870080.5499999989</v>
      </c>
      <c r="CD14" s="32">
        <f t="shared" si="21"/>
        <v>34565.100000000006</v>
      </c>
      <c r="CE14" s="32">
        <f t="shared" si="19"/>
        <v>5835515.4499999993</v>
      </c>
      <c r="CF14" s="21"/>
    </row>
    <row r="15" spans="1:118">
      <c r="A15" s="10" t="s">
        <v>308</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v>-167105.60000000001</v>
      </c>
      <c r="AY15" s="9">
        <v>-4507.22</v>
      </c>
      <c r="AZ15" s="9"/>
      <c r="BA15" s="9">
        <v>85401.47</v>
      </c>
      <c r="BB15" s="9">
        <v>-85401.47</v>
      </c>
      <c r="BC15" s="7"/>
      <c r="BD15" s="7"/>
      <c r="BE15" s="7"/>
      <c r="BF15" s="7"/>
      <c r="BG15" s="7"/>
      <c r="BH15" s="9">
        <f t="shared" si="7"/>
        <v>-171612.82</v>
      </c>
      <c r="BJ15" s="9">
        <f t="shared" si="8"/>
        <v>0</v>
      </c>
      <c r="BK15" s="9">
        <f t="shared" si="9"/>
        <v>-171612.82</v>
      </c>
      <c r="BN15" s="9">
        <f t="shared" si="1"/>
        <v>0</v>
      </c>
      <c r="BO15" s="9">
        <f t="shared" si="2"/>
        <v>19614.530000000002</v>
      </c>
      <c r="BP15" s="9">
        <f t="shared" si="3"/>
        <v>145033.82</v>
      </c>
      <c r="BQ15" s="7">
        <f t="shared" si="10"/>
        <v>164648.35</v>
      </c>
      <c r="BR15" s="7">
        <f t="shared" si="11"/>
        <v>0</v>
      </c>
      <c r="BS15" s="7">
        <f t="shared" si="20"/>
        <v>0</v>
      </c>
      <c r="BT15" s="9">
        <f t="shared" si="12"/>
        <v>0</v>
      </c>
      <c r="BU15" s="32">
        <f t="shared" si="13"/>
        <v>0</v>
      </c>
      <c r="BV15" s="32">
        <f t="shared" si="14"/>
        <v>0</v>
      </c>
      <c r="BW15" s="32">
        <f t="shared" si="4"/>
        <v>0</v>
      </c>
      <c r="BX15" s="22"/>
      <c r="BY15" s="9">
        <f t="shared" si="5"/>
        <v>19614.530000000002</v>
      </c>
      <c r="BZ15" s="9">
        <f t="shared" si="15"/>
        <v>145033.82</v>
      </c>
      <c r="CA15" s="9">
        <f t="shared" si="6"/>
        <v>6964.4700000000012</v>
      </c>
      <c r="CB15" s="7">
        <f t="shared" si="16"/>
        <v>171612.82</v>
      </c>
      <c r="CC15" s="7">
        <f t="shared" si="17"/>
        <v>-171612.82</v>
      </c>
      <c r="CD15" s="32">
        <f t="shared" si="21"/>
        <v>19614.530000000002</v>
      </c>
      <c r="CE15" s="32">
        <f t="shared" si="19"/>
        <v>151998.29</v>
      </c>
      <c r="CF15" s="21"/>
    </row>
    <row r="16" spans="1:118">
      <c r="A16" s="10" t="s">
        <v>60</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7">
        <v>-116112.02</v>
      </c>
      <c r="BD16" s="7"/>
      <c r="BE16" s="7"/>
      <c r="BF16" s="7"/>
      <c r="BG16" s="7"/>
      <c r="BH16" s="9">
        <f>SUM(B16:BG16)</f>
        <v>-116112.02</v>
      </c>
      <c r="BJ16" s="9">
        <f t="shared" si="8"/>
        <v>0</v>
      </c>
      <c r="BK16" s="9">
        <f t="shared" si="9"/>
        <v>-116112.02</v>
      </c>
      <c r="BN16" s="9">
        <f t="shared" si="1"/>
        <v>0</v>
      </c>
      <c r="BO16" s="9">
        <f t="shared" si="2"/>
        <v>0</v>
      </c>
      <c r="BP16" s="9">
        <f t="shared" si="3"/>
        <v>0</v>
      </c>
      <c r="BQ16" s="7">
        <f t="shared" si="10"/>
        <v>0</v>
      </c>
      <c r="BR16" s="7">
        <f t="shared" si="11"/>
        <v>0</v>
      </c>
      <c r="BS16" s="7">
        <f t="shared" si="20"/>
        <v>0</v>
      </c>
      <c r="BT16" s="9">
        <f t="shared" si="12"/>
        <v>0</v>
      </c>
      <c r="BU16" s="32">
        <f t="shared" si="13"/>
        <v>0</v>
      </c>
      <c r="BV16" s="32">
        <f t="shared" si="14"/>
        <v>0</v>
      </c>
      <c r="BW16" s="32">
        <f t="shared" si="4"/>
        <v>0</v>
      </c>
      <c r="BX16" s="22"/>
      <c r="BY16" s="9">
        <f t="shared" si="5"/>
        <v>0</v>
      </c>
      <c r="BZ16" s="9">
        <f t="shared" si="15"/>
        <v>0</v>
      </c>
      <c r="CA16" s="9">
        <f t="shared" si="6"/>
        <v>131767.12000000002</v>
      </c>
      <c r="CB16" s="7">
        <f t="shared" si="16"/>
        <v>131767.12000000002</v>
      </c>
      <c r="CC16" s="7">
        <f t="shared" si="17"/>
        <v>-116112.02</v>
      </c>
      <c r="CD16" s="32">
        <f t="shared" si="21"/>
        <v>0</v>
      </c>
      <c r="CE16" s="32">
        <f t="shared" si="19"/>
        <v>116112.02</v>
      </c>
      <c r="CF16" s="21"/>
    </row>
    <row r="17" spans="1:84">
      <c r="A17" t="s">
        <v>61</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v>-2379563.4500000002</v>
      </c>
      <c r="BC17" s="9">
        <v>-120467.54999999999</v>
      </c>
      <c r="BD17" s="9">
        <v>-90949.73</v>
      </c>
      <c r="BE17" s="9">
        <v>90949.73</v>
      </c>
      <c r="BF17" s="9">
        <v>-16336.9</v>
      </c>
      <c r="BG17" s="9"/>
      <c r="BH17" s="9">
        <f>SUM(B17:BG17)</f>
        <v>-2516367.9</v>
      </c>
      <c r="BJ17" s="9">
        <f t="shared" si="8"/>
        <v>0</v>
      </c>
      <c r="BK17" s="9">
        <f t="shared" si="9"/>
        <v>-2516367.9</v>
      </c>
      <c r="BN17" s="9">
        <f t="shared" si="1"/>
        <v>0</v>
      </c>
      <c r="BO17" s="9">
        <f t="shared" si="2"/>
        <v>5030.0400000000009</v>
      </c>
      <c r="BP17" s="9">
        <f t="shared" si="3"/>
        <v>430350.5500000001</v>
      </c>
      <c r="BQ17" s="7">
        <f t="shared" si="10"/>
        <v>435380.59000000008</v>
      </c>
      <c r="BR17" s="7">
        <f t="shared" si="11"/>
        <v>0</v>
      </c>
      <c r="BS17" s="7">
        <f t="shared" si="20"/>
        <v>0</v>
      </c>
      <c r="BT17" s="9">
        <f t="shared" si="12"/>
        <v>0</v>
      </c>
      <c r="BU17" s="32">
        <f t="shared" si="13"/>
        <v>0</v>
      </c>
      <c r="BV17" s="32">
        <f t="shared" si="14"/>
        <v>0</v>
      </c>
      <c r="BW17" s="32">
        <f t="shared" si="4"/>
        <v>0</v>
      </c>
      <c r="BX17" s="22"/>
      <c r="BY17" s="9">
        <f t="shared" si="5"/>
        <v>5030.0400000000009</v>
      </c>
      <c r="BZ17" s="9">
        <f t="shared" si="15"/>
        <v>430350.5500000001</v>
      </c>
      <c r="CA17" s="9">
        <f t="shared" si="6"/>
        <v>2081348.76</v>
      </c>
      <c r="CB17" s="7">
        <f t="shared" si="16"/>
        <v>2516729.35</v>
      </c>
      <c r="CC17" s="7">
        <f t="shared" si="17"/>
        <v>-2516367.9</v>
      </c>
      <c r="CD17" s="32">
        <f t="shared" si="21"/>
        <v>5030.0400000000009</v>
      </c>
      <c r="CE17" s="32">
        <f t="shared" si="19"/>
        <v>2511337.86</v>
      </c>
      <c r="CF17" s="21"/>
    </row>
    <row r="18" spans="1:84">
      <c r="A18" s="10" t="s">
        <v>310</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v>-153478.67000000001</v>
      </c>
      <c r="BG18" s="9"/>
      <c r="BH18" s="9">
        <f>SUM(B18:BG18)</f>
        <v>-153478.67000000001</v>
      </c>
      <c r="BJ18" s="9">
        <f t="shared" si="8"/>
        <v>0</v>
      </c>
      <c r="BK18" s="9">
        <f t="shared" si="9"/>
        <v>-153478.67000000001</v>
      </c>
      <c r="BN18" s="9">
        <f t="shared" si="1"/>
        <v>0</v>
      </c>
      <c r="BO18" s="9">
        <f t="shared" si="2"/>
        <v>0</v>
      </c>
      <c r="BP18" s="9">
        <f t="shared" si="3"/>
        <v>3239.7799999999997</v>
      </c>
      <c r="BQ18" s="7">
        <f t="shared" si="10"/>
        <v>3239.7799999999997</v>
      </c>
      <c r="BR18" s="7">
        <f t="shared" si="11"/>
        <v>0</v>
      </c>
      <c r="BS18" s="7">
        <f t="shared" si="20"/>
        <v>0</v>
      </c>
      <c r="BT18" s="9">
        <f t="shared" si="12"/>
        <v>0</v>
      </c>
      <c r="BU18" s="32">
        <f t="shared" si="13"/>
        <v>0</v>
      </c>
      <c r="BV18" s="32">
        <f t="shared" si="14"/>
        <v>0</v>
      </c>
      <c r="BW18" s="32">
        <f t="shared" si="4"/>
        <v>0</v>
      </c>
      <c r="BX18" s="22"/>
      <c r="BY18" s="9">
        <f t="shared" si="5"/>
        <v>0</v>
      </c>
      <c r="BZ18" s="9">
        <f t="shared" si="15"/>
        <v>3239.7799999999997</v>
      </c>
      <c r="CA18" s="9">
        <f t="shared" si="6"/>
        <v>153027.59999999998</v>
      </c>
      <c r="CB18" s="7">
        <f t="shared" si="16"/>
        <v>156267.37999999998</v>
      </c>
      <c r="CC18" s="7">
        <f t="shared" si="17"/>
        <v>-153478.67000000001</v>
      </c>
      <c r="CD18" s="32">
        <f t="shared" si="21"/>
        <v>0</v>
      </c>
      <c r="CE18" s="32">
        <f t="shared" si="19"/>
        <v>153478.67000000001</v>
      </c>
      <c r="CF18" s="21"/>
    </row>
    <row r="19" spans="1:84">
      <c r="A19" s="10" t="s">
        <v>313</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7">
        <v>-20449502.949999999</v>
      </c>
      <c r="BH19" s="9">
        <f>SUM(B19:BG19)</f>
        <v>-20449502.949999999</v>
      </c>
      <c r="BJ19" s="9">
        <f t="shared" si="8"/>
        <v>0</v>
      </c>
      <c r="BK19" s="9">
        <f t="shared" si="9"/>
        <v>-20449502.949999999</v>
      </c>
      <c r="BN19" s="9">
        <f t="shared" si="1"/>
        <v>0</v>
      </c>
      <c r="BO19" s="9">
        <f t="shared" si="2"/>
        <v>0</v>
      </c>
      <c r="BP19" s="9">
        <f t="shared" si="3"/>
        <v>2711638.47</v>
      </c>
      <c r="BQ19" s="7">
        <f t="shared" si="10"/>
        <v>2711638.47</v>
      </c>
      <c r="BR19" s="7">
        <f t="shared" si="11"/>
        <v>0</v>
      </c>
      <c r="BS19" s="7">
        <f t="shared" si="20"/>
        <v>0</v>
      </c>
      <c r="BT19" s="9">
        <f t="shared" si="12"/>
        <v>0</v>
      </c>
      <c r="BU19" s="32">
        <f t="shared" si="13"/>
        <v>0</v>
      </c>
      <c r="BV19" s="32">
        <f t="shared" si="14"/>
        <v>0</v>
      </c>
      <c r="BW19" s="32">
        <f t="shared" si="4"/>
        <v>0</v>
      </c>
      <c r="BX19" s="22"/>
      <c r="BY19" s="9">
        <f t="shared" si="5"/>
        <v>0</v>
      </c>
      <c r="BZ19" s="9">
        <f t="shared" si="15"/>
        <v>2711638.47</v>
      </c>
      <c r="CA19" s="9">
        <f t="shared" ref="CA19:CA20" si="22">SUM(AV39:BG39)</f>
        <v>21077194.959999997</v>
      </c>
      <c r="CB19" s="7">
        <f t="shared" si="16"/>
        <v>23788833.429999996</v>
      </c>
      <c r="CC19" s="7">
        <f t="shared" si="17"/>
        <v>-20449502.949999999</v>
      </c>
      <c r="CD19" s="32">
        <f t="shared" si="21"/>
        <v>0</v>
      </c>
      <c r="CE19" s="32">
        <f t="shared" si="19"/>
        <v>20449502.949999999</v>
      </c>
      <c r="CF19" s="21"/>
    </row>
    <row r="20" spans="1:84">
      <c r="A20" s="10" t="s">
        <v>309</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v>-207640.65</v>
      </c>
      <c r="BG20" s="9"/>
      <c r="BH20" s="9">
        <f t="shared" si="7"/>
        <v>-207640.65</v>
      </c>
      <c r="BJ20" s="9">
        <f t="shared" si="8"/>
        <v>0</v>
      </c>
      <c r="BK20" s="9">
        <f t="shared" si="9"/>
        <v>-207640.65</v>
      </c>
      <c r="BN20" s="9">
        <f t="shared" ref="BN20" si="23">BL40+BJ20</f>
        <v>0</v>
      </c>
      <c r="BO20" s="9">
        <f t="shared" ref="BO20" si="24">SUM(AJ40:AR40)</f>
        <v>0</v>
      </c>
      <c r="BP20" s="9">
        <f t="shared" ref="BP20" si="25">SUM(AS40:AU40)</f>
        <v>9151.6299999999992</v>
      </c>
      <c r="BQ20" s="7">
        <f t="shared" si="10"/>
        <v>9151.6299999999992</v>
      </c>
      <c r="BR20" s="7">
        <f t="shared" si="11"/>
        <v>0</v>
      </c>
      <c r="BS20" s="7">
        <f t="shared" si="20"/>
        <v>0</v>
      </c>
      <c r="BT20" s="9">
        <f t="shared" si="12"/>
        <v>0</v>
      </c>
      <c r="BU20" s="32">
        <f t="shared" si="13"/>
        <v>0</v>
      </c>
      <c r="BV20" s="32">
        <f t="shared" si="14"/>
        <v>0</v>
      </c>
      <c r="BW20" s="32">
        <f t="shared" si="4"/>
        <v>0</v>
      </c>
      <c r="BX20" s="22"/>
      <c r="BY20" s="9">
        <f t="shared" si="5"/>
        <v>0</v>
      </c>
      <c r="BZ20" s="9">
        <f t="shared" si="15"/>
        <v>9151.6299999999992</v>
      </c>
      <c r="CA20" s="9">
        <f t="shared" si="22"/>
        <v>203427.27000000002</v>
      </c>
      <c r="CB20" s="7">
        <f t="shared" si="16"/>
        <v>212578.90000000002</v>
      </c>
      <c r="CC20" s="7">
        <f t="shared" si="17"/>
        <v>-207640.65</v>
      </c>
      <c r="CD20" s="32">
        <f t="shared" si="21"/>
        <v>0</v>
      </c>
      <c r="CE20" s="32">
        <f t="shared" si="19"/>
        <v>207640.65</v>
      </c>
      <c r="CF20" s="21"/>
    </row>
    <row r="21" spans="1:84">
      <c r="A21" t="s">
        <v>63</v>
      </c>
      <c r="B21" s="9">
        <f>SUM(B8:B20)</f>
        <v>0</v>
      </c>
      <c r="C21" s="9">
        <f t="shared" ref="C21:BG21" si="26">SUM(C8:C20)</f>
        <v>0</v>
      </c>
      <c r="D21" s="9">
        <f t="shared" si="26"/>
        <v>0</v>
      </c>
      <c r="E21" s="9">
        <f t="shared" si="26"/>
        <v>0</v>
      </c>
      <c r="F21" s="9">
        <f t="shared" si="26"/>
        <v>0</v>
      </c>
      <c r="G21" s="9">
        <f t="shared" si="26"/>
        <v>0</v>
      </c>
      <c r="H21" s="9">
        <f t="shared" si="26"/>
        <v>0</v>
      </c>
      <c r="I21" s="9">
        <f t="shared" si="26"/>
        <v>0</v>
      </c>
      <c r="J21" s="9">
        <f t="shared" si="26"/>
        <v>0</v>
      </c>
      <c r="K21" s="9">
        <f t="shared" si="26"/>
        <v>0</v>
      </c>
      <c r="L21" s="9">
        <f t="shared" si="26"/>
        <v>0</v>
      </c>
      <c r="M21" s="9">
        <f t="shared" si="26"/>
        <v>0</v>
      </c>
      <c r="N21" s="9">
        <f t="shared" si="26"/>
        <v>0</v>
      </c>
      <c r="O21" s="9">
        <f t="shared" si="26"/>
        <v>0</v>
      </c>
      <c r="P21" s="9">
        <f t="shared" si="26"/>
        <v>0</v>
      </c>
      <c r="Q21" s="9">
        <f t="shared" si="26"/>
        <v>-13747922</v>
      </c>
      <c r="R21" s="9">
        <f t="shared" si="26"/>
        <v>0</v>
      </c>
      <c r="S21" s="9">
        <f t="shared" si="26"/>
        <v>0</v>
      </c>
      <c r="T21" s="9">
        <f t="shared" si="26"/>
        <v>0</v>
      </c>
      <c r="U21" s="9">
        <f t="shared" si="26"/>
        <v>-13999833.920000002</v>
      </c>
      <c r="V21" s="9">
        <f t="shared" si="26"/>
        <v>-17401210.809999999</v>
      </c>
      <c r="W21" s="9">
        <f t="shared" si="26"/>
        <v>-2662751.2800000003</v>
      </c>
      <c r="X21" s="9">
        <f t="shared" si="26"/>
        <v>-2097687.4900000002</v>
      </c>
      <c r="Y21" s="9">
        <f t="shared" si="26"/>
        <v>-51569.85</v>
      </c>
      <c r="Z21" s="9">
        <f t="shared" si="26"/>
        <v>219546.78000000003</v>
      </c>
      <c r="AA21" s="9">
        <f t="shared" si="26"/>
        <v>-356614.88</v>
      </c>
      <c r="AB21" s="9">
        <f t="shared" si="26"/>
        <v>0</v>
      </c>
      <c r="AC21" s="9">
        <f t="shared" si="26"/>
        <v>-142152.87</v>
      </c>
      <c r="AD21" s="9">
        <f t="shared" si="26"/>
        <v>-64936.04</v>
      </c>
      <c r="AE21" s="9">
        <f t="shared" si="26"/>
        <v>-5817529.0499999998</v>
      </c>
      <c r="AF21" s="9">
        <f t="shared" si="26"/>
        <v>-154089.76</v>
      </c>
      <c r="AG21" s="9">
        <f t="shared" si="26"/>
        <v>-246508.34</v>
      </c>
      <c r="AH21" s="9">
        <f t="shared" si="26"/>
        <v>-31553.17</v>
      </c>
      <c r="AI21" s="9">
        <f t="shared" si="26"/>
        <v>-5620.35</v>
      </c>
      <c r="AJ21" s="9">
        <f t="shared" si="26"/>
        <v>-4128.67</v>
      </c>
      <c r="AK21" s="9">
        <f t="shared" si="26"/>
        <v>-208.45</v>
      </c>
      <c r="AL21" s="9">
        <f t="shared" si="26"/>
        <v>0</v>
      </c>
      <c r="AM21" s="9">
        <f t="shared" si="26"/>
        <v>-31520.5</v>
      </c>
      <c r="AN21" s="9">
        <f t="shared" si="26"/>
        <v>-2206.83</v>
      </c>
      <c r="AO21" s="9">
        <f t="shared" si="26"/>
        <v>-4074.87</v>
      </c>
      <c r="AP21" s="9">
        <f t="shared" si="26"/>
        <v>-10761486.710000001</v>
      </c>
      <c r="AQ21" s="9">
        <f t="shared" si="26"/>
        <v>0</v>
      </c>
      <c r="AR21" s="9">
        <f t="shared" si="26"/>
        <v>-330037.25</v>
      </c>
      <c r="AS21" s="9">
        <f t="shared" si="26"/>
        <v>-4579607.57</v>
      </c>
      <c r="AT21" s="9">
        <f t="shared" si="26"/>
        <v>-20371763.529999997</v>
      </c>
      <c r="AU21" s="9">
        <f t="shared" si="26"/>
        <v>-54606.11</v>
      </c>
      <c r="AV21" s="9">
        <f t="shared" si="26"/>
        <v>49598.2</v>
      </c>
      <c r="AW21" s="9">
        <f t="shared" si="26"/>
        <v>0</v>
      </c>
      <c r="AX21" s="9">
        <f t="shared" si="26"/>
        <v>-167105.60000000001</v>
      </c>
      <c r="AY21" s="9">
        <f t="shared" si="26"/>
        <v>-1256.4500000000003</v>
      </c>
      <c r="AZ21" s="9">
        <f t="shared" si="26"/>
        <v>-909649.35</v>
      </c>
      <c r="BA21" s="9">
        <f t="shared" si="26"/>
        <v>85401.47</v>
      </c>
      <c r="BB21" s="9">
        <f t="shared" si="26"/>
        <v>-2464964.9200000004</v>
      </c>
      <c r="BC21" s="9">
        <f t="shared" si="26"/>
        <v>-30893265.870000001</v>
      </c>
      <c r="BD21" s="9">
        <f t="shared" si="26"/>
        <v>-928339.97</v>
      </c>
      <c r="BE21" s="9">
        <f t="shared" si="26"/>
        <v>90949.73</v>
      </c>
      <c r="BF21" s="9">
        <f t="shared" si="26"/>
        <v>-1561224.3499999999</v>
      </c>
      <c r="BG21" s="9">
        <f t="shared" si="26"/>
        <v>-20449502.949999999</v>
      </c>
      <c r="BH21" s="9">
        <f>SUM(BH8:BH20)</f>
        <v>-149849433.58000001</v>
      </c>
      <c r="BJ21" s="8">
        <f>SUM(BJ8:BJ17)</f>
        <v>-56560433.030000001</v>
      </c>
      <c r="BK21" s="8">
        <f>SUM(BK8:BK17)</f>
        <v>-72478378.279999986</v>
      </c>
      <c r="BN21" s="8">
        <f t="shared" ref="BN21:BW21" si="27">SUM(BN8:BN20)</f>
        <v>10280419.399999985</v>
      </c>
      <c r="BO21" s="8">
        <f t="shared" si="27"/>
        <v>24867777.469999999</v>
      </c>
      <c r="BP21" s="8">
        <f t="shared" si="27"/>
        <v>15000346.360000001</v>
      </c>
      <c r="BQ21" s="51">
        <f t="shared" si="27"/>
        <v>50148543.229999989</v>
      </c>
      <c r="BR21" s="51">
        <f t="shared" si="27"/>
        <v>-36139640.490000002</v>
      </c>
      <c r="BS21" s="8">
        <f t="shared" si="27"/>
        <v>-11133663.280000001</v>
      </c>
      <c r="BT21" s="8">
        <f t="shared" si="27"/>
        <v>-25005977.209999997</v>
      </c>
      <c r="BU21" s="33">
        <f t="shared" si="27"/>
        <v>11133663.280000001</v>
      </c>
      <c r="BV21" s="34">
        <f t="shared" si="27"/>
        <v>21266527.929999985</v>
      </c>
      <c r="BW21" s="35">
        <f t="shared" si="27"/>
        <v>3739449.2800000156</v>
      </c>
      <c r="BX21" s="22"/>
      <c r="BY21" s="8">
        <f t="shared" ref="BY21:CE21" si="28">SUM(BY8:BY20)</f>
        <v>2748005.6599999983</v>
      </c>
      <c r="BZ21" s="8">
        <f t="shared" si="28"/>
        <v>11260897.079999985</v>
      </c>
      <c r="CA21" s="8">
        <f t="shared" si="28"/>
        <v>46612483.990000002</v>
      </c>
      <c r="CB21" s="51">
        <f t="shared" si="28"/>
        <v>60621386.729999982</v>
      </c>
      <c r="CC21" s="51">
        <f t="shared" si="28"/>
        <v>-57149360.059999995</v>
      </c>
      <c r="CD21" s="35">
        <f t="shared" si="28"/>
        <v>2748005.6599999983</v>
      </c>
      <c r="CE21" s="35">
        <f t="shared" si="28"/>
        <v>54401354.399999999</v>
      </c>
      <c r="CF21" s="21"/>
    </row>
    <row r="22" spans="1:84">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T22" s="27" t="s">
        <v>99</v>
      </c>
      <c r="BU22" s="36">
        <v>-10100000</v>
      </c>
      <c r="BV22" s="31"/>
      <c r="BW22" s="31"/>
      <c r="BX22" s="21"/>
      <c r="BY22" s="2" t="s">
        <v>86</v>
      </c>
      <c r="CF22" s="21"/>
    </row>
    <row r="23" spans="1:84">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T23" s="27" t="s">
        <v>100</v>
      </c>
      <c r="BU23" s="35">
        <f>SUM(BU21:BU22)</f>
        <v>1033663.2800000012</v>
      </c>
      <c r="BV23" s="31"/>
      <c r="BW23" s="31"/>
      <c r="BX23" s="21"/>
      <c r="BY23" s="20">
        <f>SUM(BY21:BZ21)</f>
        <v>14008902.739999983</v>
      </c>
      <c r="CF23" s="21"/>
    </row>
    <row r="24" spans="1:84">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X24" s="21"/>
      <c r="BY24" s="20">
        <f>SUM(B21:AU21,B41:AU41)</f>
        <v>14008902.739999972</v>
      </c>
      <c r="CF24" s="21"/>
    </row>
    <row r="25" spans="1:84">
      <c r="BX25" s="21"/>
      <c r="CF25" s="21"/>
    </row>
    <row r="26" spans="1:84">
      <c r="A26" s="3" t="s">
        <v>66</v>
      </c>
      <c r="BX26" s="21"/>
      <c r="CF26" s="21"/>
    </row>
    <row r="27" spans="1:84">
      <c r="A27" t="s">
        <v>0</v>
      </c>
      <c r="B27" t="s">
        <v>62</v>
      </c>
      <c r="C27" t="s">
        <v>21</v>
      </c>
      <c r="D27" t="s">
        <v>2</v>
      </c>
      <c r="E27" t="s">
        <v>1</v>
      </c>
      <c r="F27" t="s">
        <v>3</v>
      </c>
      <c r="G27" t="s">
        <v>35</v>
      </c>
      <c r="H27" t="s">
        <v>22</v>
      </c>
      <c r="I27" t="s">
        <v>4</v>
      </c>
      <c r="J27" t="s">
        <v>6</v>
      </c>
      <c r="K27" t="s">
        <v>5</v>
      </c>
      <c r="L27" t="s">
        <v>7</v>
      </c>
      <c r="M27" t="s">
        <v>8</v>
      </c>
      <c r="N27" t="s">
        <v>9</v>
      </c>
      <c r="O27" t="s">
        <v>23</v>
      </c>
      <c r="P27" t="s">
        <v>24</v>
      </c>
      <c r="Q27" t="s">
        <v>13</v>
      </c>
      <c r="R27" t="s">
        <v>11</v>
      </c>
      <c r="S27" t="s">
        <v>14</v>
      </c>
      <c r="T27" t="s">
        <v>28</v>
      </c>
      <c r="U27" t="s">
        <v>27</v>
      </c>
      <c r="V27" t="s">
        <v>16</v>
      </c>
      <c r="W27" t="s">
        <v>15</v>
      </c>
      <c r="X27" t="s">
        <v>32</v>
      </c>
      <c r="Y27" t="s">
        <v>25</v>
      </c>
      <c r="Z27" t="s">
        <v>20</v>
      </c>
      <c r="AA27" t="s">
        <v>34</v>
      </c>
      <c r="AB27" t="s">
        <v>19</v>
      </c>
      <c r="AC27" t="s">
        <v>52</v>
      </c>
      <c r="AD27" t="s">
        <v>29</v>
      </c>
      <c r="AE27" t="s">
        <v>43</v>
      </c>
      <c r="AF27" t="s">
        <v>17</v>
      </c>
      <c r="AG27" t="s">
        <v>18</v>
      </c>
      <c r="AH27" t="s">
        <v>26</v>
      </c>
      <c r="AI27" t="s">
        <v>33</v>
      </c>
      <c r="AJ27" t="s">
        <v>45</v>
      </c>
      <c r="AK27" t="s">
        <v>44</v>
      </c>
      <c r="AL27" t="s">
        <v>54</v>
      </c>
      <c r="AM27" t="s">
        <v>55</v>
      </c>
      <c r="AN27" t="s">
        <v>38</v>
      </c>
      <c r="AO27" t="s">
        <v>10</v>
      </c>
      <c r="AP27" t="s">
        <v>37</v>
      </c>
      <c r="AQ27" t="s">
        <v>39</v>
      </c>
      <c r="AR27" t="s">
        <v>53</v>
      </c>
      <c r="AS27" t="s">
        <v>42</v>
      </c>
      <c r="AT27" t="s">
        <v>40</v>
      </c>
      <c r="AU27" t="s">
        <v>41</v>
      </c>
      <c r="AV27" t="s">
        <v>56</v>
      </c>
      <c r="AW27" t="s">
        <v>30</v>
      </c>
      <c r="AX27" t="s">
        <v>46</v>
      </c>
      <c r="AY27" t="s">
        <v>47</v>
      </c>
      <c r="AZ27" t="s">
        <v>51</v>
      </c>
      <c r="BA27" t="s">
        <v>50</v>
      </c>
      <c r="BB27" t="s">
        <v>48</v>
      </c>
      <c r="BC27" t="s">
        <v>49</v>
      </c>
      <c r="BD27" t="s">
        <v>303</v>
      </c>
      <c r="BE27" t="s">
        <v>304</v>
      </c>
      <c r="BF27" t="s">
        <v>305</v>
      </c>
      <c r="BG27" t="s">
        <v>306</v>
      </c>
      <c r="BH27" t="s">
        <v>63</v>
      </c>
      <c r="BL27" s="11" t="s">
        <v>75</v>
      </c>
      <c r="BX27" s="21"/>
      <c r="CF27" s="21"/>
    </row>
    <row r="28" spans="1:84">
      <c r="A28" t="s">
        <v>12</v>
      </c>
      <c r="B28" s="9">
        <v>2298.21</v>
      </c>
      <c r="C28" s="9">
        <v>2559.17</v>
      </c>
      <c r="D28" s="9">
        <v>2513.61</v>
      </c>
      <c r="E28" s="9">
        <v>10519.46</v>
      </c>
      <c r="F28" s="9">
        <v>11174.07</v>
      </c>
      <c r="G28" s="9">
        <v>2557.67</v>
      </c>
      <c r="H28" s="9">
        <v>2461243.37</v>
      </c>
      <c r="I28" s="9">
        <v>-1530354.62</v>
      </c>
      <c r="J28" s="9">
        <v>207163.88</v>
      </c>
      <c r="K28" s="9">
        <v>2552217.5699999998</v>
      </c>
      <c r="L28" s="9">
        <v>-1101576.4500000002</v>
      </c>
      <c r="M28" s="9">
        <v>449617.68999999989</v>
      </c>
      <c r="N28" s="9">
        <v>2224025.2499999986</v>
      </c>
      <c r="O28" s="9">
        <v>1264961.9499999995</v>
      </c>
      <c r="P28" s="9">
        <v>2934387.6299999994</v>
      </c>
      <c r="Q28" s="9">
        <v>3200351.96</v>
      </c>
      <c r="R28" s="9">
        <v>2287072.6599999997</v>
      </c>
      <c r="S28" s="9">
        <v>1734456.0199999993</v>
      </c>
      <c r="T28" s="9">
        <v>1575680.7300000002</v>
      </c>
      <c r="U28" s="9">
        <v>918567.69999999925</v>
      </c>
      <c r="V28" s="9">
        <v>50626.69</v>
      </c>
      <c r="W28" s="9">
        <v>393758.40999999986</v>
      </c>
      <c r="X28" s="9">
        <v>-13189.869999999999</v>
      </c>
      <c r="Y28" s="9">
        <v>-110750.59</v>
      </c>
      <c r="Z28" s="9">
        <v>-2777.6999999999989</v>
      </c>
      <c r="AA28" s="9">
        <v>34.4</v>
      </c>
      <c r="AB28" s="9">
        <v>232774.78999999995</v>
      </c>
      <c r="AC28" s="9">
        <v>59923.64</v>
      </c>
      <c r="AD28" s="9">
        <v>-4283.8900000000012</v>
      </c>
      <c r="AE28" s="9">
        <v>15293.99</v>
      </c>
      <c r="AF28" s="9">
        <v>7832</v>
      </c>
      <c r="AG28" s="9">
        <v>-24836.79</v>
      </c>
      <c r="AH28" s="9">
        <v>-1491.51</v>
      </c>
      <c r="AI28" s="9">
        <v>-109.3</v>
      </c>
      <c r="AJ28" s="9"/>
      <c r="AK28" s="9"/>
      <c r="AL28" s="9">
        <v>2989.35</v>
      </c>
      <c r="AM28" s="9">
        <v>321.49</v>
      </c>
      <c r="AN28" s="9">
        <v>1630.3</v>
      </c>
      <c r="AO28" s="9">
        <v>-23410.160000000003</v>
      </c>
      <c r="AP28" s="9">
        <v>654326.39999999991</v>
      </c>
      <c r="AQ28" s="9">
        <v>39344.269999999997</v>
      </c>
      <c r="AR28" s="9">
        <v>238.25</v>
      </c>
      <c r="AS28" s="9">
        <v>11.91</v>
      </c>
      <c r="AT28" s="9"/>
      <c r="AU28" s="9">
        <v>780</v>
      </c>
      <c r="AV28" s="9">
        <v>21967</v>
      </c>
      <c r="AW28" s="9">
        <v>-3681.6</v>
      </c>
      <c r="AX28" s="9">
        <v>-238.9</v>
      </c>
      <c r="AY28" s="9"/>
      <c r="AZ28" s="9"/>
      <c r="BA28" s="9"/>
      <c r="BB28" s="9"/>
      <c r="BC28" s="9"/>
      <c r="BD28" s="9"/>
      <c r="BE28" s="9"/>
      <c r="BF28" s="9"/>
      <c r="BG28" s="9"/>
      <c r="BH28" s="9">
        <f>SUM(B28:BG28)</f>
        <v>20506520.109999992</v>
      </c>
      <c r="BK28" s="9">
        <f t="shared" ref="BK28:BK39" si="29">BH28+BJ8</f>
        <v>688865.41999999061</v>
      </c>
      <c r="BL28" s="9">
        <f>SUM(B28:AI28)</f>
        <v>19812241.799999993</v>
      </c>
      <c r="BX28" s="21"/>
      <c r="CF28" s="21"/>
    </row>
    <row r="29" spans="1:84">
      <c r="A29" t="s">
        <v>31</v>
      </c>
      <c r="B29" s="9"/>
      <c r="C29" s="9"/>
      <c r="D29" s="9">
        <v>553.62</v>
      </c>
      <c r="E29" s="9">
        <v>7692.81</v>
      </c>
      <c r="F29" s="9">
        <v>10213.869999999999</v>
      </c>
      <c r="G29" s="9">
        <v>5278.17</v>
      </c>
      <c r="H29" s="9">
        <v>4636.7999999999529</v>
      </c>
      <c r="I29" s="9">
        <v>35770.19000000001</v>
      </c>
      <c r="J29" s="9">
        <v>138382.19000000003</v>
      </c>
      <c r="K29" s="9">
        <v>516188.36999999994</v>
      </c>
      <c r="L29" s="9">
        <v>259038.2699999999</v>
      </c>
      <c r="M29" s="9">
        <v>1523848.6299999992</v>
      </c>
      <c r="N29" s="9">
        <v>5471934.9399999958</v>
      </c>
      <c r="O29" s="9">
        <v>894901.6800000004</v>
      </c>
      <c r="P29" s="9">
        <v>1620526.6400000001</v>
      </c>
      <c r="Q29" s="9">
        <v>3850957.3899999997</v>
      </c>
      <c r="R29" s="9">
        <v>1519733.6000000003</v>
      </c>
      <c r="S29" s="9">
        <v>3965582.5200000009</v>
      </c>
      <c r="T29" s="9">
        <v>3763673.200000002</v>
      </c>
      <c r="U29" s="9">
        <v>2535421.2999999984</v>
      </c>
      <c r="V29" s="9">
        <v>2668871.8000000007</v>
      </c>
      <c r="W29" s="9">
        <v>1799573.2699999993</v>
      </c>
      <c r="X29" s="9">
        <v>44880.890000000007</v>
      </c>
      <c r="Y29" s="9">
        <v>-118388.43</v>
      </c>
      <c r="Z29" s="9">
        <v>15809.679999999998</v>
      </c>
      <c r="AA29" s="9">
        <v>37963.579999999994</v>
      </c>
      <c r="AB29" s="9">
        <v>-177571.18999999997</v>
      </c>
      <c r="AC29" s="9">
        <v>59810.009999999987</v>
      </c>
      <c r="AD29" s="9">
        <v>38929.229999999989</v>
      </c>
      <c r="AE29" s="9">
        <v>147354.4</v>
      </c>
      <c r="AF29" s="9">
        <v>246508.34000000003</v>
      </c>
      <c r="AG29" s="9">
        <v>31553.170000000002</v>
      </c>
      <c r="AH29" s="9">
        <v>5620.3499999999995</v>
      </c>
      <c r="AI29" s="9">
        <v>4128.67</v>
      </c>
      <c r="AJ29" s="9">
        <v>208.45</v>
      </c>
      <c r="AK29" s="9">
        <v>-5.6</v>
      </c>
      <c r="AL29" s="9">
        <v>31526.1</v>
      </c>
      <c r="AM29" s="9">
        <v>2206.83</v>
      </c>
      <c r="AN29" s="9">
        <v>4074.8700000000003</v>
      </c>
      <c r="AO29" s="9">
        <v>-12304.27</v>
      </c>
      <c r="AP29" s="9">
        <v>23508.68</v>
      </c>
      <c r="AQ29" s="9">
        <v>330037.25</v>
      </c>
      <c r="AR29" s="9">
        <v>52900.19</v>
      </c>
      <c r="AS29" s="9">
        <v>1659.27</v>
      </c>
      <c r="AT29" s="9"/>
      <c r="AU29" s="9">
        <v>3348.64</v>
      </c>
      <c r="AV29" s="9">
        <v>186.93</v>
      </c>
      <c r="AW29" s="9">
        <v>-3273.95</v>
      </c>
      <c r="AX29" s="9">
        <v>-163.75</v>
      </c>
      <c r="AY29" s="9"/>
      <c r="AZ29" s="9"/>
      <c r="BA29" s="9"/>
      <c r="BB29" s="9"/>
      <c r="BC29" s="9"/>
      <c r="BD29" s="9"/>
      <c r="BE29" s="9"/>
      <c r="BF29" s="9"/>
      <c r="BG29" s="9"/>
      <c r="BH29" s="9">
        <f t="shared" ref="BH29:BH40" si="30">SUM(B29:BG29)</f>
        <v>31363287.600000001</v>
      </c>
      <c r="BK29" s="9">
        <f t="shared" si="29"/>
        <v>438038.30999999493</v>
      </c>
      <c r="BL29" s="9">
        <f t="shared" ref="BL29:BL40" si="31">SUM(B29:AI29)</f>
        <v>30929377.960000001</v>
      </c>
      <c r="BX29" s="21"/>
      <c r="CF29" s="21"/>
    </row>
    <row r="30" spans="1:84">
      <c r="A30" t="s">
        <v>36</v>
      </c>
      <c r="B30" s="9"/>
      <c r="C30" s="9"/>
      <c r="D30" s="9"/>
      <c r="E30" s="9"/>
      <c r="F30" s="9"/>
      <c r="G30" s="9"/>
      <c r="H30" s="9"/>
      <c r="I30" s="9"/>
      <c r="J30" s="9"/>
      <c r="K30" s="9"/>
      <c r="L30" s="9">
        <v>2617.31</v>
      </c>
      <c r="M30" s="9">
        <v>81435.150000000009</v>
      </c>
      <c r="N30" s="9">
        <v>3228147.4399999995</v>
      </c>
      <c r="O30" s="9">
        <v>-3223356.85</v>
      </c>
      <c r="P30" s="9">
        <v>53818.219999999994</v>
      </c>
      <c r="Q30" s="9">
        <v>225282.2</v>
      </c>
      <c r="R30" s="9">
        <v>94444.710000000036</v>
      </c>
      <c r="S30" s="9">
        <v>148982.54000000007</v>
      </c>
      <c r="T30" s="9">
        <v>89418.959999999992</v>
      </c>
      <c r="U30" s="9">
        <v>454885.54000000021</v>
      </c>
      <c r="V30" s="9">
        <v>1001012.6399999999</v>
      </c>
      <c r="W30" s="9">
        <v>1132952.6600000004</v>
      </c>
      <c r="X30" s="9">
        <v>-930703.62999999977</v>
      </c>
      <c r="Y30" s="9">
        <v>246845.67</v>
      </c>
      <c r="Z30" s="9">
        <v>315933.20999999996</v>
      </c>
      <c r="AA30" s="9">
        <v>390715.15</v>
      </c>
      <c r="AB30" s="9">
        <v>776714.84000000008</v>
      </c>
      <c r="AC30" s="9">
        <v>1239972.3100000005</v>
      </c>
      <c r="AD30" s="9">
        <v>514095.37999999989</v>
      </c>
      <c r="AE30" s="9">
        <v>1408995.9899999995</v>
      </c>
      <c r="AF30" s="9">
        <v>1861018.0000000012</v>
      </c>
      <c r="AG30" s="9">
        <v>234282.26</v>
      </c>
      <c r="AH30" s="9">
        <v>1223078.1700000009</v>
      </c>
      <c r="AI30" s="9">
        <v>5493363.3599999975</v>
      </c>
      <c r="AJ30" s="9">
        <v>142066.49000000002</v>
      </c>
      <c r="AK30" s="9">
        <v>2262938.9599999995</v>
      </c>
      <c r="AL30" s="9">
        <v>2509305.2400000012</v>
      </c>
      <c r="AM30" s="9">
        <v>1571794.3199999996</v>
      </c>
      <c r="AN30" s="9">
        <v>1803438.4499999997</v>
      </c>
      <c r="AO30" s="9">
        <v>6836289.0700000003</v>
      </c>
      <c r="AP30" s="9">
        <v>-405062.66000000044</v>
      </c>
      <c r="AQ30" s="9">
        <v>2050667.91</v>
      </c>
      <c r="AR30" s="9">
        <v>4276023.0699999994</v>
      </c>
      <c r="AS30" s="9">
        <v>964215.64</v>
      </c>
      <c r="AT30" s="9">
        <v>3144046.0799999982</v>
      </c>
      <c r="AU30" s="9">
        <v>780420.62000000023</v>
      </c>
      <c r="AV30" s="9">
        <v>-224533.0100000001</v>
      </c>
      <c r="AW30" s="9">
        <v>-124713.73000000005</v>
      </c>
      <c r="AX30" s="9">
        <v>193591.83999999994</v>
      </c>
      <c r="AY30" s="9">
        <v>-170365.36000000004</v>
      </c>
      <c r="AZ30" s="9">
        <v>39759.530000000006</v>
      </c>
      <c r="BA30" s="9">
        <v>261935.67999999993</v>
      </c>
      <c r="BB30" s="9">
        <v>-155259.50999999995</v>
      </c>
      <c r="BC30" s="9">
        <v>167495.94999999998</v>
      </c>
      <c r="BD30" s="9">
        <v>18651.13</v>
      </c>
      <c r="BE30" s="9">
        <v>7051.55</v>
      </c>
      <c r="BF30" s="9">
        <v>5438.0400000000009</v>
      </c>
      <c r="BG30" s="9">
        <v>2308.7800000000002</v>
      </c>
      <c r="BH30" s="9">
        <f t="shared" si="30"/>
        <v>42021455.31000001</v>
      </c>
      <c r="BK30" s="9">
        <f t="shared" si="29"/>
        <v>36203926.260000013</v>
      </c>
      <c r="BL30" s="9">
        <f t="shared" si="31"/>
        <v>16063951.229999999</v>
      </c>
      <c r="BX30" s="21"/>
      <c r="CF30" s="21"/>
    </row>
    <row r="31" spans="1:84">
      <c r="A31" t="s">
        <v>57</v>
      </c>
      <c r="B31" s="9"/>
      <c r="C31" s="9"/>
      <c r="D31" s="9"/>
      <c r="E31" s="9"/>
      <c r="F31" s="9"/>
      <c r="G31" s="9"/>
      <c r="H31" s="9"/>
      <c r="I31" s="9"/>
      <c r="J31" s="9"/>
      <c r="K31" s="9"/>
      <c r="L31" s="9"/>
      <c r="M31" s="9"/>
      <c r="N31" s="9"/>
      <c r="O31" s="9"/>
      <c r="P31" s="9"/>
      <c r="Q31" s="9"/>
      <c r="R31" s="9"/>
      <c r="S31" s="9"/>
      <c r="T31" s="9"/>
      <c r="U31" s="9"/>
      <c r="V31" s="9"/>
      <c r="W31" s="9"/>
      <c r="X31" s="9"/>
      <c r="Y31" s="9"/>
      <c r="Z31" s="9"/>
      <c r="AA31" s="9"/>
      <c r="AB31" s="9">
        <v>13393.82</v>
      </c>
      <c r="AC31" s="9">
        <v>18832.669999999998</v>
      </c>
      <c r="AD31" s="9">
        <v>1271.4100000000001</v>
      </c>
      <c r="AE31" s="9">
        <v>271.64999999999998</v>
      </c>
      <c r="AF31" s="9">
        <v>54.819999999999993</v>
      </c>
      <c r="AG31" s="9">
        <v>2.5099999999999998</v>
      </c>
      <c r="AH31" s="9"/>
      <c r="AI31" s="9">
        <v>1454.56</v>
      </c>
      <c r="AJ31" s="9">
        <v>3521.46</v>
      </c>
      <c r="AK31" s="9">
        <v>87707.060000000027</v>
      </c>
      <c r="AL31" s="9">
        <v>20808.84</v>
      </c>
      <c r="AM31" s="9">
        <v>81264.180000000022</v>
      </c>
      <c r="AN31" s="9">
        <v>15576.010000000004</v>
      </c>
      <c r="AO31" s="9">
        <v>1253405.6799999995</v>
      </c>
      <c r="AP31" s="9">
        <v>-1099833.5099999998</v>
      </c>
      <c r="AQ31" s="9">
        <v>21312.959999999999</v>
      </c>
      <c r="AR31" s="9">
        <v>2168341.6099999989</v>
      </c>
      <c r="AS31" s="9">
        <v>-223235.40000000011</v>
      </c>
      <c r="AT31" s="9">
        <v>619467.92000000004</v>
      </c>
      <c r="AU31" s="9">
        <v>928450.00999999966</v>
      </c>
      <c r="AV31" s="9">
        <v>-187202.88999999993</v>
      </c>
      <c r="AW31" s="9">
        <v>10571.739999999998</v>
      </c>
      <c r="AX31" s="9">
        <v>63359.459999999992</v>
      </c>
      <c r="AY31" s="9">
        <v>114679.72999999998</v>
      </c>
      <c r="AZ31" s="9">
        <v>389325.96000000014</v>
      </c>
      <c r="BA31" s="9">
        <v>581310.91</v>
      </c>
      <c r="BB31" s="9">
        <v>404272.05999999988</v>
      </c>
      <c r="BC31" s="9">
        <v>943661.40000000037</v>
      </c>
      <c r="BD31" s="9">
        <v>232989.35999999996</v>
      </c>
      <c r="BE31" s="9">
        <v>41961.599999999991</v>
      </c>
      <c r="BF31" s="9">
        <v>-3338.2299999999987</v>
      </c>
      <c r="BG31" s="9">
        <v>2522.1799999999998</v>
      </c>
      <c r="BH31" s="9">
        <f t="shared" si="30"/>
        <v>6506181.5399999982</v>
      </c>
      <c r="BK31" s="9">
        <f t="shared" si="29"/>
        <v>6506181.5399999982</v>
      </c>
      <c r="BL31" s="9">
        <f t="shared" si="31"/>
        <v>35281.440000000002</v>
      </c>
      <c r="BX31" s="21"/>
      <c r="CF31" s="21"/>
    </row>
    <row r="32" spans="1:84">
      <c r="A32" s="10" t="s">
        <v>307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v>1747.4099999999999</v>
      </c>
      <c r="AN32" s="9">
        <v>1458.37</v>
      </c>
      <c r="AO32" s="9">
        <v>1052.6299999999999</v>
      </c>
      <c r="AP32" s="9">
        <v>7720.8</v>
      </c>
      <c r="AQ32" s="9">
        <v>30408.980000000003</v>
      </c>
      <c r="AR32" s="9">
        <v>5497.46</v>
      </c>
      <c r="AS32" s="9">
        <v>38179.989999999991</v>
      </c>
      <c r="AT32" s="9">
        <v>14624.73</v>
      </c>
      <c r="AU32" s="9">
        <v>139413.02999999997</v>
      </c>
      <c r="AV32" s="9">
        <v>7361.81</v>
      </c>
      <c r="AW32" s="9">
        <v>151.19</v>
      </c>
      <c r="AX32" s="9">
        <v>114.86000000000001</v>
      </c>
      <c r="AY32" s="9">
        <v>116.38999999999999</v>
      </c>
      <c r="AZ32" s="9">
        <v>680.49</v>
      </c>
      <c r="BA32" s="9">
        <v>142.18</v>
      </c>
      <c r="BB32" s="9">
        <v>573.19000000000005</v>
      </c>
      <c r="BC32" s="9">
        <v>141.65</v>
      </c>
      <c r="BD32" s="9">
        <v>114.21000000000001</v>
      </c>
      <c r="BE32" s="9"/>
      <c r="BF32" s="9"/>
      <c r="BG32" s="9"/>
      <c r="BH32" s="9">
        <f t="shared" si="30"/>
        <v>249499.36999999994</v>
      </c>
      <c r="BK32" s="9">
        <f t="shared" si="29"/>
        <v>249499.36999999994</v>
      </c>
      <c r="BL32" s="9">
        <f t="shared" si="31"/>
        <v>0</v>
      </c>
      <c r="BX32" s="21"/>
      <c r="CF32" s="21"/>
    </row>
    <row r="33" spans="1:84">
      <c r="A33" t="s">
        <v>58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v>2811.0499999999997</v>
      </c>
      <c r="AN33" s="9">
        <v>5506</v>
      </c>
      <c r="AO33" s="9">
        <v>10880.319999999998</v>
      </c>
      <c r="AP33" s="9">
        <v>4968.7400000000007</v>
      </c>
      <c r="AQ33" s="9">
        <v>6352.06</v>
      </c>
      <c r="AR33" s="9">
        <v>23006.44</v>
      </c>
      <c r="AS33" s="9">
        <v>302148.81000000006</v>
      </c>
      <c r="AT33" s="9">
        <v>1211504.1600000006</v>
      </c>
      <c r="AU33" s="9">
        <v>3695665.4699999997</v>
      </c>
      <c r="AV33" s="9">
        <v>-925880.5899999995</v>
      </c>
      <c r="AW33" s="9">
        <v>1926609.6199999994</v>
      </c>
      <c r="AX33" s="9">
        <v>2912373.08</v>
      </c>
      <c r="AY33" s="9">
        <v>1215644.4100000004</v>
      </c>
      <c r="AZ33" s="9">
        <v>2166333.2300000004</v>
      </c>
      <c r="BA33" s="9">
        <v>3770790.9999999981</v>
      </c>
      <c r="BB33" s="9">
        <v>798988.5500000004</v>
      </c>
      <c r="BC33" s="9">
        <v>1887450.7000000016</v>
      </c>
      <c r="BD33" s="9">
        <v>625471.01000000024</v>
      </c>
      <c r="BE33" s="9">
        <v>88308.680000000008</v>
      </c>
      <c r="BF33" s="9">
        <v>9945.24</v>
      </c>
      <c r="BG33" s="9">
        <v>5734.81</v>
      </c>
      <c r="BH33" s="9">
        <f t="shared" si="30"/>
        <v>19744612.789999999</v>
      </c>
      <c r="BK33" s="9">
        <f t="shared" si="29"/>
        <v>19744612.789999999</v>
      </c>
      <c r="BL33" s="9">
        <f t="shared" si="31"/>
        <v>0</v>
      </c>
      <c r="BX33" s="21"/>
      <c r="CF33" s="21"/>
    </row>
    <row r="34" spans="1:84">
      <c r="A34" t="s">
        <v>59</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v>47.27</v>
      </c>
      <c r="AN34" s="9">
        <v>3.31</v>
      </c>
      <c r="AO34" s="9">
        <v>1516.23</v>
      </c>
      <c r="AP34" s="9">
        <v>2342.6999999999998</v>
      </c>
      <c r="AQ34" s="9">
        <v>3720.26</v>
      </c>
      <c r="AR34" s="9">
        <v>26935.33</v>
      </c>
      <c r="AS34" s="9">
        <v>6761.06</v>
      </c>
      <c r="AT34" s="9">
        <v>30756.450000000004</v>
      </c>
      <c r="AU34" s="9">
        <v>42713.719999999994</v>
      </c>
      <c r="AV34" s="9">
        <v>12232.97</v>
      </c>
      <c r="AW34" s="9">
        <v>-2132.9100000000008</v>
      </c>
      <c r="AX34" s="9">
        <v>31632.04</v>
      </c>
      <c r="AY34" s="9">
        <v>134866.05000000002</v>
      </c>
      <c r="AZ34" s="9">
        <v>1412348.84</v>
      </c>
      <c r="BA34" s="9">
        <v>1973887.2600000005</v>
      </c>
      <c r="BB34" s="9">
        <v>793441.26000000013</v>
      </c>
      <c r="BC34" s="9">
        <v>988567.13999999978</v>
      </c>
      <c r="BD34" s="9">
        <v>351304.24999999983</v>
      </c>
      <c r="BE34" s="9">
        <v>56897.700000000004</v>
      </c>
      <c r="BF34" s="9">
        <v>74842.010000000009</v>
      </c>
      <c r="BG34" s="9">
        <v>9431.590000000002</v>
      </c>
      <c r="BH34" s="9">
        <f t="shared" si="30"/>
        <v>5952114.5300000003</v>
      </c>
      <c r="BK34" s="9">
        <f t="shared" si="29"/>
        <v>5952114.5300000003</v>
      </c>
      <c r="BL34" s="9">
        <f t="shared" si="31"/>
        <v>0</v>
      </c>
      <c r="BX34" s="21"/>
      <c r="CF34" s="21"/>
    </row>
    <row r="35" spans="1:84">
      <c r="A35" s="10" t="s">
        <v>308</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v>62.1</v>
      </c>
      <c r="AO35" s="9">
        <v>118.91999999999999</v>
      </c>
      <c r="AP35" s="9">
        <v>1262.8899999999999</v>
      </c>
      <c r="AQ35" s="9">
        <v>5624.7500000000009</v>
      </c>
      <c r="AR35" s="9">
        <v>12545.870000000003</v>
      </c>
      <c r="AS35" s="9">
        <v>32518.939999999995</v>
      </c>
      <c r="AT35" s="9">
        <v>33465.83</v>
      </c>
      <c r="AU35" s="9">
        <v>79049.050000000017</v>
      </c>
      <c r="AV35" s="9">
        <v>6716.7400000000016</v>
      </c>
      <c r="AW35" s="9">
        <v>246.01</v>
      </c>
      <c r="AX35" s="9">
        <v>1.72</v>
      </c>
      <c r="AY35" s="9"/>
      <c r="AZ35" s="9">
        <v>-85401.47</v>
      </c>
      <c r="BA35" s="9">
        <v>85401.47</v>
      </c>
      <c r="BB35" s="9"/>
      <c r="BC35" s="9"/>
      <c r="BD35" s="9"/>
      <c r="BE35" s="9"/>
      <c r="BF35" s="9"/>
      <c r="BG35" s="9"/>
      <c r="BH35" s="9">
        <f t="shared" si="30"/>
        <v>171612.82000000004</v>
      </c>
      <c r="BK35" s="9">
        <f t="shared" si="29"/>
        <v>171612.82000000004</v>
      </c>
      <c r="BL35" s="9">
        <f t="shared" si="31"/>
        <v>0</v>
      </c>
      <c r="BX35" s="21"/>
      <c r="CF35" s="21"/>
    </row>
    <row r="36" spans="1:84">
      <c r="A36" t="s">
        <v>60</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v>1850.02</v>
      </c>
      <c r="AW36" s="9">
        <v>947.30000000000007</v>
      </c>
      <c r="AX36" s="9">
        <v>8995.2999999999993</v>
      </c>
      <c r="AY36" s="9">
        <v>10847.36</v>
      </c>
      <c r="AZ36" s="9">
        <v>24775.7</v>
      </c>
      <c r="BA36" s="9">
        <v>1347.19</v>
      </c>
      <c r="BB36" s="9">
        <v>3032.05</v>
      </c>
      <c r="BC36" s="9">
        <v>69067.56</v>
      </c>
      <c r="BD36" s="9">
        <v>5268.4699999999993</v>
      </c>
      <c r="BE36" s="9">
        <v>5269.41</v>
      </c>
      <c r="BF36" s="9">
        <v>366.76</v>
      </c>
      <c r="BG36" s="9"/>
      <c r="BH36" s="9">
        <f t="shared" si="30"/>
        <v>131767.12000000002</v>
      </c>
      <c r="BK36" s="9">
        <f t="shared" si="29"/>
        <v>131767.12000000002</v>
      </c>
      <c r="BL36" s="9">
        <f t="shared" si="31"/>
        <v>0</v>
      </c>
      <c r="BX36" s="21"/>
      <c r="CF36" s="21"/>
    </row>
    <row r="37" spans="1:84">
      <c r="A37" t="s">
        <v>61</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v>1651.6200000000001</v>
      </c>
      <c r="AQ37" s="9">
        <v>372.62</v>
      </c>
      <c r="AR37" s="9">
        <v>3005.8</v>
      </c>
      <c r="AS37" s="9">
        <v>3377.69</v>
      </c>
      <c r="AT37" s="9">
        <v>27703.26</v>
      </c>
      <c r="AU37" s="9">
        <v>399269.60000000009</v>
      </c>
      <c r="AV37" s="9">
        <v>144561.22</v>
      </c>
      <c r="AW37" s="9">
        <v>647557.48999999987</v>
      </c>
      <c r="AX37" s="9">
        <v>819188.62000000011</v>
      </c>
      <c r="AY37" s="9">
        <v>239871.96000000005</v>
      </c>
      <c r="AZ37" s="9">
        <v>-2365.7799999999988</v>
      </c>
      <c r="BA37" s="9">
        <v>67525.78</v>
      </c>
      <c r="BB37" s="9">
        <v>68404.01999999996</v>
      </c>
      <c r="BC37" s="9">
        <v>82178.040000000023</v>
      </c>
      <c r="BD37" s="9">
        <v>17572.91</v>
      </c>
      <c r="BE37" s="9">
        <v>-3536.6299999999997</v>
      </c>
      <c r="BF37" s="9">
        <v>368.91999999999996</v>
      </c>
      <c r="BG37" s="9">
        <v>22.21</v>
      </c>
      <c r="BH37" s="9">
        <f t="shared" si="30"/>
        <v>2516729.35</v>
      </c>
      <c r="BK37" s="9">
        <f t="shared" si="29"/>
        <v>2516729.35</v>
      </c>
      <c r="BL37" s="9">
        <f t="shared" si="31"/>
        <v>0</v>
      </c>
      <c r="BX37" s="21"/>
      <c r="CF37" s="21"/>
    </row>
    <row r="38" spans="1:84">
      <c r="A38" s="10" t="s">
        <v>310</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v>3239.7799999999997</v>
      </c>
      <c r="AV38" s="9">
        <v>162.74</v>
      </c>
      <c r="AW38" s="9">
        <v>36108.29</v>
      </c>
      <c r="AX38" s="9">
        <v>2145.66</v>
      </c>
      <c r="AY38" s="9">
        <v>2398.3900000000003</v>
      </c>
      <c r="AZ38" s="9">
        <v>11330.529999999999</v>
      </c>
      <c r="BA38" s="9">
        <v>3162.45</v>
      </c>
      <c r="BB38" s="9">
        <v>14678.430000000004</v>
      </c>
      <c r="BC38" s="9">
        <v>14968.77</v>
      </c>
      <c r="BD38" s="9">
        <v>7236.2199999999993</v>
      </c>
      <c r="BE38" s="9">
        <v>57997.770000000004</v>
      </c>
      <c r="BF38" s="9">
        <v>2860.58</v>
      </c>
      <c r="BG38" s="9">
        <v>-22.23</v>
      </c>
      <c r="BH38" s="9">
        <f t="shared" si="30"/>
        <v>156267.38</v>
      </c>
      <c r="BK38" s="9">
        <f t="shared" si="29"/>
        <v>156267.38</v>
      </c>
      <c r="BL38" s="9">
        <f t="shared" si="31"/>
        <v>0</v>
      </c>
      <c r="BX38" s="21"/>
      <c r="CF38" s="21"/>
    </row>
    <row r="39" spans="1:84">
      <c r="A39" s="10" t="s">
        <v>313</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v>1734.6399999999999</v>
      </c>
      <c r="AU39" s="9">
        <v>2709903.83</v>
      </c>
      <c r="AV39" s="9">
        <v>-2097238.669999999</v>
      </c>
      <c r="AW39" s="9">
        <v>420803.73999999982</v>
      </c>
      <c r="AX39" s="9">
        <v>3184091.8800000008</v>
      </c>
      <c r="AY39" s="9">
        <v>-1268982.4799999997</v>
      </c>
      <c r="AZ39" s="9">
        <v>603056.71999999962</v>
      </c>
      <c r="BA39" s="9">
        <v>2338087.8000000003</v>
      </c>
      <c r="BB39" s="9">
        <v>-776915.42</v>
      </c>
      <c r="BC39" s="9">
        <v>2283080.4300000006</v>
      </c>
      <c r="BD39" s="9">
        <v>5365211.5599999987</v>
      </c>
      <c r="BE39" s="9">
        <v>3131300.0899999989</v>
      </c>
      <c r="BF39" s="9">
        <v>4892757.6100000013</v>
      </c>
      <c r="BG39" s="9">
        <v>3001941.7</v>
      </c>
      <c r="BH39" s="9">
        <f t="shared" si="30"/>
        <v>23788833.430000003</v>
      </c>
      <c r="BK39" s="9">
        <f t="shared" si="29"/>
        <v>23788833.430000003</v>
      </c>
      <c r="BL39" s="9">
        <f t="shared" si="31"/>
        <v>0</v>
      </c>
      <c r="BX39" s="21"/>
      <c r="CF39" s="21"/>
    </row>
    <row r="40" spans="1:84">
      <c r="A40" s="10" t="s">
        <v>309</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v>1714.43</v>
      </c>
      <c r="AU40" s="9">
        <v>7437.2</v>
      </c>
      <c r="AV40" s="9">
        <v>14424.23</v>
      </c>
      <c r="AW40" s="9">
        <v>1149.4399999999998</v>
      </c>
      <c r="AX40" s="9">
        <v>660.77</v>
      </c>
      <c r="AY40" s="9">
        <v>28209.96</v>
      </c>
      <c r="AZ40" s="9">
        <v>4358.7299999999996</v>
      </c>
      <c r="BA40" s="9">
        <v>48980.61</v>
      </c>
      <c r="BB40" s="9">
        <v>10108.129999999999</v>
      </c>
      <c r="BC40" s="9">
        <v>17379.169999999995</v>
      </c>
      <c r="BD40" s="9">
        <v>10193.629999999999</v>
      </c>
      <c r="BE40" s="9">
        <v>63549.750000000007</v>
      </c>
      <c r="BF40" s="9">
        <v>4412.46</v>
      </c>
      <c r="BG40" s="9">
        <v>0.39</v>
      </c>
      <c r="BH40" s="9">
        <f t="shared" si="30"/>
        <v>212578.9</v>
      </c>
      <c r="BK40" s="9">
        <f t="shared" ref="BK40" si="32">BH40+BJ20</f>
        <v>212578.9</v>
      </c>
      <c r="BL40" s="9">
        <f t="shared" si="31"/>
        <v>0</v>
      </c>
      <c r="BX40" s="21"/>
      <c r="CF40" s="21"/>
    </row>
    <row r="41" spans="1:84">
      <c r="A41" t="s">
        <v>63</v>
      </c>
      <c r="B41" s="9">
        <f>SUM(B28:B40)</f>
        <v>2298.21</v>
      </c>
      <c r="C41" s="9">
        <f t="shared" ref="C41:BG41" si="33">SUM(C28:C40)</f>
        <v>2559.17</v>
      </c>
      <c r="D41" s="9">
        <f t="shared" si="33"/>
        <v>3067.23</v>
      </c>
      <c r="E41" s="9">
        <f t="shared" si="33"/>
        <v>18212.27</v>
      </c>
      <c r="F41" s="9">
        <f t="shared" si="33"/>
        <v>21387.94</v>
      </c>
      <c r="G41" s="9">
        <f t="shared" si="33"/>
        <v>7835.84</v>
      </c>
      <c r="H41" s="9">
        <f t="shared" si="33"/>
        <v>2465880.17</v>
      </c>
      <c r="I41" s="9">
        <f t="shared" si="33"/>
        <v>-1494584.4300000002</v>
      </c>
      <c r="J41" s="9">
        <f t="shared" si="33"/>
        <v>345546.07000000007</v>
      </c>
      <c r="K41" s="9">
        <f t="shared" si="33"/>
        <v>3068405.94</v>
      </c>
      <c r="L41" s="9">
        <f t="shared" si="33"/>
        <v>-839920.87000000023</v>
      </c>
      <c r="M41" s="9">
        <f t="shared" si="33"/>
        <v>2054901.469999999</v>
      </c>
      <c r="N41" s="9">
        <f t="shared" si="33"/>
        <v>10924107.629999993</v>
      </c>
      <c r="O41" s="9">
        <f t="shared" si="33"/>
        <v>-1063493.2200000002</v>
      </c>
      <c r="P41" s="9">
        <f t="shared" si="33"/>
        <v>4608732.4899999993</v>
      </c>
      <c r="Q41" s="9">
        <f t="shared" si="33"/>
        <v>7276591.5499999998</v>
      </c>
      <c r="R41" s="9">
        <f>SUM(R28:R40)</f>
        <v>3901250.9699999997</v>
      </c>
      <c r="S41" s="9">
        <f t="shared" si="33"/>
        <v>5849021.0800000001</v>
      </c>
      <c r="T41" s="9">
        <f t="shared" si="33"/>
        <v>5428772.8900000025</v>
      </c>
      <c r="U41" s="9">
        <f t="shared" si="33"/>
        <v>3908874.5399999977</v>
      </c>
      <c r="V41" s="9">
        <f t="shared" si="33"/>
        <v>3720511.1300000008</v>
      </c>
      <c r="W41" s="9">
        <f t="shared" si="33"/>
        <v>3326284.34</v>
      </c>
      <c r="X41" s="9">
        <f t="shared" si="33"/>
        <v>-899012.60999999975</v>
      </c>
      <c r="Y41" s="9">
        <f t="shared" si="33"/>
        <v>17706.650000000023</v>
      </c>
      <c r="Z41" s="9">
        <f t="shared" si="33"/>
        <v>328965.18999999994</v>
      </c>
      <c r="AA41" s="9">
        <f t="shared" si="33"/>
        <v>428713.13</v>
      </c>
      <c r="AB41" s="9">
        <f t="shared" si="33"/>
        <v>845312.26</v>
      </c>
      <c r="AC41" s="9">
        <f t="shared" si="33"/>
        <v>1378538.6300000004</v>
      </c>
      <c r="AD41" s="9">
        <f t="shared" si="33"/>
        <v>550012.12999999989</v>
      </c>
      <c r="AE41" s="9">
        <f t="shared" si="33"/>
        <v>1571916.0299999993</v>
      </c>
      <c r="AF41" s="9">
        <f t="shared" si="33"/>
        <v>2115413.1600000011</v>
      </c>
      <c r="AG41" s="9">
        <f t="shared" si="33"/>
        <v>241001.15000000002</v>
      </c>
      <c r="AH41" s="9">
        <f t="shared" si="33"/>
        <v>1227207.0100000009</v>
      </c>
      <c r="AI41" s="9">
        <f t="shared" si="33"/>
        <v>5498837.2899999972</v>
      </c>
      <c r="AJ41" s="9">
        <f t="shared" si="33"/>
        <v>145796.40000000002</v>
      </c>
      <c r="AK41" s="9">
        <f t="shared" si="33"/>
        <v>2350640.4199999995</v>
      </c>
      <c r="AL41" s="9">
        <f t="shared" si="33"/>
        <v>2564629.5300000012</v>
      </c>
      <c r="AM41" s="9">
        <f t="shared" si="33"/>
        <v>1660192.5499999996</v>
      </c>
      <c r="AN41" s="9">
        <f t="shared" si="33"/>
        <v>1831749.41</v>
      </c>
      <c r="AO41" s="9">
        <f t="shared" si="33"/>
        <v>8067548.4200000009</v>
      </c>
      <c r="AP41" s="9">
        <f t="shared" si="33"/>
        <v>-809114.34000000032</v>
      </c>
      <c r="AQ41" s="9">
        <f t="shared" si="33"/>
        <v>2487841.0599999996</v>
      </c>
      <c r="AR41" s="9">
        <f t="shared" si="33"/>
        <v>6568494.0199999996</v>
      </c>
      <c r="AS41" s="9">
        <f t="shared" si="33"/>
        <v>1125637.9099999999</v>
      </c>
      <c r="AT41" s="9">
        <f t="shared" si="33"/>
        <v>5085017.4999999981</v>
      </c>
      <c r="AU41" s="9">
        <f t="shared" si="33"/>
        <v>8789690.9499999993</v>
      </c>
      <c r="AV41" s="9">
        <f t="shared" si="33"/>
        <v>-3225391.4999999986</v>
      </c>
      <c r="AW41" s="9">
        <f t="shared" si="33"/>
        <v>2910342.629999999</v>
      </c>
      <c r="AX41" s="9">
        <f t="shared" si="33"/>
        <v>7215752.5800000001</v>
      </c>
      <c r="AY41" s="9">
        <f t="shared" si="33"/>
        <v>307286.41000000067</v>
      </c>
      <c r="AZ41" s="9">
        <f t="shared" si="33"/>
        <v>4564202.4800000004</v>
      </c>
      <c r="BA41" s="9">
        <f t="shared" si="33"/>
        <v>9132572.3299999982</v>
      </c>
      <c r="BB41" s="9">
        <f t="shared" si="33"/>
        <v>1161322.7600000002</v>
      </c>
      <c r="BC41" s="9">
        <f t="shared" si="33"/>
        <v>6453990.8100000024</v>
      </c>
      <c r="BD41" s="9">
        <f t="shared" si="33"/>
        <v>6634012.7499999981</v>
      </c>
      <c r="BE41" s="9">
        <f t="shared" si="33"/>
        <v>3448799.919999999</v>
      </c>
      <c r="BF41" s="9">
        <f t="shared" si="33"/>
        <v>4987653.3900000015</v>
      </c>
      <c r="BG41" s="9">
        <f t="shared" si="33"/>
        <v>3021939.43</v>
      </c>
      <c r="BH41" s="9">
        <f>SUM(B41:BG41)</f>
        <v>153321460.25</v>
      </c>
      <c r="BK41" s="9">
        <f>BH41+BJ21</f>
        <v>96761027.219999999</v>
      </c>
      <c r="BL41" s="9">
        <f t="shared" ref="BL41" si="34">SUM(B41:AI41)</f>
        <v>66840852.43</v>
      </c>
      <c r="BX41" s="21"/>
      <c r="CF41" s="21"/>
    </row>
    <row r="45" spans="1:84">
      <c r="A45" s="3" t="s">
        <v>91</v>
      </c>
      <c r="B45" s="2" t="s">
        <v>103</v>
      </c>
      <c r="C45" s="2" t="s">
        <v>104</v>
      </c>
      <c r="D45" s="2" t="s">
        <v>105</v>
      </c>
      <c r="E45" s="2" t="s">
        <v>106</v>
      </c>
      <c r="F45" s="2" t="s">
        <v>107</v>
      </c>
      <c r="G45" s="2" t="s">
        <v>108</v>
      </c>
      <c r="H45" s="2" t="s">
        <v>109</v>
      </c>
      <c r="I45" s="2" t="s">
        <v>110</v>
      </c>
      <c r="J45" s="2" t="s">
        <v>111</v>
      </c>
      <c r="K45" s="2" t="s">
        <v>112</v>
      </c>
      <c r="L45" s="2" t="s">
        <v>113</v>
      </c>
      <c r="M45" s="2" t="s">
        <v>114</v>
      </c>
      <c r="N45" s="2" t="s">
        <v>115</v>
      </c>
      <c r="O45" s="2" t="s">
        <v>116</v>
      </c>
      <c r="P45" s="2" t="s">
        <v>117</v>
      </c>
      <c r="Q45" s="2" t="s">
        <v>118</v>
      </c>
      <c r="R45" s="2" t="s">
        <v>119</v>
      </c>
      <c r="S45" s="2" t="s">
        <v>120</v>
      </c>
      <c r="T45" s="2" t="s">
        <v>121</v>
      </c>
      <c r="U45" s="2" t="s">
        <v>122</v>
      </c>
      <c r="V45" s="2" t="s">
        <v>123</v>
      </c>
    </row>
    <row r="46" spans="1:84">
      <c r="A46" s="2" t="s">
        <v>93</v>
      </c>
      <c r="B46" s="26">
        <v>0.52500000000000002</v>
      </c>
      <c r="C46" s="26">
        <v>4.7500000000000001E-2</v>
      </c>
      <c r="D46" s="26">
        <v>4.2799999999999998E-2</v>
      </c>
      <c r="E46" s="26">
        <v>3.85E-2</v>
      </c>
      <c r="F46" s="26">
        <v>3.4700000000000002E-2</v>
      </c>
      <c r="G46" s="26">
        <v>3.1199999999999999E-2</v>
      </c>
      <c r="H46" s="26">
        <v>2.9499999999999998E-2</v>
      </c>
      <c r="I46" s="26">
        <v>2.9499999999999998E-2</v>
      </c>
      <c r="J46" s="26">
        <v>2.9600000000000001E-2</v>
      </c>
      <c r="K46" s="26">
        <v>2.9499999999999998E-2</v>
      </c>
      <c r="L46" s="26">
        <v>2.9600000000000001E-2</v>
      </c>
      <c r="M46" s="26">
        <v>2.9499999999999998E-2</v>
      </c>
      <c r="N46" s="26">
        <v>2.9600000000000001E-2</v>
      </c>
      <c r="O46" s="26">
        <v>2.9499999999999998E-2</v>
      </c>
      <c r="P46" s="26">
        <v>2.9600000000000001E-2</v>
      </c>
      <c r="Q46" s="26">
        <v>1.46E-2</v>
      </c>
      <c r="R46" s="26"/>
      <c r="S46" s="26"/>
      <c r="T46" s="26"/>
      <c r="U46" s="26"/>
      <c r="V46" s="26"/>
    </row>
    <row r="47" spans="1:84">
      <c r="A47" s="2" t="s">
        <v>94</v>
      </c>
      <c r="B47" s="26">
        <v>0.51880000000000004</v>
      </c>
      <c r="C47" s="26">
        <v>3.61E-2</v>
      </c>
      <c r="D47" s="26">
        <v>3.3399999999999999E-2</v>
      </c>
      <c r="E47" s="26">
        <v>3.09E-2</v>
      </c>
      <c r="F47" s="26">
        <v>2.86E-2</v>
      </c>
      <c r="G47" s="26">
        <v>2.64E-2</v>
      </c>
      <c r="H47" s="26">
        <v>2.4400000000000002E-2</v>
      </c>
      <c r="I47" s="26">
        <v>2.2599999999999999E-2</v>
      </c>
      <c r="J47" s="26">
        <v>2.231E-2</v>
      </c>
      <c r="K47" s="26">
        <v>2.23E-2</v>
      </c>
      <c r="L47" s="26">
        <v>2.231E-2</v>
      </c>
      <c r="M47" s="26">
        <v>2.23E-2</v>
      </c>
      <c r="N47" s="26">
        <v>2.231E-2</v>
      </c>
      <c r="O47" s="26">
        <v>2.23E-2</v>
      </c>
      <c r="P47" s="26">
        <v>2.231E-2</v>
      </c>
      <c r="Q47" s="26">
        <v>2.23E-2</v>
      </c>
      <c r="R47" s="26">
        <v>2.231E-2</v>
      </c>
      <c r="S47" s="26">
        <v>2.23E-2</v>
      </c>
      <c r="T47" s="26">
        <v>2.231E-2</v>
      </c>
      <c r="U47" s="26">
        <v>2.23E-2</v>
      </c>
      <c r="V47" s="26">
        <v>1.1140000000000001E-2</v>
      </c>
    </row>
    <row r="48" spans="1:84">
      <c r="A48" s="2" t="s">
        <v>92</v>
      </c>
      <c r="B48" s="26">
        <v>1</v>
      </c>
      <c r="C48" s="26">
        <v>0</v>
      </c>
      <c r="D48" s="26">
        <v>0</v>
      </c>
      <c r="E48" s="26">
        <v>0</v>
      </c>
      <c r="F48" s="26">
        <v>0</v>
      </c>
      <c r="G48" s="26">
        <v>0</v>
      </c>
      <c r="H48" s="26">
        <v>0</v>
      </c>
      <c r="I48" s="26">
        <v>0</v>
      </c>
      <c r="J48" s="26">
        <v>0</v>
      </c>
      <c r="K48" s="26">
        <v>0</v>
      </c>
      <c r="L48" s="26">
        <v>0</v>
      </c>
      <c r="M48" s="26">
        <v>0</v>
      </c>
      <c r="N48" s="26">
        <v>0</v>
      </c>
      <c r="O48" s="26">
        <v>0</v>
      </c>
      <c r="P48" s="26">
        <v>0</v>
      </c>
      <c r="Q48" s="26">
        <v>0</v>
      </c>
      <c r="R48" s="26"/>
      <c r="S48" s="26"/>
      <c r="T48" s="26"/>
      <c r="U48" s="26"/>
      <c r="V48" s="26"/>
    </row>
    <row r="51" spans="1:84">
      <c r="A51" s="3" t="s">
        <v>124</v>
      </c>
      <c r="B51" s="42">
        <v>40209</v>
      </c>
      <c r="C51" s="3">
        <f>EOMONTH(B51,1)</f>
        <v>40237</v>
      </c>
      <c r="D51" s="3">
        <f t="shared" ref="D51:AK51" si="35">EOMONTH(C51,1)</f>
        <v>40268</v>
      </c>
      <c r="E51" s="3">
        <f t="shared" si="35"/>
        <v>40298</v>
      </c>
      <c r="F51" s="3">
        <f t="shared" si="35"/>
        <v>40329</v>
      </c>
      <c r="G51" s="3">
        <f t="shared" si="35"/>
        <v>40359</v>
      </c>
      <c r="H51" s="3">
        <f t="shared" si="35"/>
        <v>40390</v>
      </c>
      <c r="I51" s="3">
        <f t="shared" si="35"/>
        <v>40421</v>
      </c>
      <c r="J51" s="3">
        <f t="shared" si="35"/>
        <v>40451</v>
      </c>
      <c r="K51" s="3">
        <f t="shared" si="35"/>
        <v>40482</v>
      </c>
      <c r="L51" s="3">
        <f t="shared" si="35"/>
        <v>40512</v>
      </c>
      <c r="M51" s="3">
        <f t="shared" si="35"/>
        <v>40543</v>
      </c>
      <c r="N51" s="3">
        <f t="shared" si="35"/>
        <v>40574</v>
      </c>
      <c r="O51" s="3">
        <f t="shared" si="35"/>
        <v>40602</v>
      </c>
      <c r="P51" s="3">
        <f t="shared" si="35"/>
        <v>40633</v>
      </c>
      <c r="Q51" s="3">
        <f t="shared" si="35"/>
        <v>40663</v>
      </c>
      <c r="R51" s="3">
        <f t="shared" si="35"/>
        <v>40694</v>
      </c>
      <c r="S51" s="3">
        <f t="shared" si="35"/>
        <v>40724</v>
      </c>
      <c r="T51" s="3">
        <f t="shared" si="35"/>
        <v>40755</v>
      </c>
      <c r="U51" s="3">
        <f t="shared" si="35"/>
        <v>40786</v>
      </c>
      <c r="V51" s="3">
        <f t="shared" si="35"/>
        <v>40816</v>
      </c>
      <c r="W51" s="3">
        <f t="shared" si="35"/>
        <v>40847</v>
      </c>
      <c r="X51" s="3">
        <f t="shared" si="35"/>
        <v>40877</v>
      </c>
      <c r="Y51" s="3">
        <f t="shared" si="35"/>
        <v>40908</v>
      </c>
      <c r="Z51" s="3">
        <f t="shared" si="35"/>
        <v>40939</v>
      </c>
      <c r="AA51" s="3">
        <f t="shared" si="35"/>
        <v>40968</v>
      </c>
      <c r="AB51" s="3">
        <f t="shared" si="35"/>
        <v>40999</v>
      </c>
      <c r="AC51" s="3">
        <f t="shared" si="35"/>
        <v>41029</v>
      </c>
      <c r="AD51" s="3">
        <f t="shared" si="35"/>
        <v>41060</v>
      </c>
      <c r="AE51" s="3">
        <f t="shared" si="35"/>
        <v>41090</v>
      </c>
      <c r="AF51" s="3">
        <f t="shared" si="35"/>
        <v>41121</v>
      </c>
      <c r="AG51" s="3">
        <f t="shared" si="35"/>
        <v>41152</v>
      </c>
      <c r="AH51" s="3">
        <f t="shared" si="35"/>
        <v>41182</v>
      </c>
      <c r="AI51" s="3">
        <f t="shared" si="35"/>
        <v>41213</v>
      </c>
      <c r="AJ51" s="3">
        <f t="shared" si="35"/>
        <v>41243</v>
      </c>
      <c r="AK51" s="3">
        <f t="shared" si="35"/>
        <v>41274</v>
      </c>
    </row>
    <row r="52" spans="1:84">
      <c r="A52" t="s">
        <v>95</v>
      </c>
    </row>
    <row r="53" spans="1:84">
      <c r="A53" s="39" t="s">
        <v>96</v>
      </c>
      <c r="B53" s="9">
        <f t="shared" ref="B53:M53" si="36">($BU$23*$B$46)/12</f>
        <v>45222.768500000057</v>
      </c>
      <c r="C53" s="9">
        <f t="shared" si="36"/>
        <v>45222.768500000057</v>
      </c>
      <c r="D53" s="9">
        <f t="shared" si="36"/>
        <v>45222.768500000057</v>
      </c>
      <c r="E53" s="9">
        <f t="shared" si="36"/>
        <v>45222.768500000057</v>
      </c>
      <c r="F53" s="9">
        <f t="shared" si="36"/>
        <v>45222.768500000057</v>
      </c>
      <c r="G53" s="9">
        <f t="shared" si="36"/>
        <v>45222.768500000057</v>
      </c>
      <c r="H53" s="9">
        <f t="shared" si="36"/>
        <v>45222.768500000057</v>
      </c>
      <c r="I53" s="9">
        <f t="shared" si="36"/>
        <v>45222.768500000057</v>
      </c>
      <c r="J53" s="9">
        <f t="shared" si="36"/>
        <v>45222.768500000057</v>
      </c>
      <c r="K53" s="9">
        <f t="shared" si="36"/>
        <v>45222.768500000057</v>
      </c>
      <c r="L53" s="9">
        <f t="shared" si="36"/>
        <v>45222.768500000057</v>
      </c>
      <c r="M53" s="9">
        <f t="shared" si="36"/>
        <v>45222.768500000057</v>
      </c>
      <c r="N53" s="9">
        <f t="shared" ref="N53:Y53" si="37">($BU$23*$C$46)/12</f>
        <v>4091.5838166666713</v>
      </c>
      <c r="O53" s="9">
        <f t="shared" si="37"/>
        <v>4091.5838166666713</v>
      </c>
      <c r="P53" s="9">
        <f t="shared" si="37"/>
        <v>4091.5838166666713</v>
      </c>
      <c r="Q53" s="9">
        <f t="shared" si="37"/>
        <v>4091.5838166666713</v>
      </c>
      <c r="R53" s="9">
        <f t="shared" si="37"/>
        <v>4091.5838166666713</v>
      </c>
      <c r="S53" s="9">
        <f t="shared" si="37"/>
        <v>4091.5838166666713</v>
      </c>
      <c r="T53" s="9">
        <f t="shared" si="37"/>
        <v>4091.5838166666713</v>
      </c>
      <c r="U53" s="9">
        <f t="shared" si="37"/>
        <v>4091.5838166666713</v>
      </c>
      <c r="V53" s="9">
        <f t="shared" si="37"/>
        <v>4091.5838166666713</v>
      </c>
      <c r="W53" s="9">
        <f t="shared" si="37"/>
        <v>4091.5838166666713</v>
      </c>
      <c r="X53" s="9">
        <f t="shared" si="37"/>
        <v>4091.5838166666713</v>
      </c>
      <c r="Y53" s="9">
        <f t="shared" si="37"/>
        <v>4091.5838166666713</v>
      </c>
      <c r="Z53" s="9">
        <f t="shared" ref="Z53:AK53" si="38">($BU$23*$D$46)/12</f>
        <v>3686.7323653333374</v>
      </c>
      <c r="AA53" s="9">
        <f t="shared" si="38"/>
        <v>3686.7323653333374</v>
      </c>
      <c r="AB53" s="9">
        <f t="shared" si="38"/>
        <v>3686.7323653333374</v>
      </c>
      <c r="AC53" s="9">
        <f t="shared" si="38"/>
        <v>3686.7323653333374</v>
      </c>
      <c r="AD53" s="9">
        <f t="shared" si="38"/>
        <v>3686.7323653333374</v>
      </c>
      <c r="AE53" s="9">
        <f t="shared" si="38"/>
        <v>3686.7323653333374</v>
      </c>
      <c r="AF53" s="9">
        <f t="shared" si="38"/>
        <v>3686.7323653333374</v>
      </c>
      <c r="AG53" s="9">
        <f t="shared" si="38"/>
        <v>3686.7323653333374</v>
      </c>
      <c r="AH53" s="9">
        <f t="shared" si="38"/>
        <v>3686.7323653333374</v>
      </c>
      <c r="AI53" s="9">
        <f t="shared" si="38"/>
        <v>3686.7323653333374</v>
      </c>
      <c r="AJ53" s="9">
        <f t="shared" si="38"/>
        <v>3686.7323653333374</v>
      </c>
      <c r="AK53" s="9">
        <f t="shared" si="38"/>
        <v>3686.7323653333374</v>
      </c>
      <c r="AL53" s="9"/>
      <c r="AM53" s="9"/>
      <c r="AN53" s="9"/>
      <c r="AO53" s="9"/>
      <c r="AP53" s="9"/>
      <c r="AQ53" s="9"/>
      <c r="AR53" s="9"/>
      <c r="AS53" s="9"/>
      <c r="AT53" s="9"/>
      <c r="AU53" s="9"/>
      <c r="AV53" s="9"/>
      <c r="AW53" s="9"/>
      <c r="AX53" s="9"/>
      <c r="AY53" s="9"/>
      <c r="AZ53" s="9"/>
      <c r="BA53" s="9"/>
      <c r="BB53" s="9"/>
      <c r="BC53" s="9"/>
      <c r="BD53" s="9"/>
      <c r="BE53" s="9"/>
      <c r="BF53" s="9"/>
      <c r="BG53" s="9"/>
      <c r="BH53" s="9"/>
      <c r="BI53" s="9"/>
      <c r="BU53" s="9"/>
      <c r="BV53" s="9"/>
      <c r="BW53" s="9"/>
      <c r="BX53" s="9"/>
      <c r="BY53" s="9"/>
      <c r="BZ53" s="9"/>
      <c r="CA53" s="9"/>
      <c r="CB53" s="9"/>
      <c r="CC53" s="9"/>
      <c r="CD53" s="9"/>
      <c r="CE53" s="9"/>
      <c r="CF53" s="9"/>
    </row>
    <row r="54" spans="1:84">
      <c r="A54" s="39" t="s">
        <v>98</v>
      </c>
      <c r="B54" s="9">
        <f t="shared" ref="B54:M54" si="39">($BV$21*$B$46)/12</f>
        <v>930410.59693749936</v>
      </c>
      <c r="C54" s="9">
        <f t="shared" si="39"/>
        <v>930410.59693749936</v>
      </c>
      <c r="D54" s="9">
        <f t="shared" si="39"/>
        <v>930410.59693749936</v>
      </c>
      <c r="E54" s="9">
        <f t="shared" si="39"/>
        <v>930410.59693749936</v>
      </c>
      <c r="F54" s="9">
        <f t="shared" si="39"/>
        <v>930410.59693749936</v>
      </c>
      <c r="G54" s="9">
        <f t="shared" si="39"/>
        <v>930410.59693749936</v>
      </c>
      <c r="H54" s="9">
        <f t="shared" si="39"/>
        <v>930410.59693749936</v>
      </c>
      <c r="I54" s="9">
        <f t="shared" si="39"/>
        <v>930410.59693749936</v>
      </c>
      <c r="J54" s="9">
        <f t="shared" si="39"/>
        <v>930410.59693749936</v>
      </c>
      <c r="K54" s="9">
        <f t="shared" si="39"/>
        <v>930410.59693749936</v>
      </c>
      <c r="L54" s="9">
        <f t="shared" si="39"/>
        <v>930410.59693749936</v>
      </c>
      <c r="M54" s="9">
        <f t="shared" si="39"/>
        <v>930410.59693749936</v>
      </c>
      <c r="N54" s="9">
        <f t="shared" ref="N54:Y54" si="40">($BV$21*$C$46)/12</f>
        <v>84180.006389583272</v>
      </c>
      <c r="O54" s="9">
        <f t="shared" si="40"/>
        <v>84180.006389583272</v>
      </c>
      <c r="P54" s="9">
        <f t="shared" si="40"/>
        <v>84180.006389583272</v>
      </c>
      <c r="Q54" s="9">
        <f t="shared" si="40"/>
        <v>84180.006389583272</v>
      </c>
      <c r="R54" s="9">
        <f t="shared" si="40"/>
        <v>84180.006389583272</v>
      </c>
      <c r="S54" s="9">
        <f t="shared" si="40"/>
        <v>84180.006389583272</v>
      </c>
      <c r="T54" s="9">
        <f t="shared" si="40"/>
        <v>84180.006389583272</v>
      </c>
      <c r="U54" s="9">
        <f t="shared" si="40"/>
        <v>84180.006389583272</v>
      </c>
      <c r="V54" s="9">
        <f t="shared" si="40"/>
        <v>84180.006389583272</v>
      </c>
      <c r="W54" s="9">
        <f t="shared" si="40"/>
        <v>84180.006389583272</v>
      </c>
      <c r="X54" s="9">
        <f t="shared" si="40"/>
        <v>84180.006389583272</v>
      </c>
      <c r="Y54" s="9">
        <f t="shared" si="40"/>
        <v>84180.006389583272</v>
      </c>
      <c r="Z54" s="9">
        <f t="shared" ref="Z54:AK54" si="41">($BV$21*$D$46)/12</f>
        <v>75850.616283666604</v>
      </c>
      <c r="AA54" s="9">
        <f t="shared" si="41"/>
        <v>75850.616283666604</v>
      </c>
      <c r="AB54" s="9">
        <f t="shared" si="41"/>
        <v>75850.616283666604</v>
      </c>
      <c r="AC54" s="9">
        <f t="shared" si="41"/>
        <v>75850.616283666604</v>
      </c>
      <c r="AD54" s="9">
        <f t="shared" si="41"/>
        <v>75850.616283666604</v>
      </c>
      <c r="AE54" s="9">
        <f t="shared" si="41"/>
        <v>75850.616283666604</v>
      </c>
      <c r="AF54" s="9">
        <f t="shared" si="41"/>
        <v>75850.616283666604</v>
      </c>
      <c r="AG54" s="9">
        <f t="shared" si="41"/>
        <v>75850.616283666604</v>
      </c>
      <c r="AH54" s="9">
        <f t="shared" si="41"/>
        <v>75850.616283666604</v>
      </c>
      <c r="AI54" s="9">
        <f t="shared" si="41"/>
        <v>75850.616283666604</v>
      </c>
      <c r="AJ54" s="9">
        <f t="shared" si="41"/>
        <v>75850.616283666604</v>
      </c>
      <c r="AK54" s="9">
        <f t="shared" si="41"/>
        <v>75850.616283666604</v>
      </c>
      <c r="AL54" s="9"/>
      <c r="AM54" s="9"/>
      <c r="AN54" s="9"/>
      <c r="AO54" s="9"/>
      <c r="AP54" s="9"/>
      <c r="AQ54" s="9"/>
      <c r="AR54" s="9"/>
      <c r="AS54" s="9"/>
      <c r="AT54" s="9"/>
      <c r="AU54" s="9"/>
      <c r="AV54" s="9"/>
      <c r="AW54" s="9"/>
      <c r="AX54" s="9"/>
      <c r="AY54" s="9"/>
      <c r="AZ54" s="9"/>
      <c r="BA54" s="9"/>
      <c r="BB54" s="9"/>
      <c r="BC54" s="9"/>
      <c r="BD54" s="9"/>
      <c r="BE54" s="9"/>
      <c r="BF54" s="9"/>
      <c r="BG54" s="9"/>
      <c r="BH54" s="9"/>
      <c r="BI54" s="9"/>
      <c r="BU54" s="9"/>
      <c r="BV54" s="9"/>
      <c r="BW54" s="9"/>
      <c r="BX54" s="9"/>
      <c r="BY54" s="9"/>
      <c r="BZ54" s="9"/>
      <c r="CA54" s="9"/>
      <c r="CB54" s="9"/>
      <c r="CC54" s="9"/>
      <c r="CD54" s="9"/>
      <c r="CE54" s="9"/>
      <c r="CF54" s="9"/>
    </row>
    <row r="55" spans="1:84">
      <c r="A55" s="39" t="s">
        <v>97</v>
      </c>
      <c r="B55" s="9">
        <f t="shared" ref="B55:M55" si="42">($BW$21*$B$48)/12</f>
        <v>311620.77333333466</v>
      </c>
      <c r="C55" s="9">
        <f t="shared" si="42"/>
        <v>311620.77333333466</v>
      </c>
      <c r="D55" s="9">
        <f t="shared" si="42"/>
        <v>311620.77333333466</v>
      </c>
      <c r="E55" s="9">
        <f t="shared" si="42"/>
        <v>311620.77333333466</v>
      </c>
      <c r="F55" s="9">
        <f t="shared" si="42"/>
        <v>311620.77333333466</v>
      </c>
      <c r="G55" s="9">
        <f t="shared" si="42"/>
        <v>311620.77333333466</v>
      </c>
      <c r="H55" s="9">
        <f t="shared" si="42"/>
        <v>311620.77333333466</v>
      </c>
      <c r="I55" s="9">
        <f t="shared" si="42"/>
        <v>311620.77333333466</v>
      </c>
      <c r="J55" s="9">
        <f t="shared" si="42"/>
        <v>311620.77333333466</v>
      </c>
      <c r="K55" s="9">
        <f t="shared" si="42"/>
        <v>311620.77333333466</v>
      </c>
      <c r="L55" s="9">
        <f t="shared" si="42"/>
        <v>311620.77333333466</v>
      </c>
      <c r="M55" s="9">
        <f t="shared" si="42"/>
        <v>311620.77333333466</v>
      </c>
      <c r="N55" s="9">
        <f t="shared" ref="N55:Y55" si="43">($BW$21*$C$48)/12</f>
        <v>0</v>
      </c>
      <c r="O55" s="9">
        <f t="shared" si="43"/>
        <v>0</v>
      </c>
      <c r="P55" s="9">
        <f t="shared" si="43"/>
        <v>0</v>
      </c>
      <c r="Q55" s="9">
        <f t="shared" si="43"/>
        <v>0</v>
      </c>
      <c r="R55" s="9">
        <f t="shared" si="43"/>
        <v>0</v>
      </c>
      <c r="S55" s="9">
        <f t="shared" si="43"/>
        <v>0</v>
      </c>
      <c r="T55" s="9">
        <f t="shared" si="43"/>
        <v>0</v>
      </c>
      <c r="U55" s="9">
        <f t="shared" si="43"/>
        <v>0</v>
      </c>
      <c r="V55" s="9">
        <f t="shared" si="43"/>
        <v>0</v>
      </c>
      <c r="W55" s="9">
        <f t="shared" si="43"/>
        <v>0</v>
      </c>
      <c r="X55" s="9">
        <f t="shared" si="43"/>
        <v>0</v>
      </c>
      <c r="Y55" s="9">
        <f t="shared" si="43"/>
        <v>0</v>
      </c>
      <c r="Z55" s="9">
        <f t="shared" ref="Z55:AK55" si="44">($BW$21*$D$48)/12</f>
        <v>0</v>
      </c>
      <c r="AA55" s="9">
        <f t="shared" si="44"/>
        <v>0</v>
      </c>
      <c r="AB55" s="9">
        <f t="shared" si="44"/>
        <v>0</v>
      </c>
      <c r="AC55" s="9">
        <f t="shared" si="44"/>
        <v>0</v>
      </c>
      <c r="AD55" s="9">
        <f t="shared" si="44"/>
        <v>0</v>
      </c>
      <c r="AE55" s="9">
        <f t="shared" si="44"/>
        <v>0</v>
      </c>
      <c r="AF55" s="9">
        <f t="shared" si="44"/>
        <v>0</v>
      </c>
      <c r="AG55" s="9">
        <f t="shared" si="44"/>
        <v>0</v>
      </c>
      <c r="AH55" s="9">
        <f t="shared" si="44"/>
        <v>0</v>
      </c>
      <c r="AI55" s="9">
        <f t="shared" si="44"/>
        <v>0</v>
      </c>
      <c r="AJ55" s="9">
        <f t="shared" si="44"/>
        <v>0</v>
      </c>
      <c r="AK55" s="9">
        <f t="shared" si="44"/>
        <v>0</v>
      </c>
      <c r="AL55" s="9"/>
      <c r="AM55" s="9"/>
      <c r="AN55" s="9"/>
      <c r="AO55" s="9"/>
      <c r="AP55" s="9"/>
      <c r="AQ55" s="9"/>
      <c r="AR55" s="9"/>
      <c r="AS55" s="9"/>
      <c r="AT55" s="9"/>
      <c r="AU55" s="9"/>
      <c r="AV55" s="9"/>
      <c r="AW55" s="9"/>
      <c r="AX55" s="9"/>
      <c r="AY55" s="9"/>
      <c r="AZ55" s="9"/>
      <c r="BA55" s="9"/>
      <c r="BB55" s="9"/>
      <c r="BC55" s="9"/>
      <c r="BD55" s="9"/>
      <c r="BE55" s="9"/>
      <c r="BF55" s="9"/>
      <c r="BG55" s="9"/>
      <c r="BH55" s="9"/>
      <c r="BI55" s="9"/>
      <c r="BU55" s="9"/>
      <c r="BV55" s="9"/>
      <c r="BW55" s="9"/>
      <c r="BX55" s="9"/>
      <c r="BY55" s="9"/>
      <c r="BZ55" s="9"/>
      <c r="CA55" s="9"/>
      <c r="CB55" s="9"/>
      <c r="CC55" s="9"/>
      <c r="CD55" s="9"/>
      <c r="CE55" s="9"/>
      <c r="CF55" s="9"/>
    </row>
    <row r="56" spans="1:84">
      <c r="A56" s="41" t="s">
        <v>101</v>
      </c>
    </row>
    <row r="57" spans="1:84">
      <c r="A57" s="40" t="s">
        <v>102</v>
      </c>
      <c r="B57" s="9"/>
      <c r="C57" s="9"/>
      <c r="D57" s="9"/>
      <c r="E57" s="9"/>
      <c r="F57" s="9"/>
      <c r="G57" s="9"/>
      <c r="H57" s="9"/>
      <c r="I57" s="9"/>
      <c r="J57" s="9"/>
      <c r="K57" s="9"/>
      <c r="L57" s="9"/>
      <c r="M57" s="9"/>
      <c r="N57" s="9">
        <f t="shared" ref="N57:Y57" si="45">($CD$21*$B$47)/12</f>
        <v>118805.4447006666</v>
      </c>
      <c r="O57" s="9">
        <f t="shared" si="45"/>
        <v>118805.4447006666</v>
      </c>
      <c r="P57" s="9">
        <f t="shared" si="45"/>
        <v>118805.4447006666</v>
      </c>
      <c r="Q57" s="9">
        <f t="shared" si="45"/>
        <v>118805.4447006666</v>
      </c>
      <c r="R57" s="9">
        <f t="shared" si="45"/>
        <v>118805.4447006666</v>
      </c>
      <c r="S57" s="9">
        <f t="shared" si="45"/>
        <v>118805.4447006666</v>
      </c>
      <c r="T57" s="9">
        <f t="shared" si="45"/>
        <v>118805.4447006666</v>
      </c>
      <c r="U57" s="9">
        <f t="shared" si="45"/>
        <v>118805.4447006666</v>
      </c>
      <c r="V57" s="9">
        <f t="shared" si="45"/>
        <v>118805.4447006666</v>
      </c>
      <c r="W57" s="9">
        <f t="shared" si="45"/>
        <v>118805.4447006666</v>
      </c>
      <c r="X57" s="9">
        <f t="shared" si="45"/>
        <v>118805.4447006666</v>
      </c>
      <c r="Y57" s="9">
        <f t="shared" si="45"/>
        <v>118805.4447006666</v>
      </c>
      <c r="Z57" s="9">
        <f t="shared" ref="Z57:AK57" si="46">($CD$21*$C$47)/12</f>
        <v>8266.9170271666608</v>
      </c>
      <c r="AA57" s="9">
        <f t="shared" si="46"/>
        <v>8266.9170271666608</v>
      </c>
      <c r="AB57" s="9">
        <f t="shared" si="46"/>
        <v>8266.9170271666608</v>
      </c>
      <c r="AC57" s="9">
        <f t="shared" si="46"/>
        <v>8266.9170271666608</v>
      </c>
      <c r="AD57" s="9">
        <f t="shared" si="46"/>
        <v>8266.9170271666608</v>
      </c>
      <c r="AE57" s="9">
        <f t="shared" si="46"/>
        <v>8266.9170271666608</v>
      </c>
      <c r="AF57" s="9">
        <f t="shared" si="46"/>
        <v>8266.9170271666608</v>
      </c>
      <c r="AG57" s="9">
        <f t="shared" si="46"/>
        <v>8266.9170271666608</v>
      </c>
      <c r="AH57" s="9">
        <f t="shared" si="46"/>
        <v>8266.9170271666608</v>
      </c>
      <c r="AI57" s="9">
        <f t="shared" si="46"/>
        <v>8266.9170271666608</v>
      </c>
      <c r="AJ57" s="9">
        <f t="shared" si="46"/>
        <v>8266.9170271666608</v>
      </c>
      <c r="AK57" s="9">
        <f t="shared" si="46"/>
        <v>8266.9170271666608</v>
      </c>
      <c r="AL57" s="9"/>
      <c r="AM57" s="9"/>
      <c r="AN57" s="9"/>
      <c r="AO57" s="9"/>
      <c r="AP57" s="9"/>
      <c r="AQ57" s="9"/>
      <c r="AR57" s="9"/>
      <c r="AS57" s="9"/>
      <c r="AT57" s="9"/>
      <c r="AU57" s="9"/>
      <c r="AV57" s="9"/>
      <c r="AW57" s="9"/>
      <c r="AX57" s="9"/>
      <c r="AY57" s="9"/>
      <c r="AZ57" s="9"/>
      <c r="BA57" s="9"/>
      <c r="BB57" s="9"/>
      <c r="BC57" s="9"/>
      <c r="BD57" s="9"/>
      <c r="BE57" s="9"/>
      <c r="BF57" s="9"/>
      <c r="BG57" s="9"/>
      <c r="BH57" s="9"/>
      <c r="BI57" s="9"/>
      <c r="BU57" s="9"/>
      <c r="BV57" s="9"/>
      <c r="BW57" s="9"/>
      <c r="BX57" s="9"/>
      <c r="BY57" s="9"/>
      <c r="BZ57" s="9"/>
      <c r="CA57" s="9"/>
      <c r="CB57" s="9"/>
      <c r="CC57" s="9"/>
      <c r="CD57" s="9"/>
      <c r="CE57" s="9"/>
      <c r="CF57" s="9"/>
    </row>
    <row r="58" spans="1:84">
      <c r="A58" s="40" t="s">
        <v>97</v>
      </c>
      <c r="B58" s="9"/>
      <c r="C58" s="9"/>
      <c r="D58" s="9"/>
      <c r="E58" s="9"/>
      <c r="F58" s="9"/>
      <c r="G58" s="9"/>
      <c r="H58" s="9"/>
      <c r="I58" s="9"/>
      <c r="J58" s="9"/>
      <c r="K58" s="9"/>
      <c r="L58" s="9"/>
      <c r="M58" s="9"/>
      <c r="N58" s="9">
        <f t="shared" ref="N58:Y58" si="47">($CE$21*$B$48)/12</f>
        <v>4533446.2</v>
      </c>
      <c r="O58" s="9">
        <f t="shared" si="47"/>
        <v>4533446.2</v>
      </c>
      <c r="P58" s="9">
        <f t="shared" si="47"/>
        <v>4533446.2</v>
      </c>
      <c r="Q58" s="9">
        <f t="shared" si="47"/>
        <v>4533446.2</v>
      </c>
      <c r="R58" s="9">
        <f t="shared" si="47"/>
        <v>4533446.2</v>
      </c>
      <c r="S58" s="9">
        <f t="shared" si="47"/>
        <v>4533446.2</v>
      </c>
      <c r="T58" s="9">
        <f t="shared" si="47"/>
        <v>4533446.2</v>
      </c>
      <c r="U58" s="9">
        <f t="shared" si="47"/>
        <v>4533446.2</v>
      </c>
      <c r="V58" s="9">
        <f t="shared" si="47"/>
        <v>4533446.2</v>
      </c>
      <c r="W58" s="9">
        <f t="shared" si="47"/>
        <v>4533446.2</v>
      </c>
      <c r="X58" s="9">
        <f t="shared" si="47"/>
        <v>4533446.2</v>
      </c>
      <c r="Y58" s="9">
        <f t="shared" si="47"/>
        <v>4533446.2</v>
      </c>
      <c r="Z58" s="9">
        <f t="shared" ref="Z58:AK58" si="48">($CE$21*$C$48)/12</f>
        <v>0</v>
      </c>
      <c r="AA58" s="9">
        <f t="shared" si="48"/>
        <v>0</v>
      </c>
      <c r="AB58" s="9">
        <f t="shared" si="48"/>
        <v>0</v>
      </c>
      <c r="AC58" s="9">
        <f t="shared" si="48"/>
        <v>0</v>
      </c>
      <c r="AD58" s="9">
        <f t="shared" si="48"/>
        <v>0</v>
      </c>
      <c r="AE58" s="9">
        <f t="shared" si="48"/>
        <v>0</v>
      </c>
      <c r="AF58" s="9">
        <f t="shared" si="48"/>
        <v>0</v>
      </c>
      <c r="AG58" s="9">
        <f t="shared" si="48"/>
        <v>0</v>
      </c>
      <c r="AH58" s="9">
        <f t="shared" si="48"/>
        <v>0</v>
      </c>
      <c r="AI58" s="9">
        <f t="shared" si="48"/>
        <v>0</v>
      </c>
      <c r="AJ58" s="9">
        <f t="shared" si="48"/>
        <v>0</v>
      </c>
      <c r="AK58" s="9">
        <f t="shared" si="48"/>
        <v>0</v>
      </c>
      <c r="AL58" s="9"/>
      <c r="AM58" s="9"/>
      <c r="AN58" s="9"/>
      <c r="AO58" s="9"/>
      <c r="AP58" s="9"/>
      <c r="AQ58" s="9"/>
      <c r="AR58" s="9"/>
      <c r="AS58" s="9"/>
      <c r="AT58" s="9"/>
      <c r="AU58" s="9"/>
      <c r="AV58" s="9"/>
      <c r="AW58" s="9"/>
      <c r="AX58" s="9"/>
      <c r="AY58" s="9"/>
      <c r="AZ58" s="9"/>
      <c r="BA58" s="9"/>
      <c r="BB58" s="9"/>
      <c r="BC58" s="9"/>
      <c r="BD58" s="9"/>
      <c r="BE58" s="9"/>
      <c r="BF58" s="9"/>
      <c r="BG58" s="9"/>
      <c r="BH58" s="9"/>
      <c r="BI58" s="9"/>
      <c r="BU58" s="9"/>
      <c r="BV58" s="9"/>
      <c r="BW58" s="9"/>
      <c r="BX58" s="9"/>
      <c r="BY58" s="9"/>
      <c r="BZ58" s="9"/>
      <c r="CA58" s="9"/>
      <c r="CB58" s="9"/>
      <c r="CC58" s="9"/>
      <c r="CD58" s="9"/>
      <c r="CE58" s="9"/>
      <c r="CF58" s="9"/>
    </row>
    <row r="59" spans="1:84">
      <c r="A59" s="219" t="s">
        <v>274</v>
      </c>
      <c r="B59" s="28">
        <f>SUM(B53:B58)</f>
        <v>1287254.1387708341</v>
      </c>
      <c r="C59" s="28">
        <f>SUM(C53:C58)</f>
        <v>1287254.1387708341</v>
      </c>
      <c r="D59" s="28">
        <f t="shared" ref="D59:AK59" si="49">SUM(D53:D58)</f>
        <v>1287254.1387708341</v>
      </c>
      <c r="E59" s="28">
        <f t="shared" si="49"/>
        <v>1287254.1387708341</v>
      </c>
      <c r="F59" s="28">
        <f t="shared" si="49"/>
        <v>1287254.1387708341</v>
      </c>
      <c r="G59" s="28">
        <f t="shared" si="49"/>
        <v>1287254.1387708341</v>
      </c>
      <c r="H59" s="28">
        <f t="shared" si="49"/>
        <v>1287254.1387708341</v>
      </c>
      <c r="I59" s="28">
        <f t="shared" si="49"/>
        <v>1287254.1387708341</v>
      </c>
      <c r="J59" s="28">
        <f t="shared" si="49"/>
        <v>1287254.1387708341</v>
      </c>
      <c r="K59" s="28">
        <f t="shared" si="49"/>
        <v>1287254.1387708341</v>
      </c>
      <c r="L59" s="28">
        <f t="shared" si="49"/>
        <v>1287254.1387708341</v>
      </c>
      <c r="M59" s="28">
        <f t="shared" si="49"/>
        <v>1287254.1387708341</v>
      </c>
      <c r="N59" s="28">
        <f t="shared" si="49"/>
        <v>4740523.2349069165</v>
      </c>
      <c r="O59" s="28">
        <f t="shared" si="49"/>
        <v>4740523.2349069165</v>
      </c>
      <c r="P59" s="28">
        <f t="shared" si="49"/>
        <v>4740523.2349069165</v>
      </c>
      <c r="Q59" s="28">
        <f t="shared" si="49"/>
        <v>4740523.2349069165</v>
      </c>
      <c r="R59" s="28">
        <f t="shared" si="49"/>
        <v>4740523.2349069165</v>
      </c>
      <c r="S59" s="28">
        <f t="shared" si="49"/>
        <v>4740523.2349069165</v>
      </c>
      <c r="T59" s="28">
        <f t="shared" si="49"/>
        <v>4740523.2349069165</v>
      </c>
      <c r="U59" s="28">
        <f t="shared" si="49"/>
        <v>4740523.2349069165</v>
      </c>
      <c r="V59" s="28">
        <f t="shared" si="49"/>
        <v>4740523.2349069165</v>
      </c>
      <c r="W59" s="28">
        <f t="shared" si="49"/>
        <v>4740523.2349069165</v>
      </c>
      <c r="X59" s="28">
        <f t="shared" si="49"/>
        <v>4740523.2349069165</v>
      </c>
      <c r="Y59" s="28">
        <f t="shared" si="49"/>
        <v>4740523.2349069165</v>
      </c>
      <c r="Z59" s="28">
        <f t="shared" si="49"/>
        <v>87804.265676166615</v>
      </c>
      <c r="AA59" s="28">
        <f t="shared" si="49"/>
        <v>87804.265676166615</v>
      </c>
      <c r="AB59" s="28">
        <f t="shared" si="49"/>
        <v>87804.265676166615</v>
      </c>
      <c r="AC59" s="28">
        <f t="shared" si="49"/>
        <v>87804.265676166615</v>
      </c>
      <c r="AD59" s="28">
        <f t="shared" si="49"/>
        <v>87804.265676166615</v>
      </c>
      <c r="AE59" s="28">
        <f t="shared" si="49"/>
        <v>87804.265676166615</v>
      </c>
      <c r="AF59" s="28">
        <f t="shared" si="49"/>
        <v>87804.265676166615</v>
      </c>
      <c r="AG59" s="28">
        <f t="shared" si="49"/>
        <v>87804.265676166615</v>
      </c>
      <c r="AH59" s="28">
        <f t="shared" si="49"/>
        <v>87804.265676166615</v>
      </c>
      <c r="AI59" s="28">
        <f t="shared" si="49"/>
        <v>87804.265676166615</v>
      </c>
      <c r="AJ59" s="28">
        <f t="shared" si="49"/>
        <v>87804.265676166615</v>
      </c>
      <c r="AK59" s="28">
        <f t="shared" si="49"/>
        <v>87804.265676166615</v>
      </c>
      <c r="AL59" s="9"/>
      <c r="AM59" s="9"/>
      <c r="AN59" s="9"/>
      <c r="AO59" s="9"/>
      <c r="AP59" s="9"/>
      <c r="AQ59" s="9"/>
      <c r="AR59" s="9"/>
      <c r="AS59" s="9"/>
      <c r="AT59" s="9"/>
      <c r="AU59" s="9"/>
      <c r="AV59" s="9"/>
      <c r="AW59" s="9"/>
      <c r="AX59" s="9"/>
      <c r="AY59" s="9"/>
      <c r="AZ59" s="9"/>
      <c r="BA59" s="9"/>
      <c r="BB59" s="9"/>
      <c r="BC59" s="9"/>
      <c r="BD59" s="9"/>
      <c r="BE59" s="9"/>
      <c r="BF59" s="9"/>
      <c r="BG59" s="9"/>
      <c r="BH59" s="9"/>
      <c r="BI59" s="9"/>
      <c r="BU59" s="9"/>
      <c r="BV59" s="9"/>
      <c r="BW59" s="9"/>
      <c r="BX59" s="9"/>
      <c r="BY59" s="9"/>
      <c r="BZ59" s="9"/>
      <c r="CA59" s="9"/>
      <c r="CB59" s="9"/>
      <c r="CC59" s="9"/>
      <c r="CD59" s="9"/>
      <c r="CE59" s="9"/>
      <c r="CF59" s="9"/>
    </row>
    <row r="60" spans="1:84">
      <c r="A60" s="41" t="s">
        <v>135</v>
      </c>
      <c r="B60" s="9">
        <v>0</v>
      </c>
      <c r="C60" s="9">
        <v>0</v>
      </c>
      <c r="D60" s="9">
        <v>0</v>
      </c>
      <c r="E60" s="9">
        <v>0</v>
      </c>
      <c r="F60" s="9">
        <v>0</v>
      </c>
      <c r="G60" s="9">
        <v>0</v>
      </c>
      <c r="H60" s="9">
        <f>'Exhibit 1.1'!D31</f>
        <v>1137.9940250000013</v>
      </c>
      <c r="I60" s="9">
        <f>'Exhibit 1.1'!E31</f>
        <v>1137.9940250000013</v>
      </c>
      <c r="J60" s="9">
        <f>'Exhibit 1.1'!F31</f>
        <v>1808.9107750000014</v>
      </c>
      <c r="K60" s="9">
        <f>'Exhibit 1.1'!G31</f>
        <v>9823.2240225000023</v>
      </c>
      <c r="L60" s="9">
        <f>'Exhibit 1.1'!H31</f>
        <v>44333.039449999997</v>
      </c>
      <c r="M60" s="9">
        <f>'Exhibit 1.1'!I31</f>
        <v>44428.600142499999</v>
      </c>
      <c r="N60" s="9">
        <f>'Exhibit 1.1'!J31</f>
        <v>44341.803292500001</v>
      </c>
      <c r="O60" s="9">
        <f>'Exhibit 1.1'!K31</f>
        <v>44341.803292500001</v>
      </c>
      <c r="P60" s="9">
        <f>'Exhibit 1.1'!L31</f>
        <v>44634.238092500003</v>
      </c>
      <c r="Q60" s="9">
        <f>'Exhibit 1.1'!M31</f>
        <v>44636.436880000001</v>
      </c>
      <c r="R60" s="9">
        <f>'Exhibit 1.1'!N31</f>
        <v>46228.323242500002</v>
      </c>
      <c r="S60" s="9">
        <f>'Exhibit 1.1'!O31</f>
        <v>46078.870670000004</v>
      </c>
      <c r="T60" s="9">
        <f>'Exhibit 1.1'!P31</f>
        <v>50392.559280000009</v>
      </c>
      <c r="U60" s="9">
        <f>'Exhibit 1.1'!Q31</f>
        <v>102232.93725750002</v>
      </c>
      <c r="V60" s="9">
        <f>'Exhibit 1.1'!R31</f>
        <v>103857.53220500001</v>
      </c>
      <c r="W60" s="9">
        <f>'Exhibit 1.1'!S31</f>
        <v>103698.37017750002</v>
      </c>
      <c r="X60" s="9">
        <f>'Exhibit 1.1'!T31</f>
        <v>106430.51279000002</v>
      </c>
      <c r="Y60" s="9">
        <f>'Exhibit 1.1'!U31</f>
        <v>141405.13574250002</v>
      </c>
      <c r="Z60" s="9">
        <f>'Exhibit 1.1'!V31</f>
        <v>141405.13574250002</v>
      </c>
      <c r="AA60" s="9">
        <f>'Exhibit 1.1'!W31</f>
        <v>141405.13574250002</v>
      </c>
      <c r="AB60" s="9">
        <f>'Exhibit 1.1'!X31</f>
        <v>141405.13574250002</v>
      </c>
      <c r="AC60" s="9">
        <f>'Exhibit 1.1'!Y31</f>
        <v>141405.13574250002</v>
      </c>
      <c r="AD60" s="9">
        <f>'Exhibit 1.1'!Z31</f>
        <v>141405.13574250002</v>
      </c>
      <c r="AE60" s="9">
        <f>'Exhibit 1.1'!AA31</f>
        <v>141405.13574250002</v>
      </c>
      <c r="AF60" s="9">
        <f>'Exhibit 1.1'!AB31</f>
        <v>141405.13574250002</v>
      </c>
      <c r="AG60" s="9">
        <f>'Exhibit 1.1'!AC31</f>
        <v>141405.13574250002</v>
      </c>
      <c r="AH60" s="9">
        <f>'Exhibit 1.1'!AD31</f>
        <v>141405.13574250002</v>
      </c>
      <c r="AI60" s="9">
        <f>'Exhibit 1.1'!AE31</f>
        <v>141405.13574250002</v>
      </c>
      <c r="AJ60" s="9">
        <f>'Exhibit 1.1'!AF31</f>
        <v>141405.13574250002</v>
      </c>
      <c r="AK60" s="9">
        <f>'Exhibit 1.1'!AG31</f>
        <v>141405.13574250002</v>
      </c>
      <c r="AL60" s="9"/>
      <c r="AM60" s="9"/>
      <c r="AN60" s="9"/>
      <c r="AO60" s="9"/>
      <c r="AP60" s="9"/>
      <c r="AQ60" s="9"/>
      <c r="AR60" s="9"/>
      <c r="AS60" s="9"/>
      <c r="AT60" s="9"/>
      <c r="AU60" s="9"/>
      <c r="AV60" s="9"/>
      <c r="AW60" s="9"/>
      <c r="AX60" s="9"/>
      <c r="AY60" s="9"/>
      <c r="AZ60" s="9"/>
      <c r="BA60" s="9"/>
      <c r="BB60" s="9"/>
      <c r="BC60" s="9"/>
      <c r="BD60" s="9"/>
      <c r="BE60" s="9"/>
      <c r="BF60" s="9"/>
      <c r="BG60" s="9"/>
      <c r="BH60" s="9"/>
      <c r="BI60" s="9"/>
      <c r="BU60" s="9"/>
      <c r="BV60" s="9"/>
      <c r="BW60" s="9"/>
      <c r="BX60" s="9"/>
      <c r="BY60" s="9"/>
      <c r="BZ60" s="9"/>
      <c r="CA60" s="9"/>
      <c r="CB60" s="9"/>
      <c r="CC60" s="9"/>
      <c r="CD60" s="9"/>
      <c r="CE60" s="9"/>
      <c r="CF60" s="9"/>
    </row>
    <row r="61" spans="1:84">
      <c r="A61" t="s">
        <v>300</v>
      </c>
      <c r="B61" s="9">
        <f>B59-B60</f>
        <v>1287254.1387708341</v>
      </c>
      <c r="C61" s="9">
        <f t="shared" ref="C61:AK61" si="50">C59-C60</f>
        <v>1287254.1387708341</v>
      </c>
      <c r="D61" s="9">
        <f t="shared" si="50"/>
        <v>1287254.1387708341</v>
      </c>
      <c r="E61" s="9">
        <f t="shared" si="50"/>
        <v>1287254.1387708341</v>
      </c>
      <c r="F61" s="9">
        <f t="shared" si="50"/>
        <v>1287254.1387708341</v>
      </c>
      <c r="G61" s="9">
        <f t="shared" si="50"/>
        <v>1287254.1387708341</v>
      </c>
      <c r="H61" s="9">
        <f t="shared" si="50"/>
        <v>1286116.1447458342</v>
      </c>
      <c r="I61" s="9">
        <f t="shared" si="50"/>
        <v>1286116.1447458342</v>
      </c>
      <c r="J61" s="9">
        <f t="shared" si="50"/>
        <v>1285445.2279958341</v>
      </c>
      <c r="K61" s="9">
        <f t="shared" si="50"/>
        <v>1277430.9147483341</v>
      </c>
      <c r="L61" s="9">
        <f t="shared" si="50"/>
        <v>1242921.099320834</v>
      </c>
      <c r="M61" s="9">
        <f t="shared" si="50"/>
        <v>1242825.5386283342</v>
      </c>
      <c r="N61" s="9">
        <f t="shared" si="50"/>
        <v>4696181.4316144167</v>
      </c>
      <c r="O61" s="9">
        <f t="shared" si="50"/>
        <v>4696181.4316144167</v>
      </c>
      <c r="P61" s="9">
        <f t="shared" si="50"/>
        <v>4695888.9968144167</v>
      </c>
      <c r="Q61" s="9">
        <f t="shared" si="50"/>
        <v>4695886.7980269166</v>
      </c>
      <c r="R61" s="9">
        <f t="shared" si="50"/>
        <v>4694294.9116644161</v>
      </c>
      <c r="S61" s="9">
        <f t="shared" si="50"/>
        <v>4694444.3642369164</v>
      </c>
      <c r="T61" s="9">
        <f t="shared" si="50"/>
        <v>4690130.6756269168</v>
      </c>
      <c r="U61" s="9">
        <f t="shared" si="50"/>
        <v>4638290.2976494161</v>
      </c>
      <c r="V61" s="9">
        <f t="shared" si="50"/>
        <v>4636665.7027019169</v>
      </c>
      <c r="W61" s="9">
        <f t="shared" si="50"/>
        <v>4636824.8647294166</v>
      </c>
      <c r="X61" s="9">
        <f t="shared" si="50"/>
        <v>4634092.7221169164</v>
      </c>
      <c r="Y61" s="9">
        <f t="shared" si="50"/>
        <v>4599118.0991644161</v>
      </c>
      <c r="Z61" s="9">
        <f t="shared" si="50"/>
        <v>-53600.870066333402</v>
      </c>
      <c r="AA61" s="9">
        <f t="shared" si="50"/>
        <v>-53600.870066333402</v>
      </c>
      <c r="AB61" s="9">
        <f t="shared" si="50"/>
        <v>-53600.870066333402</v>
      </c>
      <c r="AC61" s="9">
        <f t="shared" si="50"/>
        <v>-53600.870066333402</v>
      </c>
      <c r="AD61" s="9">
        <f t="shared" si="50"/>
        <v>-53600.870066333402</v>
      </c>
      <c r="AE61" s="9">
        <f t="shared" si="50"/>
        <v>-53600.870066333402</v>
      </c>
      <c r="AF61" s="9">
        <f t="shared" si="50"/>
        <v>-53600.870066333402</v>
      </c>
      <c r="AG61" s="9">
        <f t="shared" si="50"/>
        <v>-53600.870066333402</v>
      </c>
      <c r="AH61" s="9">
        <f t="shared" si="50"/>
        <v>-53600.870066333402</v>
      </c>
      <c r="AI61" s="9">
        <f t="shared" si="50"/>
        <v>-53600.870066333402</v>
      </c>
      <c r="AJ61" s="9">
        <f t="shared" si="50"/>
        <v>-53600.870066333402</v>
      </c>
      <c r="AK61" s="9">
        <f t="shared" si="50"/>
        <v>-53600.870066333402</v>
      </c>
      <c r="AL61" s="9"/>
      <c r="AM61" s="9"/>
      <c r="AN61" s="9"/>
      <c r="AO61" s="9"/>
      <c r="AP61" s="9"/>
      <c r="AQ61" s="9"/>
      <c r="AR61" s="9"/>
      <c r="AS61" s="9"/>
      <c r="AT61" s="9"/>
      <c r="AU61" s="9"/>
      <c r="AV61" s="9"/>
      <c r="AW61" s="9"/>
      <c r="AX61" s="9"/>
      <c r="AY61" s="9"/>
      <c r="AZ61" s="9"/>
      <c r="BA61" s="9"/>
      <c r="BB61" s="9"/>
      <c r="BC61" s="9"/>
      <c r="BD61" s="9"/>
      <c r="BE61" s="9"/>
      <c r="BF61" s="9"/>
      <c r="BG61" s="9"/>
      <c r="BH61" s="9"/>
      <c r="BI61" s="9"/>
      <c r="BU61" s="9"/>
      <c r="BV61" s="9"/>
      <c r="BW61" s="9"/>
      <c r="BX61" s="9"/>
      <c r="BY61" s="9"/>
      <c r="BZ61" s="9"/>
      <c r="CA61" s="9"/>
      <c r="CB61" s="9"/>
      <c r="CC61" s="9"/>
      <c r="CD61" s="9"/>
      <c r="CE61" s="9"/>
      <c r="CF61" s="9"/>
    </row>
    <row r="62" spans="1:84">
      <c r="A62" t="s">
        <v>301</v>
      </c>
      <c r="B62" s="9">
        <v>0.38</v>
      </c>
      <c r="C62" s="9">
        <v>0.38</v>
      </c>
      <c r="D62" s="9">
        <v>0.38</v>
      </c>
      <c r="E62" s="9">
        <v>0.38</v>
      </c>
      <c r="F62" s="9">
        <v>0.38</v>
      </c>
      <c r="G62" s="9">
        <v>0.38</v>
      </c>
      <c r="H62" s="9">
        <v>0.38</v>
      </c>
      <c r="I62" s="9">
        <v>0.38</v>
      </c>
      <c r="J62" s="9">
        <v>0.38</v>
      </c>
      <c r="K62" s="9">
        <v>0.38</v>
      </c>
      <c r="L62" s="9">
        <v>0.38</v>
      </c>
      <c r="M62" s="9">
        <v>0.38</v>
      </c>
      <c r="N62" s="9">
        <v>0.38</v>
      </c>
      <c r="O62" s="9">
        <v>0.38</v>
      </c>
      <c r="P62" s="9">
        <v>0.38</v>
      </c>
      <c r="Q62" s="9">
        <v>0.38</v>
      </c>
      <c r="R62" s="9">
        <v>0.38</v>
      </c>
      <c r="S62" s="9">
        <v>0.38</v>
      </c>
      <c r="T62" s="9">
        <v>0.38</v>
      </c>
      <c r="U62" s="9">
        <v>0.38</v>
      </c>
      <c r="V62" s="9">
        <v>0.38</v>
      </c>
      <c r="W62" s="9">
        <v>0.38</v>
      </c>
      <c r="X62" s="9">
        <v>0.38</v>
      </c>
      <c r="Y62" s="9">
        <v>0.38</v>
      </c>
      <c r="Z62" s="9">
        <v>0.38</v>
      </c>
      <c r="AA62" s="9">
        <v>0.38</v>
      </c>
      <c r="AB62" s="9">
        <v>0.38</v>
      </c>
      <c r="AC62" s="9">
        <v>0.38</v>
      </c>
      <c r="AD62" s="9">
        <v>0.38</v>
      </c>
      <c r="AE62" s="9">
        <v>0.38</v>
      </c>
      <c r="AF62" s="9">
        <v>0.38</v>
      </c>
      <c r="AG62" s="9">
        <v>0.38</v>
      </c>
      <c r="AH62" s="9">
        <v>0.38</v>
      </c>
      <c r="AI62" s="9">
        <v>0.38</v>
      </c>
      <c r="AJ62" s="9">
        <v>0.38</v>
      </c>
      <c r="AK62" s="9">
        <v>0.38</v>
      </c>
      <c r="AL62" s="9"/>
      <c r="AM62" s="9"/>
      <c r="AN62" s="9"/>
      <c r="AO62" s="9"/>
      <c r="AP62" s="9"/>
      <c r="AQ62" s="9"/>
      <c r="AR62" s="9"/>
      <c r="AS62" s="9"/>
      <c r="AT62" s="9"/>
      <c r="AU62" s="9"/>
      <c r="AV62" s="9"/>
      <c r="AW62" s="9"/>
      <c r="AX62" s="9"/>
      <c r="AY62" s="9"/>
      <c r="AZ62" s="9"/>
      <c r="BA62" s="9"/>
      <c r="BB62" s="9"/>
      <c r="BC62" s="9"/>
      <c r="BD62" s="9"/>
      <c r="BE62" s="9"/>
      <c r="BF62" s="9"/>
      <c r="BG62" s="9"/>
      <c r="BH62" s="9"/>
      <c r="BI62" s="9"/>
      <c r="BU62" s="9"/>
      <c r="BV62" s="9"/>
      <c r="BW62" s="9"/>
      <c r="BX62" s="9"/>
      <c r="BY62" s="9"/>
      <c r="BZ62" s="9"/>
      <c r="CA62" s="9"/>
      <c r="CB62" s="9"/>
      <c r="CC62" s="9"/>
      <c r="CD62" s="9"/>
      <c r="CE62" s="9"/>
      <c r="CF62" s="9"/>
    </row>
    <row r="63" spans="1:84">
      <c r="A63" t="s">
        <v>302</v>
      </c>
      <c r="B63" s="9">
        <f>B61*B62</f>
        <v>489156.57273291697</v>
      </c>
      <c r="C63" s="9">
        <f t="shared" ref="C63:AK63" si="51">C61*C62</f>
        <v>489156.57273291697</v>
      </c>
      <c r="D63" s="9">
        <f t="shared" si="51"/>
        <v>489156.57273291697</v>
      </c>
      <c r="E63" s="9">
        <f t="shared" si="51"/>
        <v>489156.57273291697</v>
      </c>
      <c r="F63" s="9">
        <f t="shared" si="51"/>
        <v>489156.57273291697</v>
      </c>
      <c r="G63" s="9">
        <f t="shared" si="51"/>
        <v>489156.57273291697</v>
      </c>
      <c r="H63" s="9">
        <f t="shared" si="51"/>
        <v>488724.13500341697</v>
      </c>
      <c r="I63" s="9">
        <f t="shared" si="51"/>
        <v>488724.13500341697</v>
      </c>
      <c r="J63" s="9">
        <f t="shared" si="51"/>
        <v>488469.18663841696</v>
      </c>
      <c r="K63" s="9">
        <f t="shared" si="51"/>
        <v>485423.74760436697</v>
      </c>
      <c r="L63" s="9">
        <f t="shared" si="51"/>
        <v>472310.01774191693</v>
      </c>
      <c r="M63" s="9">
        <f t="shared" si="51"/>
        <v>472273.70467876701</v>
      </c>
      <c r="N63" s="9">
        <f t="shared" si="51"/>
        <v>1784548.9440134782</v>
      </c>
      <c r="O63" s="9">
        <f t="shared" si="51"/>
        <v>1784548.9440134782</v>
      </c>
      <c r="P63" s="9">
        <f t="shared" si="51"/>
        <v>1784437.8187894784</v>
      </c>
      <c r="Q63" s="9">
        <f t="shared" si="51"/>
        <v>1784436.9832502282</v>
      </c>
      <c r="R63" s="9">
        <f t="shared" si="51"/>
        <v>1783832.0664324781</v>
      </c>
      <c r="S63" s="9">
        <f t="shared" si="51"/>
        <v>1783888.8584100283</v>
      </c>
      <c r="T63" s="9">
        <f t="shared" si="51"/>
        <v>1782249.6567382284</v>
      </c>
      <c r="U63" s="9">
        <f t="shared" si="51"/>
        <v>1762550.3131067781</v>
      </c>
      <c r="V63" s="9">
        <f t="shared" si="51"/>
        <v>1761932.9670267284</v>
      </c>
      <c r="W63" s="9">
        <f t="shared" si="51"/>
        <v>1761993.4485971783</v>
      </c>
      <c r="X63" s="9">
        <f t="shared" si="51"/>
        <v>1760955.2344044282</v>
      </c>
      <c r="Y63" s="9">
        <f t="shared" si="51"/>
        <v>1747664.8776824782</v>
      </c>
      <c r="Z63" s="9">
        <f t="shared" si="51"/>
        <v>-20368.330625206694</v>
      </c>
      <c r="AA63" s="9">
        <f t="shared" si="51"/>
        <v>-20368.330625206694</v>
      </c>
      <c r="AB63" s="9">
        <f t="shared" si="51"/>
        <v>-20368.330625206694</v>
      </c>
      <c r="AC63" s="9">
        <f t="shared" si="51"/>
        <v>-20368.330625206694</v>
      </c>
      <c r="AD63" s="9">
        <f t="shared" si="51"/>
        <v>-20368.330625206694</v>
      </c>
      <c r="AE63" s="9">
        <f t="shared" si="51"/>
        <v>-20368.330625206694</v>
      </c>
      <c r="AF63" s="9">
        <f t="shared" si="51"/>
        <v>-20368.330625206694</v>
      </c>
      <c r="AG63" s="9">
        <f t="shared" si="51"/>
        <v>-20368.330625206694</v>
      </c>
      <c r="AH63" s="9">
        <f t="shared" si="51"/>
        <v>-20368.330625206694</v>
      </c>
      <c r="AI63" s="9">
        <f t="shared" si="51"/>
        <v>-20368.330625206694</v>
      </c>
      <c r="AJ63" s="9">
        <f t="shared" si="51"/>
        <v>-20368.330625206694</v>
      </c>
      <c r="AK63" s="9">
        <f t="shared" si="51"/>
        <v>-20368.330625206694</v>
      </c>
      <c r="AL63" s="9"/>
      <c r="AM63" s="9"/>
      <c r="AN63" s="9"/>
      <c r="AO63" s="9"/>
      <c r="AP63" s="9"/>
      <c r="AQ63" s="9"/>
      <c r="AR63" s="9"/>
      <c r="AS63" s="9"/>
      <c r="AT63" s="9"/>
      <c r="AU63" s="9"/>
      <c r="AV63" s="9"/>
      <c r="AW63" s="9"/>
      <c r="AX63" s="9"/>
      <c r="AY63" s="9"/>
      <c r="AZ63" s="9"/>
      <c r="BA63" s="9"/>
      <c r="BB63" s="9"/>
      <c r="BC63" s="9"/>
      <c r="BD63" s="9"/>
      <c r="BE63" s="9"/>
      <c r="BF63" s="9"/>
      <c r="BG63" s="9"/>
      <c r="BH63" s="9"/>
      <c r="BI63" s="9"/>
      <c r="BU63" s="9"/>
      <c r="BV63" s="9"/>
      <c r="BW63" s="9"/>
      <c r="BX63" s="9"/>
      <c r="BY63" s="9"/>
      <c r="BZ63" s="9"/>
      <c r="CA63" s="9"/>
      <c r="CB63" s="9"/>
      <c r="CC63" s="9"/>
      <c r="CD63" s="9"/>
      <c r="CE63" s="9"/>
      <c r="CF63" s="9"/>
    </row>
    <row r="64" spans="1:84">
      <c r="A64" t="s">
        <v>152</v>
      </c>
      <c r="B64" s="9">
        <f>B63</f>
        <v>489156.57273291697</v>
      </c>
      <c r="C64" s="9">
        <f>B64+C63</f>
        <v>978313.14546583395</v>
      </c>
      <c r="D64" s="9">
        <f t="shared" ref="D64:AK64" si="52">C64+D63</f>
        <v>1467469.7181987509</v>
      </c>
      <c r="E64" s="9">
        <f t="shared" si="52"/>
        <v>1956626.2909316679</v>
      </c>
      <c r="F64" s="9">
        <f t="shared" si="52"/>
        <v>2445782.8636645847</v>
      </c>
      <c r="G64" s="9">
        <f t="shared" si="52"/>
        <v>2934939.4363975017</v>
      </c>
      <c r="H64" s="9">
        <f t="shared" si="52"/>
        <v>3423663.5714009185</v>
      </c>
      <c r="I64" s="9">
        <f t="shared" si="52"/>
        <v>3912387.7064043353</v>
      </c>
      <c r="J64" s="9">
        <f t="shared" si="52"/>
        <v>4400856.8930427525</v>
      </c>
      <c r="K64" s="9">
        <f t="shared" si="52"/>
        <v>4886280.6406471198</v>
      </c>
      <c r="L64" s="9">
        <f t="shared" si="52"/>
        <v>5358590.6583890365</v>
      </c>
      <c r="M64" s="9">
        <f t="shared" si="52"/>
        <v>5830864.3630678039</v>
      </c>
      <c r="N64" s="9">
        <f t="shared" si="52"/>
        <v>7615413.3070812821</v>
      </c>
      <c r="O64" s="9">
        <f t="shared" si="52"/>
        <v>9399962.2510947604</v>
      </c>
      <c r="P64" s="9">
        <f t="shared" si="52"/>
        <v>11184400.069884239</v>
      </c>
      <c r="Q64" s="9">
        <f t="shared" si="52"/>
        <v>12968837.053134467</v>
      </c>
      <c r="R64" s="9">
        <f t="shared" si="52"/>
        <v>14752669.119566945</v>
      </c>
      <c r="S64" s="9">
        <f t="shared" si="52"/>
        <v>16536557.977976974</v>
      </c>
      <c r="T64" s="9">
        <f t="shared" si="52"/>
        <v>18318807.634715203</v>
      </c>
      <c r="U64" s="9">
        <f t="shared" si="52"/>
        <v>20081357.947821982</v>
      </c>
      <c r="V64" s="9">
        <f t="shared" si="52"/>
        <v>21843290.914848711</v>
      </c>
      <c r="W64" s="9">
        <f t="shared" si="52"/>
        <v>23605284.363445889</v>
      </c>
      <c r="X64" s="9">
        <f t="shared" si="52"/>
        <v>25366239.597850319</v>
      </c>
      <c r="Y64" s="9">
        <f t="shared" si="52"/>
        <v>27113904.475532796</v>
      </c>
      <c r="Z64" s="9">
        <f t="shared" si="52"/>
        <v>27093536.14490759</v>
      </c>
      <c r="AA64" s="9">
        <f t="shared" si="52"/>
        <v>27073167.814282384</v>
      </c>
      <c r="AB64" s="9">
        <f t="shared" si="52"/>
        <v>27052799.483657178</v>
      </c>
      <c r="AC64" s="9">
        <f t="shared" si="52"/>
        <v>27032431.153031971</v>
      </c>
      <c r="AD64" s="9">
        <f t="shared" si="52"/>
        <v>27012062.822406765</v>
      </c>
      <c r="AE64" s="9">
        <f t="shared" si="52"/>
        <v>26991694.491781559</v>
      </c>
      <c r="AF64" s="9">
        <f t="shared" si="52"/>
        <v>26971326.161156353</v>
      </c>
      <c r="AG64" s="9">
        <f t="shared" si="52"/>
        <v>26950957.830531146</v>
      </c>
      <c r="AH64" s="9">
        <f t="shared" si="52"/>
        <v>26930589.49990594</v>
      </c>
      <c r="AI64" s="9">
        <f t="shared" si="52"/>
        <v>26910221.169280734</v>
      </c>
      <c r="AJ64" s="9">
        <f t="shared" si="52"/>
        <v>26889852.838655528</v>
      </c>
      <c r="AK64" s="9">
        <f t="shared" si="52"/>
        <v>26869484.508030321</v>
      </c>
      <c r="AL64" s="9"/>
      <c r="AM64" s="9"/>
      <c r="AN64" s="9"/>
      <c r="AO64" s="9"/>
      <c r="AP64" s="9"/>
      <c r="AQ64" s="9"/>
      <c r="AR64" s="9"/>
      <c r="AS64" s="9"/>
      <c r="AT64" s="9"/>
      <c r="AU64" s="9"/>
      <c r="AV64" s="9"/>
      <c r="AW64" s="9"/>
      <c r="AX64" s="9"/>
      <c r="AY64" s="9"/>
      <c r="AZ64" s="9"/>
      <c r="BA64" s="9"/>
      <c r="BB64" s="9"/>
      <c r="BC64" s="9"/>
      <c r="BD64" s="9"/>
      <c r="BE64" s="9"/>
      <c r="BF64" s="9"/>
      <c r="BG64" s="9"/>
      <c r="BH64" s="9"/>
      <c r="BI64" s="9"/>
      <c r="BU64" s="9"/>
      <c r="BV64" s="9"/>
      <c r="BW64" s="9"/>
      <c r="BX64" s="9"/>
      <c r="BY64" s="9"/>
      <c r="BZ64" s="9"/>
      <c r="CA64" s="9"/>
      <c r="CB64" s="9"/>
      <c r="CC64" s="9"/>
      <c r="CD64" s="9"/>
      <c r="CE64" s="9"/>
      <c r="CF64" s="9"/>
    </row>
    <row r="65" spans="2:84">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U65" s="9"/>
      <c r="BV65" s="9"/>
      <c r="BW65" s="9"/>
      <c r="BX65" s="9"/>
      <c r="BY65" s="9"/>
      <c r="BZ65" s="9"/>
      <c r="CA65" s="9"/>
      <c r="CB65" s="9"/>
      <c r="CC65" s="9"/>
      <c r="CD65" s="9"/>
      <c r="CE65" s="9"/>
      <c r="CF65" s="9"/>
    </row>
    <row r="66" spans="2:84">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U66" s="9"/>
      <c r="BV66" s="9"/>
      <c r="BW66" s="9"/>
      <c r="BX66" s="9"/>
      <c r="BY66" s="9"/>
      <c r="BZ66" s="9"/>
      <c r="CA66" s="9"/>
      <c r="CB66" s="9"/>
      <c r="CC66" s="9"/>
      <c r="CD66" s="9"/>
      <c r="CE66" s="9"/>
      <c r="CF66" s="9"/>
    </row>
    <row r="67" spans="2:84">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U67" s="9"/>
      <c r="BV67" s="9"/>
      <c r="BW67" s="9"/>
      <c r="BX67" s="9"/>
      <c r="BY67" s="9"/>
      <c r="BZ67" s="9"/>
      <c r="CA67" s="9"/>
      <c r="CB67" s="9"/>
      <c r="CC67" s="9"/>
      <c r="CD67" s="9"/>
      <c r="CE67" s="9"/>
      <c r="CF67" s="9"/>
    </row>
    <row r="68" spans="2:8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U68" s="9"/>
      <c r="BV68" s="9"/>
      <c r="BW68" s="9"/>
      <c r="BX68" s="9"/>
      <c r="BY68" s="9"/>
      <c r="BZ68" s="9"/>
      <c r="CA68" s="9"/>
      <c r="CB68" s="9"/>
      <c r="CC68" s="9"/>
      <c r="CD68" s="9"/>
      <c r="CE68" s="9"/>
      <c r="CF68" s="9"/>
    </row>
    <row r="69" spans="2:84">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U69" s="9"/>
      <c r="BV69" s="9"/>
      <c r="BW69" s="9"/>
      <c r="BX69" s="9"/>
      <c r="BY69" s="9"/>
      <c r="BZ69" s="9"/>
      <c r="CA69" s="9"/>
      <c r="CB69" s="9"/>
      <c r="CC69" s="9"/>
      <c r="CD69" s="9"/>
      <c r="CE69" s="9"/>
      <c r="CF69" s="9"/>
    </row>
    <row r="70" spans="2:84">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U70" s="9"/>
      <c r="BV70" s="9"/>
      <c r="BW70" s="9"/>
      <c r="BX70" s="9"/>
      <c r="BY70" s="9"/>
      <c r="BZ70" s="9"/>
      <c r="CA70" s="9"/>
      <c r="CB70" s="9"/>
      <c r="CC70" s="9"/>
      <c r="CD70" s="9"/>
      <c r="CE70" s="9"/>
      <c r="CF70" s="9"/>
    </row>
    <row r="71" spans="2:84">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U71" s="9"/>
      <c r="BV71" s="9"/>
      <c r="BW71" s="9"/>
      <c r="BX71" s="9"/>
      <c r="BY71" s="9"/>
      <c r="BZ71" s="9"/>
      <c r="CA71" s="9"/>
      <c r="CB71" s="9"/>
      <c r="CC71" s="9"/>
      <c r="CD71" s="9"/>
      <c r="CE71" s="9"/>
      <c r="CF71" s="9"/>
    </row>
    <row r="72" spans="2:84">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U72" s="9"/>
      <c r="BV72" s="9"/>
      <c r="BW72" s="9"/>
      <c r="BX72" s="9"/>
      <c r="BY72" s="9"/>
      <c r="BZ72" s="9"/>
      <c r="CA72" s="9"/>
      <c r="CB72" s="9"/>
      <c r="CC72" s="9"/>
      <c r="CD72" s="9"/>
      <c r="CE72" s="9"/>
      <c r="CF72" s="9"/>
    </row>
    <row r="73" spans="2:84">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U73" s="9"/>
      <c r="BV73" s="9"/>
      <c r="BW73" s="9"/>
      <c r="BX73" s="9"/>
      <c r="BY73" s="9"/>
      <c r="BZ73" s="9"/>
      <c r="CA73" s="9"/>
      <c r="CB73" s="9"/>
      <c r="CC73" s="9"/>
      <c r="CD73" s="9"/>
      <c r="CE73" s="9"/>
      <c r="CF73" s="9"/>
    </row>
    <row r="74" spans="2:84">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U74" s="9"/>
      <c r="BV74" s="9"/>
      <c r="BW74" s="9"/>
      <c r="BX74" s="9"/>
      <c r="BY74" s="9"/>
      <c r="BZ74" s="9"/>
      <c r="CA74" s="9"/>
      <c r="CB74" s="9"/>
      <c r="CC74" s="9"/>
      <c r="CD74" s="9"/>
      <c r="CE74" s="9"/>
      <c r="CF74" s="9"/>
    </row>
  </sheetData>
  <mergeCells count="9">
    <mergeCell ref="BY4:BZ4"/>
    <mergeCell ref="BU3:BW3"/>
    <mergeCell ref="BY3:CA3"/>
    <mergeCell ref="CD3:CE3"/>
    <mergeCell ref="BN2:BW2"/>
    <mergeCell ref="BO4:BP4"/>
    <mergeCell ref="BN3:BP3"/>
    <mergeCell ref="BS3:BT3"/>
    <mergeCell ref="BY2:CE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S43"/>
  <sheetViews>
    <sheetView zoomScale="85" zoomScaleNormal="85" zoomScaleSheetLayoutView="85" workbookViewId="0">
      <pane xSplit="3" ySplit="3" topLeftCell="L4" activePane="bottomRight" state="frozen"/>
      <selection pane="topRight" activeCell="D1" sqref="D1"/>
      <selection pane="bottomLeft" activeCell="A4" sqref="A4"/>
      <selection pane="bottomRight" activeCell="U28" sqref="U28"/>
    </sheetView>
  </sheetViews>
  <sheetFormatPr defaultRowHeight="12.75"/>
  <cols>
    <col min="1" max="1" width="3.85546875" customWidth="1"/>
    <col min="3" max="3" width="38.140625" bestFit="1" customWidth="1"/>
    <col min="4" max="33" width="13.85546875" style="9" customWidth="1"/>
    <col min="34" max="71" width="9.140625" style="9"/>
  </cols>
  <sheetData>
    <row r="1" spans="1:33" ht="15.75">
      <c r="A1" s="235" t="s">
        <v>293</v>
      </c>
      <c r="B1" s="235"/>
      <c r="C1" s="235"/>
      <c r="D1" s="235"/>
      <c r="E1" s="235"/>
      <c r="F1" s="235"/>
      <c r="G1" s="235"/>
      <c r="H1" s="235"/>
      <c r="I1" s="235"/>
      <c r="J1" s="235"/>
      <c r="K1" s="235"/>
      <c r="L1" s="235"/>
      <c r="M1" s="235"/>
      <c r="N1" s="235"/>
      <c r="O1" s="235"/>
      <c r="P1" s="235"/>
      <c r="Q1" s="235"/>
    </row>
    <row r="2" spans="1:33">
      <c r="D2" s="16" t="s">
        <v>174</v>
      </c>
      <c r="E2" s="16" t="s">
        <v>175</v>
      </c>
      <c r="F2" s="16" t="s">
        <v>176</v>
      </c>
      <c r="G2" s="16" t="s">
        <v>277</v>
      </c>
      <c r="H2" s="16" t="s">
        <v>194</v>
      </c>
      <c r="I2" s="16" t="s">
        <v>195</v>
      </c>
      <c r="J2" s="16" t="s">
        <v>196</v>
      </c>
      <c r="K2" s="16" t="s">
        <v>197</v>
      </c>
      <c r="L2" s="16" t="s">
        <v>198</v>
      </c>
      <c r="M2" s="16" t="s">
        <v>199</v>
      </c>
      <c r="N2" s="16" t="s">
        <v>200</v>
      </c>
      <c r="O2" s="16" t="s">
        <v>278</v>
      </c>
      <c r="P2" s="16" t="s">
        <v>279</v>
      </c>
      <c r="Q2" s="16" t="s">
        <v>280</v>
      </c>
      <c r="R2" s="16" t="s">
        <v>281</v>
      </c>
      <c r="S2" s="16" t="s">
        <v>282</v>
      </c>
      <c r="T2" s="16" t="s">
        <v>283</v>
      </c>
      <c r="U2" s="16" t="s">
        <v>284</v>
      </c>
      <c r="V2" s="16" t="s">
        <v>285</v>
      </c>
      <c r="W2" s="16" t="s">
        <v>286</v>
      </c>
      <c r="X2" s="16" t="s">
        <v>287</v>
      </c>
      <c r="Y2" s="16" t="s">
        <v>288</v>
      </c>
      <c r="Z2" s="16" t="s">
        <v>289</v>
      </c>
      <c r="AA2" s="16" t="s">
        <v>290</v>
      </c>
      <c r="AB2" s="16" t="s">
        <v>291</v>
      </c>
      <c r="AC2" s="16" t="s">
        <v>292</v>
      </c>
    </row>
    <row r="3" spans="1:33">
      <c r="D3" s="43">
        <v>40390</v>
      </c>
      <c r="E3" s="43">
        <f t="shared" ref="E3:AG3" si="0">EOMONTH(D3,1)</f>
        <v>40421</v>
      </c>
      <c r="F3" s="43">
        <f t="shared" si="0"/>
        <v>40451</v>
      </c>
      <c r="G3" s="43">
        <f t="shared" si="0"/>
        <v>40482</v>
      </c>
      <c r="H3" s="43">
        <f>EOMONTH(G3,1)</f>
        <v>40512</v>
      </c>
      <c r="I3" s="43">
        <f t="shared" si="0"/>
        <v>40543</v>
      </c>
      <c r="J3" s="43">
        <f t="shared" si="0"/>
        <v>40574</v>
      </c>
      <c r="K3" s="43">
        <f t="shared" si="0"/>
        <v>40602</v>
      </c>
      <c r="L3" s="43">
        <f t="shared" si="0"/>
        <v>40633</v>
      </c>
      <c r="M3" s="43">
        <f t="shared" si="0"/>
        <v>40663</v>
      </c>
      <c r="N3" s="43">
        <f t="shared" si="0"/>
        <v>40694</v>
      </c>
      <c r="O3" s="43">
        <f t="shared" si="0"/>
        <v>40724</v>
      </c>
      <c r="P3" s="43">
        <f t="shared" si="0"/>
        <v>40755</v>
      </c>
      <c r="Q3" s="43">
        <f t="shared" si="0"/>
        <v>40786</v>
      </c>
      <c r="R3" s="43">
        <f t="shared" si="0"/>
        <v>40816</v>
      </c>
      <c r="S3" s="43">
        <f t="shared" si="0"/>
        <v>40847</v>
      </c>
      <c r="T3" s="43">
        <f t="shared" si="0"/>
        <v>40877</v>
      </c>
      <c r="U3" s="43">
        <f t="shared" si="0"/>
        <v>40908</v>
      </c>
      <c r="V3" s="43">
        <f>EOMONTH(U3,1)</f>
        <v>40939</v>
      </c>
      <c r="W3" s="43">
        <f t="shared" si="0"/>
        <v>40968</v>
      </c>
      <c r="X3" s="43">
        <f t="shared" si="0"/>
        <v>40999</v>
      </c>
      <c r="Y3" s="43">
        <f t="shared" si="0"/>
        <v>41029</v>
      </c>
      <c r="Z3" s="43">
        <f t="shared" si="0"/>
        <v>41060</v>
      </c>
      <c r="AA3" s="43">
        <f t="shared" si="0"/>
        <v>41090</v>
      </c>
      <c r="AB3" s="43">
        <f t="shared" si="0"/>
        <v>41121</v>
      </c>
      <c r="AC3" s="43">
        <f t="shared" si="0"/>
        <v>41152</v>
      </c>
      <c r="AD3" s="43">
        <f t="shared" si="0"/>
        <v>41182</v>
      </c>
      <c r="AE3" s="43">
        <f>EOMONTH(AD3,1)</f>
        <v>41213</v>
      </c>
      <c r="AF3" s="43">
        <f t="shared" si="0"/>
        <v>41243</v>
      </c>
      <c r="AG3" s="43">
        <f t="shared" si="0"/>
        <v>41274</v>
      </c>
    </row>
    <row r="4" spans="1:33">
      <c r="B4" s="3" t="s">
        <v>0</v>
      </c>
      <c r="C4" s="3" t="s">
        <v>125</v>
      </c>
    </row>
    <row r="5" spans="1:33">
      <c r="A5" s="69">
        <v>1</v>
      </c>
      <c r="B5" t="s">
        <v>12</v>
      </c>
      <c r="C5" t="s">
        <v>126</v>
      </c>
      <c r="D5" s="20"/>
      <c r="E5" s="20"/>
      <c r="F5" s="20"/>
      <c r="G5" s="20">
        <f>-Calculations!AS8</f>
        <v>670027.01</v>
      </c>
      <c r="H5" s="20">
        <f>-Calculations!AT8</f>
        <v>0</v>
      </c>
      <c r="I5" s="20">
        <f>-Calculations!AU8</f>
        <v>0</v>
      </c>
      <c r="J5" s="20">
        <f>-Calculations!AV8</f>
        <v>0</v>
      </c>
      <c r="K5" s="20">
        <f>-Calculations!AW8</f>
        <v>0</v>
      </c>
      <c r="L5" s="20">
        <f>-Calculations!AX8</f>
        <v>0</v>
      </c>
      <c r="M5" s="20">
        <f>-Calculations!AY8</f>
        <v>0</v>
      </c>
      <c r="N5" s="20">
        <f>-Calculations!AZ8</f>
        <v>18838.41</v>
      </c>
      <c r="O5" s="20">
        <f>-Calculations!BA8</f>
        <v>0</v>
      </c>
      <c r="P5" s="20">
        <f>-Calculations!BB8</f>
        <v>0</v>
      </c>
      <c r="Q5" s="20">
        <f>-Calculations!BC8</f>
        <v>0</v>
      </c>
      <c r="R5" s="20">
        <f>-Calculations!BD8</f>
        <v>0</v>
      </c>
      <c r="S5" s="20">
        <f>-Calculations!BE8</f>
        <v>0</v>
      </c>
      <c r="T5" s="20">
        <f>-Calculations!BF8</f>
        <v>0</v>
      </c>
      <c r="U5" s="20">
        <f>-Calculations!BG8</f>
        <v>0</v>
      </c>
      <c r="V5" s="20"/>
      <c r="W5" s="20"/>
      <c r="X5" s="20"/>
      <c r="Y5" s="20"/>
      <c r="Z5" s="20"/>
      <c r="AA5" s="20"/>
      <c r="AB5" s="20"/>
      <c r="AC5" s="20"/>
      <c r="AD5" s="20"/>
      <c r="AE5" s="20"/>
      <c r="AF5" s="20"/>
      <c r="AG5" s="20"/>
    </row>
    <row r="6" spans="1:33">
      <c r="A6" s="69">
        <f>A5+1</f>
        <v>2</v>
      </c>
      <c r="B6" t="s">
        <v>31</v>
      </c>
      <c r="C6" t="s">
        <v>127</v>
      </c>
      <c r="D6" s="20"/>
      <c r="E6" s="20"/>
      <c r="F6" s="20">
        <v>383381</v>
      </c>
      <c r="G6" s="20">
        <f>-Calculations!AS9</f>
        <v>52900.19</v>
      </c>
      <c r="H6" s="20">
        <f>-Calculations!AT9</f>
        <v>0</v>
      </c>
      <c r="I6" s="20">
        <f>-Calculations!AU9</f>
        <v>54606.11</v>
      </c>
      <c r="J6" s="20">
        <f>-Calculations!AV9</f>
        <v>-49598.2</v>
      </c>
      <c r="K6" s="20">
        <f>-Calculations!AW9</f>
        <v>0</v>
      </c>
      <c r="L6" s="20">
        <f>-Calculations!AX9</f>
        <v>0</v>
      </c>
      <c r="M6" s="20">
        <f>-Calculations!AY9</f>
        <v>-3250.77</v>
      </c>
      <c r="N6" s="20">
        <f>-Calculations!AZ9</f>
        <v>0</v>
      </c>
      <c r="O6" s="20">
        <f>-Calculations!BA9</f>
        <v>0</v>
      </c>
      <c r="P6" s="20">
        <f>-Calculations!BB9</f>
        <v>0</v>
      </c>
      <c r="Q6" s="20">
        <f>-Calculations!BC9</f>
        <v>0</v>
      </c>
      <c r="R6" s="20">
        <f>-Calculations!BD9</f>
        <v>0</v>
      </c>
      <c r="S6" s="20">
        <f>-Calculations!BE9</f>
        <v>0</v>
      </c>
      <c r="T6" s="20">
        <f>-Calculations!BF9</f>
        <v>0</v>
      </c>
      <c r="U6" s="20">
        <f>-Calculations!BG9</f>
        <v>0</v>
      </c>
      <c r="V6" s="20"/>
      <c r="W6" s="20"/>
      <c r="X6" s="20"/>
      <c r="Y6" s="20"/>
      <c r="Z6" s="20"/>
      <c r="AA6" s="20"/>
      <c r="AB6" s="20"/>
      <c r="AC6" s="20"/>
      <c r="AD6" s="20"/>
      <c r="AE6" s="20"/>
      <c r="AF6" s="20"/>
      <c r="AG6" s="20"/>
    </row>
    <row r="7" spans="1:33">
      <c r="A7" s="69">
        <f t="shared" ref="A7:A26" si="1">A6+1</f>
        <v>3</v>
      </c>
      <c r="B7" t="s">
        <v>36</v>
      </c>
      <c r="C7" t="s">
        <v>128</v>
      </c>
      <c r="D7" s="20">
        <v>10750282.300000001</v>
      </c>
      <c r="E7" s="20"/>
      <c r="F7" s="20"/>
      <c r="G7" s="20">
        <f>-Calculations!AS10</f>
        <v>3856680.37</v>
      </c>
      <c r="H7" s="20">
        <f>-Calculations!AT10</f>
        <v>20371763.529999997</v>
      </c>
      <c r="I7" s="20">
        <f>-Calculations!AU10</f>
        <v>0</v>
      </c>
      <c r="J7" s="20">
        <f>-Calculations!AV10</f>
        <v>0</v>
      </c>
      <c r="K7" s="20">
        <f>-Calculations!AW10</f>
        <v>0</v>
      </c>
      <c r="L7" s="20">
        <f>-Calculations!AX10</f>
        <v>0</v>
      </c>
      <c r="M7" s="20">
        <f>-Calculations!AY10</f>
        <v>0</v>
      </c>
      <c r="N7" s="20">
        <f>-Calculations!AZ10</f>
        <v>890810.94</v>
      </c>
      <c r="O7" s="20">
        <f>-Calculations!BA10</f>
        <v>0</v>
      </c>
      <c r="P7" s="20">
        <f>-Calculations!BB10</f>
        <v>0</v>
      </c>
      <c r="Q7" s="20">
        <f>-Calculations!BC10</f>
        <v>0</v>
      </c>
      <c r="R7" s="20">
        <f>-Calculations!BD10</f>
        <v>300939.62</v>
      </c>
      <c r="S7" s="20">
        <f>-Calculations!BE10</f>
        <v>0</v>
      </c>
      <c r="T7" s="20">
        <f>-Calculations!BF10</f>
        <v>19045.150000000001</v>
      </c>
      <c r="U7" s="20">
        <f>-Calculations!BG10</f>
        <v>0</v>
      </c>
      <c r="V7" s="20"/>
      <c r="W7" s="20"/>
      <c r="X7" s="20"/>
      <c r="Y7" s="20"/>
      <c r="Z7" s="20"/>
      <c r="AA7" s="20"/>
      <c r="AB7" s="20"/>
      <c r="AC7" s="20"/>
      <c r="AD7" s="20"/>
      <c r="AE7" s="20"/>
      <c r="AF7" s="20"/>
      <c r="AG7" s="20"/>
    </row>
    <row r="8" spans="1:33">
      <c r="A8" s="69">
        <f t="shared" si="1"/>
        <v>4</v>
      </c>
      <c r="B8" s="10" t="s">
        <v>57</v>
      </c>
      <c r="C8" s="2" t="s">
        <v>141</v>
      </c>
      <c r="D8" s="20"/>
      <c r="E8" s="20"/>
      <c r="F8" s="20"/>
      <c r="G8" s="20">
        <f>-Calculations!AS11</f>
        <v>0</v>
      </c>
      <c r="H8" s="20">
        <f>-Calculations!AT11</f>
        <v>0</v>
      </c>
      <c r="I8" s="20">
        <f>-Calculations!AU11</f>
        <v>0</v>
      </c>
      <c r="J8" s="20">
        <f>-Calculations!AV11</f>
        <v>0</v>
      </c>
      <c r="K8" s="20">
        <f>-Calculations!AW11</f>
        <v>0</v>
      </c>
      <c r="L8" s="20">
        <f>-Calculations!AX11</f>
        <v>0</v>
      </c>
      <c r="M8" s="20">
        <f>-Calculations!AY11</f>
        <v>0</v>
      </c>
      <c r="N8" s="20">
        <f>-Calculations!AZ11</f>
        <v>0</v>
      </c>
      <c r="O8" s="20">
        <f>-Calculations!BA11</f>
        <v>0</v>
      </c>
      <c r="P8" s="20">
        <f>-Calculations!BB11</f>
        <v>0</v>
      </c>
      <c r="Q8" s="20">
        <f>-Calculations!BC11</f>
        <v>6216955.0899999999</v>
      </c>
      <c r="R8" s="20">
        <f>-Calculations!BD11</f>
        <v>110789.52</v>
      </c>
      <c r="S8" s="20">
        <f>-Calculations!BE11</f>
        <v>0</v>
      </c>
      <c r="T8" s="20">
        <f>-Calculations!BF11</f>
        <v>181184.54</v>
      </c>
      <c r="U8" s="20">
        <f>-Calculations!BG11</f>
        <v>0</v>
      </c>
      <c r="V8" s="20"/>
      <c r="W8" s="20"/>
      <c r="X8" s="20"/>
      <c r="Y8" s="20"/>
      <c r="Z8" s="20"/>
      <c r="AA8" s="20"/>
      <c r="AB8" s="20"/>
      <c r="AC8" s="20"/>
      <c r="AD8" s="20"/>
      <c r="AE8" s="20"/>
      <c r="AF8" s="20"/>
      <c r="AG8" s="20"/>
    </row>
    <row r="9" spans="1:33">
      <c r="A9" s="69">
        <f t="shared" si="1"/>
        <v>5</v>
      </c>
      <c r="B9" s="10" t="s">
        <v>307</v>
      </c>
      <c r="C9" s="217" t="s">
        <v>318</v>
      </c>
      <c r="D9" s="20"/>
      <c r="E9" s="20"/>
      <c r="F9" s="20"/>
      <c r="G9" s="20">
        <f>-Calculations!AS12</f>
        <v>0</v>
      </c>
      <c r="H9" s="20">
        <f>-Calculations!AT12</f>
        <v>0</v>
      </c>
      <c r="I9" s="20">
        <f>-Calculations!AU12</f>
        <v>0</v>
      </c>
      <c r="J9" s="20">
        <f>-Calculations!AV12</f>
        <v>0</v>
      </c>
      <c r="K9" s="20">
        <f>-Calculations!AW12</f>
        <v>0</v>
      </c>
      <c r="L9" s="20">
        <f>-Calculations!AX12</f>
        <v>0</v>
      </c>
      <c r="M9" s="20">
        <f>-Calculations!AY12</f>
        <v>0</v>
      </c>
      <c r="N9" s="20">
        <f>-Calculations!AZ12</f>
        <v>0</v>
      </c>
      <c r="O9" s="20">
        <f>-Calculations!BA12</f>
        <v>0</v>
      </c>
      <c r="P9" s="20">
        <f>-Calculations!BB12</f>
        <v>0</v>
      </c>
      <c r="Q9" s="20">
        <f>-Calculations!BC12</f>
        <v>0</v>
      </c>
      <c r="R9" s="20">
        <f>-Calculations!BD12</f>
        <v>0</v>
      </c>
      <c r="S9" s="20">
        <f>-Calculations!BE12</f>
        <v>0</v>
      </c>
      <c r="T9" s="20">
        <f>-Calculations!BF12</f>
        <v>249499.37</v>
      </c>
      <c r="U9" s="20">
        <f>-Calculations!BG12</f>
        <v>0</v>
      </c>
      <c r="V9" s="20"/>
      <c r="W9" s="20"/>
      <c r="X9" s="20"/>
      <c r="Y9" s="20"/>
      <c r="Z9" s="20"/>
      <c r="AA9" s="20"/>
      <c r="AB9" s="20"/>
      <c r="AC9" s="20"/>
      <c r="AD9" s="20"/>
      <c r="AE9" s="20"/>
      <c r="AF9" s="20"/>
      <c r="AG9" s="20"/>
    </row>
    <row r="10" spans="1:33">
      <c r="A10" s="69">
        <f t="shared" si="1"/>
        <v>6</v>
      </c>
      <c r="B10" s="10" t="s">
        <v>58</v>
      </c>
      <c r="C10" s="217" t="s">
        <v>317</v>
      </c>
      <c r="D10" s="20"/>
      <c r="E10" s="20"/>
      <c r="F10" s="20"/>
      <c r="G10" s="20">
        <f>-Calculations!AS13</f>
        <v>0</v>
      </c>
      <c r="H10" s="20">
        <f>-Calculations!AT13</f>
        <v>0</v>
      </c>
      <c r="I10" s="20">
        <f>-Calculations!AU13</f>
        <v>0</v>
      </c>
      <c r="J10" s="20">
        <f>-Calculations!AV13</f>
        <v>0</v>
      </c>
      <c r="K10" s="20">
        <f>-Calculations!AW13</f>
        <v>0</v>
      </c>
      <c r="L10" s="20">
        <f>-Calculations!AX13</f>
        <v>0</v>
      </c>
      <c r="M10" s="20">
        <f>-Calculations!AY13</f>
        <v>0</v>
      </c>
      <c r="N10" s="20">
        <f>-Calculations!AZ13</f>
        <v>0</v>
      </c>
      <c r="O10" s="20">
        <f>-Calculations!BA13</f>
        <v>0</v>
      </c>
      <c r="P10" s="20">
        <f>-Calculations!BB13</f>
        <v>0</v>
      </c>
      <c r="Q10" s="20">
        <f>-Calculations!BC13</f>
        <v>18991053.130000003</v>
      </c>
      <c r="R10" s="20">
        <f>-Calculations!BD13</f>
        <v>288904.96999999997</v>
      </c>
      <c r="S10" s="20">
        <f>-Calculations!BE13</f>
        <v>0</v>
      </c>
      <c r="T10" s="20">
        <f>-Calculations!BF13</f>
        <v>449392.73</v>
      </c>
      <c r="U10" s="20">
        <f>-Calculations!BG13</f>
        <v>0</v>
      </c>
      <c r="V10" s="20"/>
      <c r="W10" s="20"/>
      <c r="X10" s="20"/>
      <c r="Y10" s="20"/>
      <c r="Z10" s="20"/>
      <c r="AA10" s="20"/>
      <c r="AB10" s="20"/>
      <c r="AC10" s="20"/>
      <c r="AD10" s="20"/>
      <c r="AE10" s="20"/>
      <c r="AF10" s="20"/>
      <c r="AG10" s="20"/>
    </row>
    <row r="11" spans="1:33">
      <c r="A11" s="69">
        <f t="shared" si="1"/>
        <v>7</v>
      </c>
      <c r="B11" s="10" t="s">
        <v>59</v>
      </c>
      <c r="C11" s="2" t="s">
        <v>142</v>
      </c>
      <c r="D11" s="20"/>
      <c r="E11" s="20"/>
      <c r="F11" s="20"/>
      <c r="G11" s="20">
        <f>-Calculations!AS14</f>
        <v>0</v>
      </c>
      <c r="H11" s="20">
        <f>-Calculations!AT14</f>
        <v>0</v>
      </c>
      <c r="I11" s="20">
        <f>-Calculations!AU14</f>
        <v>0</v>
      </c>
      <c r="J11" s="20">
        <f>-Calculations!AV14</f>
        <v>0</v>
      </c>
      <c r="K11" s="20">
        <f>-Calculations!AW14</f>
        <v>0</v>
      </c>
      <c r="L11" s="20">
        <f>-Calculations!AX14</f>
        <v>0</v>
      </c>
      <c r="M11" s="20">
        <f>-Calculations!AY14</f>
        <v>0</v>
      </c>
      <c r="N11" s="20">
        <f>-Calculations!AZ14</f>
        <v>0</v>
      </c>
      <c r="O11" s="20">
        <f>-Calculations!BA14</f>
        <v>0</v>
      </c>
      <c r="P11" s="20">
        <f>-Calculations!BB14</f>
        <v>0</v>
      </c>
      <c r="Q11" s="20">
        <f>-Calculations!BC14</f>
        <v>5448678.0799999991</v>
      </c>
      <c r="R11" s="20">
        <f>-Calculations!BD14</f>
        <v>136756.13</v>
      </c>
      <c r="S11" s="20">
        <f>-Calculations!BE14</f>
        <v>0</v>
      </c>
      <c r="T11" s="20">
        <f>-Calculations!BF14</f>
        <v>284646.34000000003</v>
      </c>
      <c r="U11" s="20">
        <f>-Calculations!BG14</f>
        <v>0</v>
      </c>
      <c r="V11" s="20"/>
      <c r="W11" s="20"/>
      <c r="X11" s="20"/>
      <c r="Y11" s="20"/>
      <c r="Z11" s="20"/>
      <c r="AA11" s="20"/>
      <c r="AB11" s="20"/>
      <c r="AC11" s="20"/>
      <c r="AD11" s="20"/>
      <c r="AE11" s="20"/>
      <c r="AF11" s="20"/>
      <c r="AG11" s="20"/>
    </row>
    <row r="12" spans="1:33">
      <c r="A12" s="69">
        <f t="shared" si="1"/>
        <v>8</v>
      </c>
      <c r="B12" s="10" t="s">
        <v>308</v>
      </c>
      <c r="C12" s="217" t="s">
        <v>316</v>
      </c>
      <c r="D12" s="20"/>
      <c r="E12" s="20"/>
      <c r="F12" s="20"/>
      <c r="G12" s="20">
        <f>-Calculations!AS15</f>
        <v>0</v>
      </c>
      <c r="H12" s="20">
        <f>-Calculations!AT15</f>
        <v>0</v>
      </c>
      <c r="I12" s="20">
        <f>-Calculations!AU15</f>
        <v>0</v>
      </c>
      <c r="J12" s="20">
        <f>-Calculations!AV15</f>
        <v>0</v>
      </c>
      <c r="K12" s="20">
        <f>-Calculations!AW15</f>
        <v>0</v>
      </c>
      <c r="L12" s="20">
        <f>-Calculations!AX15</f>
        <v>167105.60000000001</v>
      </c>
      <c r="M12" s="20">
        <f>-Calculations!AY15</f>
        <v>4507.22</v>
      </c>
      <c r="N12" s="20">
        <f>-Calculations!AZ15</f>
        <v>0</v>
      </c>
      <c r="O12" s="20">
        <f>-Calculations!BA15</f>
        <v>-85401.47</v>
      </c>
      <c r="P12" s="20">
        <f>-Calculations!BB15</f>
        <v>85401.47</v>
      </c>
      <c r="Q12" s="20">
        <f>-Calculations!BC15</f>
        <v>0</v>
      </c>
      <c r="R12" s="20">
        <f>-Calculations!BD15</f>
        <v>0</v>
      </c>
      <c r="S12" s="20">
        <f>-Calculations!BE15</f>
        <v>0</v>
      </c>
      <c r="T12" s="20">
        <f>-Calculations!BF15</f>
        <v>0</v>
      </c>
      <c r="U12" s="20">
        <f>-Calculations!BG15</f>
        <v>0</v>
      </c>
      <c r="V12" s="20"/>
      <c r="W12" s="20"/>
      <c r="X12" s="20"/>
      <c r="Y12" s="20"/>
      <c r="Z12" s="20"/>
      <c r="AA12" s="20"/>
      <c r="AB12" s="20"/>
      <c r="AC12" s="20"/>
      <c r="AD12" s="20"/>
      <c r="AE12" s="20"/>
      <c r="AF12" s="20"/>
      <c r="AG12" s="20"/>
    </row>
    <row r="13" spans="1:33">
      <c r="A13" s="69">
        <f t="shared" si="1"/>
        <v>9</v>
      </c>
      <c r="B13" s="10" t="s">
        <v>60</v>
      </c>
      <c r="C13" s="2" t="s">
        <v>143</v>
      </c>
      <c r="D13" s="20"/>
      <c r="E13" s="20"/>
      <c r="F13" s="20"/>
      <c r="G13" s="20">
        <f>-Calculations!AS16</f>
        <v>0</v>
      </c>
      <c r="H13" s="20">
        <f>-Calculations!AT16</f>
        <v>0</v>
      </c>
      <c r="I13" s="20">
        <f>-Calculations!AU16</f>
        <v>0</v>
      </c>
      <c r="J13" s="20">
        <f>-Calculations!AV16</f>
        <v>0</v>
      </c>
      <c r="K13" s="20">
        <f>-Calculations!AW16</f>
        <v>0</v>
      </c>
      <c r="L13" s="20">
        <f>-Calculations!AX16</f>
        <v>0</v>
      </c>
      <c r="M13" s="20">
        <f>-Calculations!AY16</f>
        <v>0</v>
      </c>
      <c r="N13" s="20">
        <f>-Calculations!AZ16</f>
        <v>0</v>
      </c>
      <c r="O13" s="20">
        <f>-Calculations!BA16</f>
        <v>0</v>
      </c>
      <c r="P13" s="20">
        <f>-Calculations!BB16</f>
        <v>0</v>
      </c>
      <c r="Q13" s="20">
        <f>-Calculations!BC16</f>
        <v>116112.02</v>
      </c>
      <c r="R13" s="20">
        <f>-Calculations!BD16</f>
        <v>0</v>
      </c>
      <c r="S13" s="20">
        <f>-Calculations!BE16</f>
        <v>0</v>
      </c>
      <c r="T13" s="20">
        <f>-Calculations!BF16</f>
        <v>0</v>
      </c>
      <c r="U13" s="20">
        <f>-Calculations!BG16</f>
        <v>0</v>
      </c>
      <c r="V13" s="20"/>
      <c r="W13" s="20"/>
      <c r="X13" s="20"/>
      <c r="Y13" s="20"/>
      <c r="Z13" s="20"/>
      <c r="AA13" s="20"/>
      <c r="AB13" s="20"/>
      <c r="AC13" s="20"/>
      <c r="AD13" s="20"/>
      <c r="AE13" s="20"/>
      <c r="AF13" s="20"/>
      <c r="AG13" s="20"/>
    </row>
    <row r="14" spans="1:33">
      <c r="A14" s="69">
        <f t="shared" si="1"/>
        <v>10</v>
      </c>
      <c r="B14" t="s">
        <v>61</v>
      </c>
      <c r="C14" t="s">
        <v>319</v>
      </c>
      <c r="D14" s="20"/>
      <c r="E14" s="20"/>
      <c r="F14" s="20"/>
      <c r="G14" s="20">
        <f>-Calculations!AS17</f>
        <v>0</v>
      </c>
      <c r="H14" s="20">
        <f>-Calculations!AT17</f>
        <v>0</v>
      </c>
      <c r="I14" s="20">
        <f>-Calculations!AU17</f>
        <v>0</v>
      </c>
      <c r="J14" s="20">
        <f>-Calculations!AV17</f>
        <v>0</v>
      </c>
      <c r="K14" s="20">
        <f>-Calculations!AW17</f>
        <v>0</v>
      </c>
      <c r="L14" s="20">
        <f>-Calculations!AX17</f>
        <v>0</v>
      </c>
      <c r="M14" s="20">
        <f>-Calculations!AY17</f>
        <v>0</v>
      </c>
      <c r="N14" s="20">
        <f>-Calculations!AZ17</f>
        <v>0</v>
      </c>
      <c r="O14" s="20">
        <f>-Calculations!BA17</f>
        <v>0</v>
      </c>
      <c r="P14" s="20">
        <f>-Calculations!BB17</f>
        <v>2379563.4500000002</v>
      </c>
      <c r="Q14" s="20">
        <f>-Calculations!BC17</f>
        <v>120467.54999999999</v>
      </c>
      <c r="R14" s="20">
        <f>-Calculations!BD17</f>
        <v>90949.73</v>
      </c>
      <c r="S14" s="20">
        <f>-Calculations!BE17</f>
        <v>-90949.73</v>
      </c>
      <c r="T14" s="20">
        <f>-Calculations!BF17</f>
        <v>16336.9</v>
      </c>
      <c r="U14" s="20">
        <f>-Calculations!BG17</f>
        <v>0</v>
      </c>
      <c r="V14" s="20"/>
      <c r="W14" s="20"/>
      <c r="X14" s="20"/>
      <c r="Y14" s="20"/>
      <c r="Z14" s="20"/>
      <c r="AA14" s="20"/>
      <c r="AB14" s="20"/>
      <c r="AC14" s="20"/>
      <c r="AD14" s="20"/>
      <c r="AE14" s="20"/>
      <c r="AF14" s="20"/>
      <c r="AG14" s="20"/>
    </row>
    <row r="15" spans="1:33">
      <c r="A15" s="69">
        <f t="shared" si="1"/>
        <v>11</v>
      </c>
      <c r="B15" s="10" t="s">
        <v>310</v>
      </c>
      <c r="C15" t="s">
        <v>312</v>
      </c>
      <c r="D15" s="20"/>
      <c r="E15" s="20"/>
      <c r="F15" s="20"/>
      <c r="G15" s="20">
        <f>-Calculations!AS18</f>
        <v>0</v>
      </c>
      <c r="H15" s="20">
        <f>-Calculations!AT18</f>
        <v>0</v>
      </c>
      <c r="I15" s="20">
        <f>-Calculations!AU18</f>
        <v>0</v>
      </c>
      <c r="J15" s="20">
        <f>-Calculations!AV18</f>
        <v>0</v>
      </c>
      <c r="K15" s="20">
        <f>-Calculations!AW18</f>
        <v>0</v>
      </c>
      <c r="L15" s="20">
        <f>-Calculations!AX18</f>
        <v>0</v>
      </c>
      <c r="M15" s="20">
        <f>-Calculations!AY18</f>
        <v>0</v>
      </c>
      <c r="N15" s="20">
        <f>-Calculations!AZ18</f>
        <v>0</v>
      </c>
      <c r="O15" s="20">
        <f>-Calculations!BA18</f>
        <v>0</v>
      </c>
      <c r="P15" s="20">
        <f>-Calculations!BB18</f>
        <v>0</v>
      </c>
      <c r="Q15" s="20">
        <f>-Calculations!BC18</f>
        <v>0</v>
      </c>
      <c r="R15" s="20">
        <f>-Calculations!BD18</f>
        <v>0</v>
      </c>
      <c r="S15" s="20">
        <f>-Calculations!BE18</f>
        <v>0</v>
      </c>
      <c r="T15" s="20">
        <f>-Calculations!BF18</f>
        <v>153478.67000000001</v>
      </c>
      <c r="U15" s="20">
        <f>-Calculations!BG18</f>
        <v>0</v>
      </c>
      <c r="V15" s="20"/>
      <c r="W15" s="20"/>
      <c r="X15" s="20"/>
      <c r="Y15" s="20"/>
      <c r="Z15" s="20"/>
      <c r="AA15" s="20"/>
      <c r="AB15" s="20"/>
      <c r="AC15" s="20"/>
      <c r="AD15" s="20"/>
      <c r="AE15" s="20"/>
      <c r="AF15" s="20"/>
      <c r="AG15" s="20"/>
    </row>
    <row r="16" spans="1:33">
      <c r="A16" s="69">
        <f t="shared" si="1"/>
        <v>12</v>
      </c>
      <c r="B16" s="10" t="s">
        <v>313</v>
      </c>
      <c r="C16" t="s">
        <v>314</v>
      </c>
      <c r="D16" s="20"/>
      <c r="E16" s="20"/>
      <c r="F16" s="20"/>
      <c r="G16" s="20">
        <f>-Calculations!AS19</f>
        <v>0</v>
      </c>
      <c r="H16" s="20">
        <f>-Calculations!AT19</f>
        <v>0</v>
      </c>
      <c r="I16" s="20">
        <f>-Calculations!AU19</f>
        <v>0</v>
      </c>
      <c r="J16" s="20">
        <f>-Calculations!AV19</f>
        <v>0</v>
      </c>
      <c r="K16" s="20">
        <f>-Calculations!AW19</f>
        <v>0</v>
      </c>
      <c r="L16" s="20">
        <f>-Calculations!AX19</f>
        <v>0</v>
      </c>
      <c r="M16" s="20">
        <f>-Calculations!AY19</f>
        <v>0</v>
      </c>
      <c r="N16" s="20">
        <f>-Calculations!AZ19</f>
        <v>0</v>
      </c>
      <c r="O16" s="20">
        <f>-Calculations!BA19</f>
        <v>0</v>
      </c>
      <c r="P16" s="20">
        <f>-Calculations!BB19</f>
        <v>0</v>
      </c>
      <c r="Q16" s="20">
        <f>-Calculations!BC19</f>
        <v>0</v>
      </c>
      <c r="R16" s="20">
        <f>-Calculations!BD19</f>
        <v>0</v>
      </c>
      <c r="S16" s="20">
        <f>-Calculations!BE19</f>
        <v>0</v>
      </c>
      <c r="T16" s="20">
        <f>-Calculations!BF19</f>
        <v>0</v>
      </c>
      <c r="U16" s="218">
        <f>-Calculations!BG19</f>
        <v>20449502.949999999</v>
      </c>
      <c r="V16" s="20"/>
      <c r="W16" s="20"/>
      <c r="X16" s="20"/>
      <c r="Y16" s="20"/>
      <c r="Z16" s="20"/>
      <c r="AA16" s="20"/>
      <c r="AB16" s="20"/>
      <c r="AC16" s="20"/>
      <c r="AD16" s="20"/>
      <c r="AE16" s="20"/>
      <c r="AF16" s="20"/>
      <c r="AG16" s="20"/>
    </row>
    <row r="17" spans="1:33">
      <c r="A17" s="69">
        <f t="shared" si="1"/>
        <v>13</v>
      </c>
      <c r="B17" s="10" t="s">
        <v>309</v>
      </c>
      <c r="C17" t="s">
        <v>311</v>
      </c>
      <c r="D17" s="20"/>
      <c r="E17" s="20"/>
      <c r="F17" s="20"/>
      <c r="G17" s="20">
        <f>-Calculations!AS20</f>
        <v>0</v>
      </c>
      <c r="H17" s="20">
        <f>-Calculations!AT20</f>
        <v>0</v>
      </c>
      <c r="I17" s="20">
        <f>-Calculations!AU20</f>
        <v>0</v>
      </c>
      <c r="J17" s="20">
        <f>-Calculations!AV20</f>
        <v>0</v>
      </c>
      <c r="K17" s="20">
        <f>-Calculations!AW20</f>
        <v>0</v>
      </c>
      <c r="L17" s="20">
        <f>-Calculations!AX20</f>
        <v>0</v>
      </c>
      <c r="M17" s="20">
        <f>-Calculations!AY20</f>
        <v>0</v>
      </c>
      <c r="N17" s="20">
        <f>-Calculations!AZ20</f>
        <v>0</v>
      </c>
      <c r="O17" s="20">
        <f>-Calculations!BA20</f>
        <v>0</v>
      </c>
      <c r="P17" s="20">
        <f>-Calculations!BB20</f>
        <v>0</v>
      </c>
      <c r="Q17" s="20">
        <f>-Calculations!BC20</f>
        <v>0</v>
      </c>
      <c r="R17" s="20">
        <f>-Calculations!BD20</f>
        <v>0</v>
      </c>
      <c r="S17" s="20">
        <f>-Calculations!BE20</f>
        <v>0</v>
      </c>
      <c r="T17" s="20">
        <f>-Calculations!BF20</f>
        <v>207640.65</v>
      </c>
      <c r="U17" s="20">
        <f>-Calculations!BG20</f>
        <v>0</v>
      </c>
      <c r="V17" s="20"/>
      <c r="W17" s="20"/>
      <c r="X17" s="20"/>
      <c r="Y17" s="20"/>
      <c r="Z17" s="20"/>
      <c r="AA17" s="20"/>
      <c r="AB17" s="20"/>
      <c r="AC17" s="20"/>
      <c r="AD17" s="20"/>
      <c r="AE17" s="20"/>
      <c r="AF17" s="20"/>
      <c r="AG17" s="20"/>
    </row>
    <row r="18" spans="1:33">
      <c r="A18" s="69">
        <f t="shared" si="1"/>
        <v>14</v>
      </c>
      <c r="C18" s="2" t="s">
        <v>148</v>
      </c>
      <c r="D18" s="20"/>
      <c r="E18" s="20"/>
      <c r="F18" s="20"/>
      <c r="G18" s="20"/>
      <c r="H18" s="20"/>
      <c r="I18" s="20"/>
      <c r="J18" s="20"/>
      <c r="K18" s="20"/>
      <c r="L18" s="20"/>
      <c r="M18" s="20"/>
      <c r="N18" s="20"/>
      <c r="O18" s="20"/>
      <c r="P18" s="20"/>
      <c r="Q18" s="218">
        <v>-352690.22</v>
      </c>
      <c r="R18" s="20"/>
      <c r="S18" s="20"/>
      <c r="T18" s="20"/>
      <c r="U18" s="20"/>
      <c r="V18" s="20"/>
      <c r="W18" s="20"/>
      <c r="X18" s="20"/>
      <c r="Y18" s="20"/>
      <c r="Z18" s="20"/>
      <c r="AA18" s="20"/>
      <c r="AB18" s="20"/>
      <c r="AC18" s="20"/>
      <c r="AD18" s="20"/>
      <c r="AE18" s="20"/>
      <c r="AF18" s="20"/>
      <c r="AG18" s="20"/>
    </row>
    <row r="19" spans="1:33">
      <c r="A19" s="69">
        <f t="shared" si="1"/>
        <v>15</v>
      </c>
      <c r="C19" s="2" t="s">
        <v>149</v>
      </c>
      <c r="D19" s="20"/>
      <c r="E19" s="20"/>
      <c r="F19" s="20"/>
      <c r="G19" s="20"/>
      <c r="H19" s="20"/>
      <c r="I19" s="20"/>
      <c r="J19" s="20"/>
      <c r="K19" s="20"/>
      <c r="L19" s="20"/>
      <c r="M19" s="20"/>
      <c r="N19" s="20"/>
      <c r="O19" s="20"/>
      <c r="P19" s="20"/>
      <c r="Q19" s="218">
        <v>-762863.21</v>
      </c>
      <c r="R19" s="20"/>
      <c r="S19" s="20"/>
      <c r="T19" s="20"/>
      <c r="U19" s="20"/>
      <c r="V19" s="20"/>
      <c r="W19" s="20"/>
      <c r="X19" s="20"/>
      <c r="Y19" s="20"/>
      <c r="Z19" s="20"/>
      <c r="AA19" s="20"/>
      <c r="AB19" s="20"/>
      <c r="AC19" s="20"/>
      <c r="AD19" s="20"/>
      <c r="AE19" s="20"/>
      <c r="AF19" s="20"/>
      <c r="AG19" s="20"/>
    </row>
    <row r="20" spans="1:33">
      <c r="A20" s="69">
        <f t="shared" si="1"/>
        <v>16</v>
      </c>
      <c r="C20" s="2" t="s">
        <v>150</v>
      </c>
      <c r="D20" s="20"/>
      <c r="E20" s="20"/>
      <c r="F20" s="20"/>
      <c r="G20" s="20"/>
      <c r="H20" s="20"/>
      <c r="I20" s="20"/>
      <c r="J20" s="20"/>
      <c r="K20" s="20"/>
      <c r="L20" s="20"/>
      <c r="M20" s="20"/>
      <c r="N20" s="20"/>
      <c r="O20" s="20"/>
      <c r="P20" s="20"/>
      <c r="Q20" s="218">
        <v>-154639.31</v>
      </c>
      <c r="R20" s="20"/>
      <c r="S20" s="20"/>
      <c r="T20" s="20"/>
      <c r="U20" s="20"/>
      <c r="V20" s="20"/>
      <c r="W20" s="20"/>
      <c r="X20" s="20"/>
      <c r="Y20" s="20"/>
      <c r="Z20" s="20"/>
      <c r="AA20" s="20"/>
      <c r="AB20" s="20"/>
      <c r="AC20" s="20"/>
      <c r="AD20" s="20"/>
      <c r="AE20" s="20"/>
      <c r="AF20" s="20"/>
      <c r="AG20" s="20"/>
    </row>
    <row r="21" spans="1:33">
      <c r="A21" s="69">
        <f t="shared" si="1"/>
        <v>17</v>
      </c>
      <c r="C21" s="217" t="s">
        <v>325</v>
      </c>
      <c r="D21" s="20"/>
      <c r="E21" s="20"/>
      <c r="F21" s="20"/>
      <c r="G21" s="20"/>
      <c r="H21" s="20">
        <v>-651869</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row>
    <row r="22" spans="1:33">
      <c r="A22" s="69">
        <f t="shared" si="1"/>
        <v>18</v>
      </c>
      <c r="C22" s="217" t="s">
        <v>324</v>
      </c>
      <c r="D22" s="20"/>
      <c r="E22" s="20"/>
      <c r="F22" s="20"/>
      <c r="G22" s="20"/>
      <c r="H22" s="20"/>
      <c r="I22" s="20"/>
      <c r="J22" s="20"/>
      <c r="K22" s="20"/>
      <c r="L22" s="20"/>
      <c r="M22" s="20"/>
      <c r="N22" s="20"/>
      <c r="O22" s="20"/>
      <c r="P22" s="20"/>
      <c r="Q22" s="20"/>
      <c r="R22" s="20"/>
      <c r="S22" s="20"/>
      <c r="T22" s="20"/>
      <c r="U22" s="218">
        <v>-464004.12</v>
      </c>
      <c r="V22" s="20"/>
      <c r="W22" s="20"/>
      <c r="X22" s="20"/>
      <c r="Y22" s="20"/>
      <c r="Z22" s="20"/>
      <c r="AA22" s="20"/>
      <c r="AB22" s="20"/>
      <c r="AC22" s="20"/>
      <c r="AD22" s="20"/>
      <c r="AE22" s="20"/>
      <c r="AF22" s="20"/>
      <c r="AG22" s="20"/>
    </row>
    <row r="23" spans="1:33" ht="13.5" thickBot="1">
      <c r="A23" s="69">
        <f t="shared" si="1"/>
        <v>19</v>
      </c>
      <c r="C23" s="3" t="s">
        <v>129</v>
      </c>
      <c r="D23" s="52">
        <f t="shared" ref="D23:P23" si="2">SUM(D5:D22)</f>
        <v>10750282.300000001</v>
      </c>
      <c r="E23" s="52">
        <f t="shared" si="2"/>
        <v>0</v>
      </c>
      <c r="F23" s="52">
        <f t="shared" si="2"/>
        <v>383381</v>
      </c>
      <c r="G23" s="52">
        <f t="shared" si="2"/>
        <v>4579607.57</v>
      </c>
      <c r="H23" s="52">
        <f t="shared" si="2"/>
        <v>19719894.529999997</v>
      </c>
      <c r="I23" s="52">
        <f t="shared" si="2"/>
        <v>54606.11</v>
      </c>
      <c r="J23" s="52">
        <f t="shared" si="2"/>
        <v>-49598.2</v>
      </c>
      <c r="K23" s="52">
        <f t="shared" si="2"/>
        <v>0</v>
      </c>
      <c r="L23" s="52">
        <f t="shared" si="2"/>
        <v>167105.60000000001</v>
      </c>
      <c r="M23" s="52">
        <f t="shared" si="2"/>
        <v>1256.4500000000003</v>
      </c>
      <c r="N23" s="52">
        <f t="shared" si="2"/>
        <v>909649.35</v>
      </c>
      <c r="O23" s="52">
        <f t="shared" si="2"/>
        <v>-85401.47</v>
      </c>
      <c r="P23" s="52">
        <f t="shared" si="2"/>
        <v>2464964.9200000004</v>
      </c>
      <c r="Q23" s="52">
        <f>SUM(Q5:Q22)</f>
        <v>29623073.130000003</v>
      </c>
      <c r="R23" s="52">
        <f t="shared" ref="R23:U23" si="3">SUM(R5:R22)</f>
        <v>928339.97</v>
      </c>
      <c r="S23" s="52">
        <f t="shared" si="3"/>
        <v>-90949.73</v>
      </c>
      <c r="T23" s="52">
        <f t="shared" si="3"/>
        <v>1561224.3499999999</v>
      </c>
      <c r="U23" s="52">
        <f t="shared" si="3"/>
        <v>19985498.829999998</v>
      </c>
      <c r="V23" s="52">
        <f t="shared" ref="V23:AG23" si="4">SUM(V5:V21)</f>
        <v>0</v>
      </c>
      <c r="W23" s="52">
        <f t="shared" si="4"/>
        <v>0</v>
      </c>
      <c r="X23" s="52">
        <f t="shared" si="4"/>
        <v>0</v>
      </c>
      <c r="Y23" s="52">
        <f t="shared" si="4"/>
        <v>0</v>
      </c>
      <c r="Z23" s="52">
        <f t="shared" si="4"/>
        <v>0</v>
      </c>
      <c r="AA23" s="52">
        <f t="shared" si="4"/>
        <v>0</v>
      </c>
      <c r="AB23" s="52">
        <f t="shared" si="4"/>
        <v>0</v>
      </c>
      <c r="AC23" s="52">
        <f t="shared" si="4"/>
        <v>0</v>
      </c>
      <c r="AD23" s="52">
        <f t="shared" si="4"/>
        <v>0</v>
      </c>
      <c r="AE23" s="52">
        <f t="shared" si="4"/>
        <v>0</v>
      </c>
      <c r="AF23" s="52">
        <f t="shared" si="4"/>
        <v>0</v>
      </c>
      <c r="AG23" s="52">
        <f t="shared" si="4"/>
        <v>0</v>
      </c>
    </row>
    <row r="24" spans="1:33" ht="13.5" thickTop="1">
      <c r="A24" s="69">
        <f t="shared" si="1"/>
        <v>20</v>
      </c>
      <c r="C24" s="217" t="s">
        <v>298</v>
      </c>
      <c r="H24" s="20">
        <v>-18718.990000000002</v>
      </c>
      <c r="Q24" s="20">
        <v>-109249.52</v>
      </c>
      <c r="R24" s="20"/>
      <c r="S24" s="20"/>
      <c r="T24" s="20"/>
      <c r="U24" s="20"/>
    </row>
    <row r="25" spans="1:33">
      <c r="A25" s="69">
        <f t="shared" si="1"/>
        <v>21</v>
      </c>
      <c r="C25" s="2" t="s">
        <v>130</v>
      </c>
      <c r="D25" s="20">
        <v>-10100000</v>
      </c>
    </row>
    <row r="26" spans="1:33">
      <c r="A26" s="69">
        <f t="shared" si="1"/>
        <v>22</v>
      </c>
      <c r="C26" s="2" t="s">
        <v>131</v>
      </c>
      <c r="D26" s="20">
        <f>SUM(D25,D23)</f>
        <v>650282.30000000075</v>
      </c>
    </row>
    <row r="28" spans="1:33">
      <c r="A28" s="69">
        <f>A26+1</f>
        <v>23</v>
      </c>
      <c r="C28" s="2" t="s">
        <v>132</v>
      </c>
      <c r="D28" s="1">
        <f>D23</f>
        <v>10750282.300000001</v>
      </c>
      <c r="E28" s="1">
        <f>D28+E23</f>
        <v>10750282.300000001</v>
      </c>
      <c r="F28" s="1">
        <f t="shared" ref="F28:AG28" si="5">E28+F23</f>
        <v>11133663.300000001</v>
      </c>
      <c r="G28" s="1">
        <f t="shared" si="5"/>
        <v>15713270.870000001</v>
      </c>
      <c r="H28" s="1">
        <f t="shared" si="5"/>
        <v>35433165.399999999</v>
      </c>
      <c r="I28" s="1">
        <f t="shared" si="5"/>
        <v>35487771.509999998</v>
      </c>
      <c r="J28" s="1">
        <f t="shared" si="5"/>
        <v>35438173.309999995</v>
      </c>
      <c r="K28" s="1">
        <f t="shared" si="5"/>
        <v>35438173.309999995</v>
      </c>
      <c r="L28" s="1">
        <f t="shared" si="5"/>
        <v>35605278.909999996</v>
      </c>
      <c r="M28" s="1">
        <f t="shared" si="5"/>
        <v>35606535.359999999</v>
      </c>
      <c r="N28" s="1">
        <f t="shared" si="5"/>
        <v>36516184.710000001</v>
      </c>
      <c r="O28" s="1">
        <f t="shared" si="5"/>
        <v>36430783.240000002</v>
      </c>
      <c r="P28" s="1">
        <f t="shared" si="5"/>
        <v>38895748.160000004</v>
      </c>
      <c r="Q28" s="1">
        <f t="shared" si="5"/>
        <v>68518821.290000007</v>
      </c>
      <c r="R28" s="1">
        <f t="shared" si="5"/>
        <v>69447161.260000005</v>
      </c>
      <c r="S28" s="1">
        <f t="shared" si="5"/>
        <v>69356211.530000001</v>
      </c>
      <c r="T28" s="1">
        <f t="shared" si="5"/>
        <v>70917435.879999995</v>
      </c>
      <c r="U28" s="1">
        <f t="shared" si="5"/>
        <v>90902934.709999993</v>
      </c>
      <c r="V28" s="1">
        <f t="shared" si="5"/>
        <v>90902934.709999993</v>
      </c>
      <c r="W28" s="1">
        <f t="shared" si="5"/>
        <v>90902934.709999993</v>
      </c>
      <c r="X28" s="1">
        <f t="shared" si="5"/>
        <v>90902934.709999993</v>
      </c>
      <c r="Y28" s="1">
        <f t="shared" si="5"/>
        <v>90902934.709999993</v>
      </c>
      <c r="Z28" s="1">
        <f t="shared" si="5"/>
        <v>90902934.709999993</v>
      </c>
      <c r="AA28" s="1">
        <f t="shared" si="5"/>
        <v>90902934.709999993</v>
      </c>
      <c r="AB28" s="1">
        <f t="shared" si="5"/>
        <v>90902934.709999993</v>
      </c>
      <c r="AC28" s="1">
        <f t="shared" si="5"/>
        <v>90902934.709999993</v>
      </c>
      <c r="AD28" s="1">
        <f t="shared" si="5"/>
        <v>90902934.709999993</v>
      </c>
      <c r="AE28" s="1">
        <f t="shared" si="5"/>
        <v>90902934.709999993</v>
      </c>
      <c r="AF28" s="1">
        <f t="shared" si="5"/>
        <v>90902934.709999993</v>
      </c>
      <c r="AG28" s="1">
        <f t="shared" si="5"/>
        <v>90902934.709999993</v>
      </c>
    </row>
    <row r="29" spans="1:33">
      <c r="A29" s="69">
        <f>A28+1</f>
        <v>24</v>
      </c>
      <c r="C29" s="2" t="s">
        <v>133</v>
      </c>
      <c r="D29" s="1">
        <f>D26</f>
        <v>650282.30000000075</v>
      </c>
      <c r="E29" s="1">
        <f>D29+E23</f>
        <v>650282.30000000075</v>
      </c>
      <c r="F29" s="1">
        <f t="shared" ref="F29:AG29" si="6">E29+F23</f>
        <v>1033663.3000000007</v>
      </c>
      <c r="G29" s="1">
        <f t="shared" si="6"/>
        <v>5613270.870000001</v>
      </c>
      <c r="H29" s="1">
        <f t="shared" si="6"/>
        <v>25333165.399999999</v>
      </c>
      <c r="I29" s="1">
        <f t="shared" si="6"/>
        <v>25387771.509999998</v>
      </c>
      <c r="J29" s="1">
        <f t="shared" si="6"/>
        <v>25338173.309999999</v>
      </c>
      <c r="K29" s="1">
        <f t="shared" si="6"/>
        <v>25338173.309999999</v>
      </c>
      <c r="L29" s="1">
        <f t="shared" si="6"/>
        <v>25505278.91</v>
      </c>
      <c r="M29" s="1">
        <f t="shared" si="6"/>
        <v>25506535.359999999</v>
      </c>
      <c r="N29" s="1">
        <f t="shared" si="6"/>
        <v>26416184.710000001</v>
      </c>
      <c r="O29" s="1">
        <f t="shared" si="6"/>
        <v>26330783.240000002</v>
      </c>
      <c r="P29" s="1">
        <f t="shared" si="6"/>
        <v>28795748.160000004</v>
      </c>
      <c r="Q29" s="1">
        <f t="shared" si="6"/>
        <v>58418821.290000007</v>
      </c>
      <c r="R29" s="1">
        <f t="shared" si="6"/>
        <v>59347161.260000005</v>
      </c>
      <c r="S29" s="1">
        <f t="shared" si="6"/>
        <v>59256211.530000009</v>
      </c>
      <c r="T29" s="1">
        <f t="shared" si="6"/>
        <v>60817435.88000001</v>
      </c>
      <c r="U29" s="1">
        <f t="shared" si="6"/>
        <v>80802934.710000008</v>
      </c>
      <c r="V29" s="1">
        <f t="shared" si="6"/>
        <v>80802934.710000008</v>
      </c>
      <c r="W29" s="1">
        <f t="shared" si="6"/>
        <v>80802934.710000008</v>
      </c>
      <c r="X29" s="1">
        <f t="shared" si="6"/>
        <v>80802934.710000008</v>
      </c>
      <c r="Y29" s="1">
        <f t="shared" si="6"/>
        <v>80802934.710000008</v>
      </c>
      <c r="Z29" s="1">
        <f t="shared" si="6"/>
        <v>80802934.710000008</v>
      </c>
      <c r="AA29" s="1">
        <f t="shared" si="6"/>
        <v>80802934.710000008</v>
      </c>
      <c r="AB29" s="1">
        <f t="shared" si="6"/>
        <v>80802934.710000008</v>
      </c>
      <c r="AC29" s="1">
        <f t="shared" si="6"/>
        <v>80802934.710000008</v>
      </c>
      <c r="AD29" s="1">
        <f t="shared" si="6"/>
        <v>80802934.710000008</v>
      </c>
      <c r="AE29" s="1">
        <f t="shared" si="6"/>
        <v>80802934.710000008</v>
      </c>
      <c r="AF29" s="1">
        <f t="shared" si="6"/>
        <v>80802934.710000008</v>
      </c>
      <c r="AG29" s="1">
        <f t="shared" si="6"/>
        <v>80802934.710000008</v>
      </c>
    </row>
    <row r="30" spans="1:33">
      <c r="A30" s="69">
        <f t="shared" ref="A30:A41" si="7">A29+1</f>
        <v>25</v>
      </c>
      <c r="C30" s="2" t="s">
        <v>134</v>
      </c>
      <c r="D30" s="25">
        <f t="shared" ref="D30:AG30" si="8">0.021/12</f>
        <v>1.75E-3</v>
      </c>
      <c r="E30" s="25">
        <f t="shared" si="8"/>
        <v>1.75E-3</v>
      </c>
      <c r="F30" s="25">
        <f t="shared" si="8"/>
        <v>1.75E-3</v>
      </c>
      <c r="G30" s="25">
        <f t="shared" si="8"/>
        <v>1.75E-3</v>
      </c>
      <c r="H30" s="25">
        <f t="shared" si="8"/>
        <v>1.75E-3</v>
      </c>
      <c r="I30" s="25">
        <f t="shared" si="8"/>
        <v>1.75E-3</v>
      </c>
      <c r="J30" s="25">
        <f t="shared" si="8"/>
        <v>1.75E-3</v>
      </c>
      <c r="K30" s="25">
        <f t="shared" si="8"/>
        <v>1.75E-3</v>
      </c>
      <c r="L30" s="25">
        <f t="shared" si="8"/>
        <v>1.75E-3</v>
      </c>
      <c r="M30" s="25">
        <f t="shared" si="8"/>
        <v>1.75E-3</v>
      </c>
      <c r="N30" s="25">
        <f t="shared" si="8"/>
        <v>1.75E-3</v>
      </c>
      <c r="O30" s="25">
        <f t="shared" si="8"/>
        <v>1.75E-3</v>
      </c>
      <c r="P30" s="25">
        <f t="shared" si="8"/>
        <v>1.75E-3</v>
      </c>
      <c r="Q30" s="25">
        <f t="shared" si="8"/>
        <v>1.75E-3</v>
      </c>
      <c r="R30" s="25">
        <f t="shared" si="8"/>
        <v>1.75E-3</v>
      </c>
      <c r="S30" s="25">
        <f t="shared" si="8"/>
        <v>1.75E-3</v>
      </c>
      <c r="T30" s="25">
        <f t="shared" si="8"/>
        <v>1.75E-3</v>
      </c>
      <c r="U30" s="25">
        <f t="shared" si="8"/>
        <v>1.75E-3</v>
      </c>
      <c r="V30" s="25">
        <f t="shared" si="8"/>
        <v>1.75E-3</v>
      </c>
      <c r="W30" s="25">
        <f t="shared" si="8"/>
        <v>1.75E-3</v>
      </c>
      <c r="X30" s="25">
        <f t="shared" si="8"/>
        <v>1.75E-3</v>
      </c>
      <c r="Y30" s="25">
        <f t="shared" si="8"/>
        <v>1.75E-3</v>
      </c>
      <c r="Z30" s="25">
        <f t="shared" si="8"/>
        <v>1.75E-3</v>
      </c>
      <c r="AA30" s="25">
        <f t="shared" si="8"/>
        <v>1.75E-3</v>
      </c>
      <c r="AB30" s="25">
        <f t="shared" si="8"/>
        <v>1.75E-3</v>
      </c>
      <c r="AC30" s="25">
        <f t="shared" si="8"/>
        <v>1.75E-3</v>
      </c>
      <c r="AD30" s="25">
        <f t="shared" si="8"/>
        <v>1.75E-3</v>
      </c>
      <c r="AE30" s="25">
        <f t="shared" si="8"/>
        <v>1.75E-3</v>
      </c>
      <c r="AF30" s="25">
        <f t="shared" si="8"/>
        <v>1.75E-3</v>
      </c>
      <c r="AG30" s="25">
        <f t="shared" si="8"/>
        <v>1.75E-3</v>
      </c>
    </row>
    <row r="31" spans="1:33">
      <c r="A31" s="69">
        <f t="shared" si="7"/>
        <v>26</v>
      </c>
      <c r="C31" s="2" t="s">
        <v>135</v>
      </c>
      <c r="D31" s="44">
        <f>D29*D30</f>
        <v>1137.9940250000013</v>
      </c>
      <c r="E31" s="44">
        <f t="shared" ref="E31:AG31" si="9">E29*E30</f>
        <v>1137.9940250000013</v>
      </c>
      <c r="F31" s="44">
        <f t="shared" si="9"/>
        <v>1808.9107750000014</v>
      </c>
      <c r="G31" s="44">
        <f t="shared" si="9"/>
        <v>9823.2240225000023</v>
      </c>
      <c r="H31" s="44">
        <f>H29*H30</f>
        <v>44333.039449999997</v>
      </c>
      <c r="I31" s="44">
        <f t="shared" si="9"/>
        <v>44428.600142499999</v>
      </c>
      <c r="J31" s="44">
        <f t="shared" si="9"/>
        <v>44341.803292500001</v>
      </c>
      <c r="K31" s="44">
        <f t="shared" si="9"/>
        <v>44341.803292500001</v>
      </c>
      <c r="L31" s="44">
        <f t="shared" si="9"/>
        <v>44634.238092500003</v>
      </c>
      <c r="M31" s="44">
        <f t="shared" si="9"/>
        <v>44636.436880000001</v>
      </c>
      <c r="N31" s="44">
        <f t="shared" si="9"/>
        <v>46228.323242500002</v>
      </c>
      <c r="O31" s="44">
        <f t="shared" si="9"/>
        <v>46078.870670000004</v>
      </c>
      <c r="P31" s="44">
        <f t="shared" si="9"/>
        <v>50392.559280000009</v>
      </c>
      <c r="Q31" s="44">
        <f>Q29*Q30</f>
        <v>102232.93725750002</v>
      </c>
      <c r="R31" s="44">
        <f t="shared" si="9"/>
        <v>103857.53220500001</v>
      </c>
      <c r="S31" s="44">
        <f t="shared" si="9"/>
        <v>103698.37017750002</v>
      </c>
      <c r="T31" s="44">
        <f t="shared" si="9"/>
        <v>106430.51279000002</v>
      </c>
      <c r="U31" s="44">
        <f t="shared" si="9"/>
        <v>141405.13574250002</v>
      </c>
      <c r="V31" s="44">
        <f t="shared" si="9"/>
        <v>141405.13574250002</v>
      </c>
      <c r="W31" s="44">
        <f t="shared" si="9"/>
        <v>141405.13574250002</v>
      </c>
      <c r="X31" s="44">
        <f t="shared" si="9"/>
        <v>141405.13574250002</v>
      </c>
      <c r="Y31" s="44">
        <f t="shared" si="9"/>
        <v>141405.13574250002</v>
      </c>
      <c r="Z31" s="44">
        <f t="shared" si="9"/>
        <v>141405.13574250002</v>
      </c>
      <c r="AA31" s="44">
        <f t="shared" si="9"/>
        <v>141405.13574250002</v>
      </c>
      <c r="AB31" s="44">
        <f t="shared" si="9"/>
        <v>141405.13574250002</v>
      </c>
      <c r="AC31" s="44">
        <f t="shared" si="9"/>
        <v>141405.13574250002</v>
      </c>
      <c r="AD31" s="44">
        <f t="shared" si="9"/>
        <v>141405.13574250002</v>
      </c>
      <c r="AE31" s="44">
        <f t="shared" si="9"/>
        <v>141405.13574250002</v>
      </c>
      <c r="AF31" s="44">
        <f t="shared" si="9"/>
        <v>141405.13574250002</v>
      </c>
      <c r="AG31" s="44">
        <f t="shared" si="9"/>
        <v>141405.13574250002</v>
      </c>
    </row>
    <row r="32" spans="1:33">
      <c r="A32" s="69">
        <f t="shared" si="7"/>
        <v>27</v>
      </c>
      <c r="C32" s="2" t="s">
        <v>274</v>
      </c>
      <c r="D32" s="1">
        <f>Calculations!H59</f>
        <v>1287254.1387708341</v>
      </c>
      <c r="E32" s="1">
        <f>Calculations!I59</f>
        <v>1287254.1387708341</v>
      </c>
      <c r="F32" s="1">
        <f>Calculations!J59</f>
        <v>1287254.1387708341</v>
      </c>
      <c r="G32" s="1">
        <f>Calculations!K59</f>
        <v>1287254.1387708341</v>
      </c>
      <c r="H32" s="1">
        <f>Calculations!L59</f>
        <v>1287254.1387708341</v>
      </c>
      <c r="I32" s="1">
        <f>Calculations!M59</f>
        <v>1287254.1387708341</v>
      </c>
      <c r="J32" s="1">
        <f>Calculations!N59</f>
        <v>4740523.2349069165</v>
      </c>
      <c r="K32" s="1">
        <f>Calculations!O59</f>
        <v>4740523.2349069165</v>
      </c>
      <c r="L32" s="1">
        <f>Calculations!P59</f>
        <v>4740523.2349069165</v>
      </c>
      <c r="M32" s="1">
        <f>Calculations!Q59</f>
        <v>4740523.2349069165</v>
      </c>
      <c r="N32" s="1">
        <f>Calculations!R59</f>
        <v>4740523.2349069165</v>
      </c>
      <c r="O32" s="1">
        <f>Calculations!S59</f>
        <v>4740523.2349069165</v>
      </c>
      <c r="P32" s="1">
        <f>Calculations!T59</f>
        <v>4740523.2349069165</v>
      </c>
      <c r="Q32" s="1">
        <f>Calculations!U59</f>
        <v>4740523.2349069165</v>
      </c>
      <c r="R32" s="1">
        <f>Calculations!V59</f>
        <v>4740523.2349069165</v>
      </c>
      <c r="S32" s="1">
        <f>Calculations!W59</f>
        <v>4740523.2349069165</v>
      </c>
      <c r="T32" s="1">
        <f>Calculations!X59</f>
        <v>4740523.2349069165</v>
      </c>
      <c r="U32" s="1">
        <f>Calculations!Y59</f>
        <v>4740523.2349069165</v>
      </c>
      <c r="V32" s="1">
        <f>Calculations!Z59</f>
        <v>87804.265676166615</v>
      </c>
      <c r="W32" s="1">
        <f>Calculations!AA59</f>
        <v>87804.265676166615</v>
      </c>
      <c r="X32" s="1">
        <f>Calculations!AB59</f>
        <v>87804.265676166615</v>
      </c>
      <c r="Y32" s="1">
        <f>Calculations!AC59</f>
        <v>87804.265676166615</v>
      </c>
      <c r="Z32" s="1">
        <f>Calculations!AD59</f>
        <v>87804.265676166615</v>
      </c>
      <c r="AA32" s="1">
        <f>Calculations!AE59</f>
        <v>87804.265676166615</v>
      </c>
      <c r="AB32" s="1">
        <f>Calculations!AF59</f>
        <v>87804.265676166615</v>
      </c>
      <c r="AC32" s="1">
        <f>Calculations!AG59</f>
        <v>87804.265676166615</v>
      </c>
      <c r="AD32" s="1">
        <f>Calculations!AH59</f>
        <v>87804.265676166615</v>
      </c>
      <c r="AE32" s="1">
        <f>Calculations!AI59</f>
        <v>87804.265676166615</v>
      </c>
      <c r="AF32" s="1">
        <f>Calculations!AJ59</f>
        <v>87804.265676166615</v>
      </c>
      <c r="AG32" s="1">
        <f>Calculations!AK59</f>
        <v>87804.265676166615</v>
      </c>
    </row>
    <row r="33" spans="1:33">
      <c r="A33" s="69">
        <f t="shared" si="7"/>
        <v>28</v>
      </c>
      <c r="C33" s="2" t="s">
        <v>151</v>
      </c>
      <c r="D33" s="1">
        <f>D31-D32</f>
        <v>-1286116.1447458342</v>
      </c>
      <c r="E33" s="1">
        <f t="shared" ref="E33:S33" si="10">E31-E32</f>
        <v>-1286116.1447458342</v>
      </c>
      <c r="F33" s="1">
        <f t="shared" si="10"/>
        <v>-1285445.2279958341</v>
      </c>
      <c r="G33" s="1">
        <f t="shared" si="10"/>
        <v>-1277430.9147483341</v>
      </c>
      <c r="H33" s="1">
        <f t="shared" si="10"/>
        <v>-1242921.099320834</v>
      </c>
      <c r="I33" s="1">
        <f t="shared" si="10"/>
        <v>-1242825.5386283342</v>
      </c>
      <c r="J33" s="1">
        <f t="shared" si="10"/>
        <v>-4696181.4316144167</v>
      </c>
      <c r="K33" s="1">
        <f t="shared" si="10"/>
        <v>-4696181.4316144167</v>
      </c>
      <c r="L33" s="1">
        <f t="shared" si="10"/>
        <v>-4695888.9968144167</v>
      </c>
      <c r="M33" s="1">
        <f t="shared" si="10"/>
        <v>-4695886.7980269166</v>
      </c>
      <c r="N33" s="1">
        <f t="shared" si="10"/>
        <v>-4694294.9116644161</v>
      </c>
      <c r="O33" s="1">
        <f t="shared" si="10"/>
        <v>-4694444.3642369164</v>
      </c>
      <c r="P33" s="1">
        <f t="shared" si="10"/>
        <v>-4690130.6756269168</v>
      </c>
      <c r="Q33" s="1">
        <f t="shared" si="10"/>
        <v>-4638290.2976494161</v>
      </c>
      <c r="R33" s="1">
        <f t="shared" si="10"/>
        <v>-4636665.7027019169</v>
      </c>
      <c r="S33" s="1">
        <f t="shared" si="10"/>
        <v>-4636824.8647294166</v>
      </c>
      <c r="T33" s="1">
        <f>T31-T32</f>
        <v>-4634092.7221169164</v>
      </c>
      <c r="U33" s="1">
        <f t="shared" ref="U33" si="11">U31-U32</f>
        <v>-4599118.0991644161</v>
      </c>
      <c r="V33" s="1">
        <f t="shared" ref="V33" si="12">V31-V32</f>
        <v>53600.870066333402</v>
      </c>
      <c r="W33" s="1">
        <f t="shared" ref="W33" si="13">W31-W32</f>
        <v>53600.870066333402</v>
      </c>
      <c r="X33" s="1">
        <f t="shared" ref="X33" si="14">X31-X32</f>
        <v>53600.870066333402</v>
      </c>
      <c r="Y33" s="1">
        <f t="shared" ref="Y33" si="15">Y31-Y32</f>
        <v>53600.870066333402</v>
      </c>
      <c r="Z33" s="1">
        <f t="shared" ref="Z33" si="16">Z31-Z32</f>
        <v>53600.870066333402</v>
      </c>
      <c r="AA33" s="1">
        <f t="shared" ref="AA33" si="17">AA31-AA32</f>
        <v>53600.870066333402</v>
      </c>
      <c r="AB33" s="1">
        <f t="shared" ref="AB33" si="18">AB31-AB32</f>
        <v>53600.870066333402</v>
      </c>
      <c r="AC33" s="1">
        <f t="shared" ref="AC33" si="19">AC31-AC32</f>
        <v>53600.870066333402</v>
      </c>
      <c r="AD33" s="1">
        <f t="shared" ref="AD33" si="20">AD31-AD32</f>
        <v>53600.870066333402</v>
      </c>
      <c r="AE33" s="1">
        <f t="shared" ref="AE33" si="21">AE31-AE32</f>
        <v>53600.870066333402</v>
      </c>
      <c r="AF33" s="1">
        <f t="shared" ref="AF33" si="22">AF31-AF32</f>
        <v>53600.870066333402</v>
      </c>
      <c r="AG33" s="1">
        <f t="shared" ref="AG33" si="23">AG31-AG32</f>
        <v>53600.870066333402</v>
      </c>
    </row>
    <row r="34" spans="1:33">
      <c r="A34" s="69">
        <f t="shared" si="7"/>
        <v>29</v>
      </c>
      <c r="C34" s="2" t="s">
        <v>275</v>
      </c>
      <c r="D34" s="1">
        <f t="shared" ref="D34:AG34" si="24">D33*0.38</f>
        <v>-488724.13500341697</v>
      </c>
      <c r="E34" s="1">
        <f t="shared" si="24"/>
        <v>-488724.13500341697</v>
      </c>
      <c r="F34" s="1">
        <f t="shared" si="24"/>
        <v>-488469.18663841696</v>
      </c>
      <c r="G34" s="1">
        <f t="shared" si="24"/>
        <v>-485423.74760436697</v>
      </c>
      <c r="H34" s="1">
        <f t="shared" si="24"/>
        <v>-472310.01774191693</v>
      </c>
      <c r="I34" s="1">
        <f t="shared" si="24"/>
        <v>-472273.70467876701</v>
      </c>
      <c r="J34" s="1">
        <f t="shared" si="24"/>
        <v>-1784548.9440134782</v>
      </c>
      <c r="K34" s="1">
        <f t="shared" si="24"/>
        <v>-1784548.9440134782</v>
      </c>
      <c r="L34" s="1">
        <f t="shared" si="24"/>
        <v>-1784437.8187894784</v>
      </c>
      <c r="M34" s="1">
        <f t="shared" si="24"/>
        <v>-1784436.9832502282</v>
      </c>
      <c r="N34" s="1">
        <f t="shared" si="24"/>
        <v>-1783832.0664324781</v>
      </c>
      <c r="O34" s="1">
        <f t="shared" si="24"/>
        <v>-1783888.8584100283</v>
      </c>
      <c r="P34" s="1">
        <f t="shared" si="24"/>
        <v>-1782249.6567382284</v>
      </c>
      <c r="Q34" s="1">
        <f t="shared" si="24"/>
        <v>-1762550.3131067781</v>
      </c>
      <c r="R34" s="1">
        <f t="shared" si="24"/>
        <v>-1761932.9670267284</v>
      </c>
      <c r="S34" s="1">
        <f t="shared" si="24"/>
        <v>-1761993.4485971783</v>
      </c>
      <c r="T34" s="1">
        <f t="shared" si="24"/>
        <v>-1760955.2344044282</v>
      </c>
      <c r="U34" s="1">
        <f t="shared" si="24"/>
        <v>-1747664.8776824782</v>
      </c>
      <c r="V34" s="1">
        <f t="shared" si="24"/>
        <v>20368.330625206694</v>
      </c>
      <c r="W34" s="1">
        <f t="shared" si="24"/>
        <v>20368.330625206694</v>
      </c>
      <c r="X34" s="1">
        <f t="shared" si="24"/>
        <v>20368.330625206694</v>
      </c>
      <c r="Y34" s="1">
        <f t="shared" si="24"/>
        <v>20368.330625206694</v>
      </c>
      <c r="Z34" s="1">
        <f t="shared" si="24"/>
        <v>20368.330625206694</v>
      </c>
      <c r="AA34" s="1">
        <f t="shared" si="24"/>
        <v>20368.330625206694</v>
      </c>
      <c r="AB34" s="1">
        <f t="shared" si="24"/>
        <v>20368.330625206694</v>
      </c>
      <c r="AC34" s="1">
        <f t="shared" si="24"/>
        <v>20368.330625206694</v>
      </c>
      <c r="AD34" s="1">
        <f t="shared" si="24"/>
        <v>20368.330625206694</v>
      </c>
      <c r="AE34" s="1">
        <f t="shared" si="24"/>
        <v>20368.330625206694</v>
      </c>
      <c r="AF34" s="1">
        <f t="shared" si="24"/>
        <v>20368.330625206694</v>
      </c>
      <c r="AG34" s="1">
        <f t="shared" si="24"/>
        <v>20368.330625206694</v>
      </c>
    </row>
    <row r="35" spans="1:33">
      <c r="A35" s="69">
        <f t="shared" si="7"/>
        <v>30</v>
      </c>
      <c r="C35" s="2" t="s">
        <v>152</v>
      </c>
      <c r="D35" s="1">
        <f>-Calculations!H64</f>
        <v>-3423663.5714009185</v>
      </c>
      <c r="E35" s="1">
        <f>D35+E34</f>
        <v>-3912387.7064043353</v>
      </c>
      <c r="F35" s="1">
        <f t="shared" ref="F35:AG35" si="25">E35+F34</f>
        <v>-4400856.8930427525</v>
      </c>
      <c r="G35" s="1">
        <f t="shared" si="25"/>
        <v>-4886280.6406471198</v>
      </c>
      <c r="H35" s="1">
        <f t="shared" si="25"/>
        <v>-5358590.6583890365</v>
      </c>
      <c r="I35" s="1">
        <f t="shared" si="25"/>
        <v>-5830864.3630678039</v>
      </c>
      <c r="J35" s="1">
        <f t="shared" si="25"/>
        <v>-7615413.3070812821</v>
      </c>
      <c r="K35" s="1">
        <f t="shared" si="25"/>
        <v>-9399962.2510947604</v>
      </c>
      <c r="L35" s="1">
        <f t="shared" si="25"/>
        <v>-11184400.069884239</v>
      </c>
      <c r="M35" s="1">
        <f t="shared" si="25"/>
        <v>-12968837.053134467</v>
      </c>
      <c r="N35" s="1">
        <f t="shared" si="25"/>
        <v>-14752669.119566945</v>
      </c>
      <c r="O35" s="1">
        <f t="shared" si="25"/>
        <v>-16536557.977976974</v>
      </c>
      <c r="P35" s="1">
        <f t="shared" si="25"/>
        <v>-18318807.634715203</v>
      </c>
      <c r="Q35" s="1">
        <f t="shared" si="25"/>
        <v>-20081357.947821982</v>
      </c>
      <c r="R35" s="1">
        <f t="shared" si="25"/>
        <v>-21843290.914848711</v>
      </c>
      <c r="S35" s="1">
        <f t="shared" si="25"/>
        <v>-23605284.363445889</v>
      </c>
      <c r="T35" s="1">
        <f t="shared" si="25"/>
        <v>-25366239.597850319</v>
      </c>
      <c r="U35" s="1">
        <f t="shared" si="25"/>
        <v>-27113904.475532796</v>
      </c>
      <c r="V35" s="1">
        <f t="shared" si="25"/>
        <v>-27093536.14490759</v>
      </c>
      <c r="W35" s="1">
        <f t="shared" si="25"/>
        <v>-27073167.814282384</v>
      </c>
      <c r="X35" s="1">
        <f t="shared" si="25"/>
        <v>-27052799.483657178</v>
      </c>
      <c r="Y35" s="1">
        <f t="shared" si="25"/>
        <v>-27032431.153031971</v>
      </c>
      <c r="Z35" s="1">
        <f t="shared" si="25"/>
        <v>-27012062.822406765</v>
      </c>
      <c r="AA35" s="1">
        <f t="shared" si="25"/>
        <v>-26991694.491781559</v>
      </c>
      <c r="AB35" s="1">
        <f t="shared" si="25"/>
        <v>-26971326.161156353</v>
      </c>
      <c r="AC35" s="1">
        <f t="shared" si="25"/>
        <v>-26950957.830531146</v>
      </c>
      <c r="AD35" s="1">
        <f t="shared" si="25"/>
        <v>-26930589.49990594</v>
      </c>
      <c r="AE35" s="1">
        <f t="shared" si="25"/>
        <v>-26910221.169280734</v>
      </c>
      <c r="AF35" s="1">
        <f t="shared" si="25"/>
        <v>-26889852.838655528</v>
      </c>
      <c r="AG35" s="1">
        <f t="shared" si="25"/>
        <v>-26869484.508030321</v>
      </c>
    </row>
    <row r="36" spans="1:33">
      <c r="A36" s="69">
        <f t="shared" si="7"/>
        <v>31</v>
      </c>
      <c r="C36" s="2" t="s">
        <v>136</v>
      </c>
      <c r="D36" s="1">
        <f>D31</f>
        <v>1137.9940250000013</v>
      </c>
      <c r="E36" s="1">
        <f>D36+E31+SUM(E18:E22)+E24</f>
        <v>2275.9880500000027</v>
      </c>
      <c r="F36" s="1">
        <f t="shared" ref="F36:P36" si="26">E36+F31+SUM(F18:F22)+F24</f>
        <v>4084.8988250000039</v>
      </c>
      <c r="G36" s="1">
        <f t="shared" si="26"/>
        <v>13908.122847500006</v>
      </c>
      <c r="H36" s="1">
        <f t="shared" si="26"/>
        <v>-612346.82770249993</v>
      </c>
      <c r="I36" s="1">
        <f t="shared" si="26"/>
        <v>-567918.22755999991</v>
      </c>
      <c r="J36" s="1">
        <f t="shared" si="26"/>
        <v>-523576.42426749994</v>
      </c>
      <c r="K36" s="1">
        <f t="shared" si="26"/>
        <v>-479234.62097499997</v>
      </c>
      <c r="L36" s="1">
        <f t="shared" si="26"/>
        <v>-434600.38288249995</v>
      </c>
      <c r="M36" s="1">
        <f t="shared" si="26"/>
        <v>-389963.94600249996</v>
      </c>
      <c r="N36" s="1">
        <f t="shared" si="26"/>
        <v>-343735.62275999994</v>
      </c>
      <c r="O36" s="1">
        <f t="shared" si="26"/>
        <v>-297656.75208999997</v>
      </c>
      <c r="P36" s="1">
        <f t="shared" si="26"/>
        <v>-247264.19280999995</v>
      </c>
      <c r="Q36" s="1">
        <f>P36+Q31+SUM(Q18:Q22)+Q24</f>
        <v>-1524473.5155525</v>
      </c>
      <c r="R36" s="1">
        <f t="shared" ref="R36:AG36" si="27">Q36+R31+SUM(R18:R22)+R24</f>
        <v>-1420615.9833475</v>
      </c>
      <c r="S36" s="1">
        <f t="shared" si="27"/>
        <v>-1316917.61317</v>
      </c>
      <c r="T36" s="1">
        <f t="shared" si="27"/>
        <v>-1210487.10038</v>
      </c>
      <c r="U36" s="1">
        <f t="shared" si="27"/>
        <v>-1533086.0846374999</v>
      </c>
      <c r="V36" s="1">
        <f t="shared" si="27"/>
        <v>-1391680.9488949999</v>
      </c>
      <c r="W36" s="1">
        <f t="shared" si="27"/>
        <v>-1250275.8131525</v>
      </c>
      <c r="X36" s="1">
        <f t="shared" si="27"/>
        <v>-1108870.67741</v>
      </c>
      <c r="Y36" s="1">
        <f t="shared" si="27"/>
        <v>-967465.54166750005</v>
      </c>
      <c r="Z36" s="1">
        <f t="shared" si="27"/>
        <v>-826060.40592500009</v>
      </c>
      <c r="AA36" s="1">
        <f t="shared" si="27"/>
        <v>-684655.27018250013</v>
      </c>
      <c r="AB36" s="1">
        <f t="shared" si="27"/>
        <v>-543250.13444000017</v>
      </c>
      <c r="AC36" s="1">
        <f t="shared" si="27"/>
        <v>-401844.99869750015</v>
      </c>
      <c r="AD36" s="1">
        <f t="shared" si="27"/>
        <v>-260439.86295500014</v>
      </c>
      <c r="AE36" s="1">
        <f t="shared" si="27"/>
        <v>-119034.72721250012</v>
      </c>
      <c r="AF36" s="1">
        <f t="shared" si="27"/>
        <v>22370.408529999899</v>
      </c>
      <c r="AG36" s="1">
        <f t="shared" si="27"/>
        <v>163775.54427249992</v>
      </c>
    </row>
    <row r="37" spans="1:33">
      <c r="A37" s="69">
        <f t="shared" si="7"/>
        <v>32</v>
      </c>
      <c r="C37" s="2" t="s">
        <v>172</v>
      </c>
      <c r="D37" s="20">
        <f>((U35/2)+SUM(V35:AF35)+(AG35/2))/12</f>
        <v>-26991694.491781559</v>
      </c>
      <c r="E37" s="216" t="s">
        <v>157</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1:33">
      <c r="A38" s="69">
        <f t="shared" si="7"/>
        <v>33</v>
      </c>
      <c r="C38" s="2" t="s">
        <v>137</v>
      </c>
      <c r="D38" s="20">
        <f>((U36/2)+SUM(V36:AF36)+(AG36/2))/12</f>
        <v>-684655.27018250013</v>
      </c>
    </row>
    <row r="39" spans="1:33">
      <c r="A39" s="69">
        <f t="shared" si="7"/>
        <v>34</v>
      </c>
      <c r="C39" s="2" t="s">
        <v>138</v>
      </c>
      <c r="D39" s="20">
        <f>((U28/2)+SUM(V28:AF28)+(AG28/2))/12</f>
        <v>90902934.710000023</v>
      </c>
    </row>
    <row r="40" spans="1:33">
      <c r="A40" s="69">
        <f t="shared" si="7"/>
        <v>35</v>
      </c>
      <c r="C40" s="2" t="s">
        <v>139</v>
      </c>
      <c r="D40" s="20">
        <v>-10100000</v>
      </c>
    </row>
    <row r="41" spans="1:33">
      <c r="A41" s="69">
        <f t="shared" si="7"/>
        <v>36</v>
      </c>
      <c r="C41" s="2" t="s">
        <v>140</v>
      </c>
      <c r="D41" s="20">
        <f>D39+D40</f>
        <v>80802934.710000023</v>
      </c>
    </row>
    <row r="43" spans="1:33">
      <c r="B43" s="217" t="s">
        <v>294</v>
      </c>
    </row>
  </sheetData>
  <mergeCells count="1">
    <mergeCell ref="A1:Q1"/>
  </mergeCells>
  <pageMargins left="0.25" right="0.25" top="0.75" bottom="0.75" header="0.3" footer="0.3"/>
  <pageSetup scale="5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26"/>
  <sheetViews>
    <sheetView view="pageLayout" topLeftCell="A4" zoomScaleNormal="100" workbookViewId="0">
      <selection activeCell="C23" sqref="B23:E23"/>
    </sheetView>
  </sheetViews>
  <sheetFormatPr defaultRowHeight="12.75"/>
  <cols>
    <col min="1" max="1" width="3.5703125" style="69" customWidth="1"/>
    <col min="2" max="2" width="54" bestFit="1" customWidth="1"/>
    <col min="3" max="3" width="19.42578125" customWidth="1"/>
    <col min="4" max="4" width="2.42578125" customWidth="1"/>
    <col min="5" max="5" width="19.7109375" bestFit="1" customWidth="1"/>
    <col min="6" max="6" width="1.7109375" customWidth="1"/>
    <col min="7" max="7" width="15.28515625" customWidth="1"/>
    <col min="8" max="8" width="11.28515625" bestFit="1" customWidth="1"/>
  </cols>
  <sheetData>
    <row r="1" spans="1:8">
      <c r="A1" s="236" t="s">
        <v>153</v>
      </c>
      <c r="B1" s="236"/>
      <c r="C1" s="236"/>
      <c r="D1" s="236"/>
      <c r="E1" s="236"/>
      <c r="F1" s="214"/>
      <c r="G1" s="214"/>
    </row>
    <row r="2" spans="1:8">
      <c r="A2" s="24"/>
      <c r="B2" s="53"/>
      <c r="C2" s="53"/>
      <c r="D2" s="53"/>
      <c r="E2" s="53"/>
      <c r="F2" s="53"/>
      <c r="G2" s="53"/>
    </row>
    <row r="3" spans="1:8">
      <c r="A3" s="68"/>
      <c r="B3" s="55"/>
      <c r="C3" s="55" t="s">
        <v>154</v>
      </c>
    </row>
    <row r="4" spans="1:8">
      <c r="A4" s="68"/>
      <c r="B4" s="56"/>
      <c r="C4" s="57" t="s">
        <v>155</v>
      </c>
    </row>
    <row r="5" spans="1:8">
      <c r="A5" s="68">
        <v>1</v>
      </c>
      <c r="B5" s="58" t="s">
        <v>156</v>
      </c>
      <c r="C5" s="59">
        <f>'Exhibit 1.1'!U28</f>
        <v>90902934.709999993</v>
      </c>
      <c r="D5" s="54"/>
    </row>
    <row r="6" spans="1:8">
      <c r="A6" s="68">
        <f t="shared" ref="A6:A19" si="0">A5+1</f>
        <v>2</v>
      </c>
      <c r="B6" s="58" t="s">
        <v>158</v>
      </c>
      <c r="C6" s="60">
        <v>-10100000</v>
      </c>
      <c r="D6" s="54" t="s">
        <v>157</v>
      </c>
    </row>
    <row r="7" spans="1:8">
      <c r="A7" s="68">
        <f t="shared" si="0"/>
        <v>3</v>
      </c>
      <c r="B7" s="58" t="s">
        <v>160</v>
      </c>
      <c r="C7" s="61">
        <f>SUM(C5:C6)</f>
        <v>80802934.709999993</v>
      </c>
      <c r="D7" s="54" t="s">
        <v>159</v>
      </c>
    </row>
    <row r="8" spans="1:8">
      <c r="A8" s="68">
        <f t="shared" si="0"/>
        <v>4</v>
      </c>
      <c r="B8" s="58" t="s">
        <v>161</v>
      </c>
      <c r="C8" s="60">
        <f>-'Exhibit 1.1'!D38</f>
        <v>684655.27018250013</v>
      </c>
      <c r="D8" s="54"/>
    </row>
    <row r="9" spans="1:8">
      <c r="A9" s="68">
        <f t="shared" si="0"/>
        <v>5</v>
      </c>
      <c r="B9" s="58" t="s">
        <v>163</v>
      </c>
      <c r="C9" s="215">
        <f>'Exhibit 1.1'!D37</f>
        <v>-26991694.491781559</v>
      </c>
      <c r="D9" s="54" t="s">
        <v>162</v>
      </c>
    </row>
    <row r="10" spans="1:8">
      <c r="A10" s="68">
        <f t="shared" si="0"/>
        <v>6</v>
      </c>
      <c r="B10" s="58" t="s">
        <v>165</v>
      </c>
      <c r="C10" s="61">
        <f>SUM(C7:C9)</f>
        <v>54495895.488400936</v>
      </c>
      <c r="D10" s="54"/>
      <c r="H10" s="9"/>
    </row>
    <row r="11" spans="1:8">
      <c r="A11" s="68">
        <f t="shared" si="0"/>
        <v>7</v>
      </c>
      <c r="B11" s="58" t="s">
        <v>166</v>
      </c>
      <c r="C11" s="62">
        <v>0.1179</v>
      </c>
      <c r="D11" s="54" t="s">
        <v>164</v>
      </c>
    </row>
    <row r="12" spans="1:8">
      <c r="A12" s="68">
        <f t="shared" si="0"/>
        <v>8</v>
      </c>
      <c r="B12" s="58" t="s">
        <v>167</v>
      </c>
      <c r="C12" s="59">
        <f>C10*C11</f>
        <v>6425066.0780824702</v>
      </c>
      <c r="D12" s="54"/>
    </row>
    <row r="13" spans="1:8">
      <c r="A13" s="68">
        <f t="shared" si="0"/>
        <v>9</v>
      </c>
      <c r="B13" s="58" t="s">
        <v>168</v>
      </c>
      <c r="C13" s="59">
        <f>C7*0.021</f>
        <v>1696861.62891</v>
      </c>
      <c r="D13" s="54" t="s">
        <v>295</v>
      </c>
    </row>
    <row r="14" spans="1:8">
      <c r="A14" s="68">
        <f t="shared" si="0"/>
        <v>10</v>
      </c>
      <c r="B14" s="58" t="s">
        <v>169</v>
      </c>
      <c r="C14" s="61">
        <f>C10*0.012</f>
        <v>653950.74586081121</v>
      </c>
      <c r="D14" s="54"/>
    </row>
    <row r="15" spans="1:8" ht="13.5" thickBot="1">
      <c r="A15" s="68">
        <f t="shared" si="0"/>
        <v>11</v>
      </c>
      <c r="B15" s="58" t="s">
        <v>170</v>
      </c>
      <c r="C15" s="63">
        <f>SUM(C12:C14)</f>
        <v>8775878.4528532811</v>
      </c>
    </row>
    <row r="16" spans="1:8" ht="13.5" thickTop="1">
      <c r="A16" s="68">
        <f t="shared" si="0"/>
        <v>12</v>
      </c>
      <c r="B16" s="58" t="s">
        <v>326</v>
      </c>
      <c r="C16" s="220"/>
    </row>
    <row r="17" spans="1:7">
      <c r="A17" s="68">
        <f t="shared" si="0"/>
        <v>13</v>
      </c>
      <c r="B17" s="221" t="s">
        <v>321</v>
      </c>
      <c r="C17" s="222">
        <v>-94812</v>
      </c>
    </row>
    <row r="18" spans="1:7">
      <c r="A18" s="68">
        <f t="shared" si="0"/>
        <v>14</v>
      </c>
      <c r="B18" s="223" t="s">
        <v>322</v>
      </c>
      <c r="C18" s="222">
        <v>25469</v>
      </c>
    </row>
    <row r="19" spans="1:7" ht="13.5" thickBot="1">
      <c r="A19" s="68">
        <f t="shared" si="0"/>
        <v>15</v>
      </c>
      <c r="B19" s="224" t="s">
        <v>323</v>
      </c>
      <c r="C19" s="225">
        <f>SUM(C15:C18)</f>
        <v>8706535.4528532811</v>
      </c>
    </row>
    <row r="20" spans="1:7" ht="13.5" thickTop="1"/>
    <row r="21" spans="1:7">
      <c r="B21" s="64" t="s">
        <v>276</v>
      </c>
    </row>
    <row r="22" spans="1:7">
      <c r="B22" s="64" t="s">
        <v>315</v>
      </c>
    </row>
    <row r="23" spans="1:7">
      <c r="B23" s="56" t="s">
        <v>327</v>
      </c>
    </row>
    <row r="24" spans="1:7">
      <c r="B24" s="56" t="s">
        <v>296</v>
      </c>
      <c r="C24" s="66"/>
      <c r="D24" s="4"/>
      <c r="E24" s="66"/>
      <c r="F24" s="4"/>
      <c r="G24" s="66"/>
    </row>
    <row r="25" spans="1:7">
      <c r="B25" s="56" t="s">
        <v>297</v>
      </c>
      <c r="C25" s="65"/>
      <c r="D25" s="4"/>
      <c r="E25" s="65"/>
      <c r="F25" s="4"/>
      <c r="G25" s="67"/>
    </row>
    <row r="26" spans="1:7">
      <c r="B26" s="56" t="s">
        <v>171</v>
      </c>
      <c r="C26" s="65"/>
      <c r="D26" s="4"/>
      <c r="E26" s="65"/>
      <c r="F26" s="4"/>
      <c r="G26" s="67"/>
    </row>
  </sheetData>
  <mergeCells count="1">
    <mergeCell ref="A1:E1"/>
  </mergeCells>
  <pageMargins left="0.7" right="0.7" top="0.89124999999999999" bottom="0.75" header="0.3" footer="0.3"/>
  <pageSetup scale="93" orientation="portrait" r:id="rId1"/>
  <headerFooter scaleWithDoc="0">
    <oddHeader>&amp;RQuestar Gas Company
Docket 11-057-16
Exhibit 1.1 Page 3 of3</oddHeader>
  </headerFooter>
</worksheet>
</file>

<file path=xl/worksheets/sheet4.xml><?xml version="1.0" encoding="utf-8"?>
<worksheet xmlns="http://schemas.openxmlformats.org/spreadsheetml/2006/main" xmlns:r="http://schemas.openxmlformats.org/officeDocument/2006/relationships">
  <dimension ref="A1:H21"/>
  <sheetViews>
    <sheetView view="pageLayout" zoomScaleNormal="100" workbookViewId="0">
      <selection activeCell="G18" sqref="G18"/>
    </sheetView>
  </sheetViews>
  <sheetFormatPr defaultRowHeight="12.75"/>
  <cols>
    <col min="1" max="1" width="3.28515625" customWidth="1"/>
    <col min="2" max="2" width="5.7109375" customWidth="1"/>
    <col min="3" max="3" width="18.28515625" customWidth="1"/>
    <col min="4" max="4" width="3.85546875" customWidth="1"/>
    <col min="5" max="5" width="14" bestFit="1" customWidth="1"/>
    <col min="6" max="6" width="3.85546875" customWidth="1"/>
    <col min="7" max="7" width="16" bestFit="1" customWidth="1"/>
    <col min="8" max="8" width="3.85546875" customWidth="1"/>
  </cols>
  <sheetData>
    <row r="1" spans="1:8">
      <c r="A1" s="71"/>
      <c r="B1" s="237" t="s">
        <v>173</v>
      </c>
      <c r="C1" s="237"/>
      <c r="D1" s="237"/>
      <c r="E1" s="237"/>
      <c r="F1" s="237"/>
      <c r="G1" s="237"/>
      <c r="H1" s="72"/>
    </row>
    <row r="2" spans="1:8">
      <c r="A2" s="71"/>
      <c r="B2" s="73"/>
      <c r="C2" s="72"/>
      <c r="D2" s="72"/>
      <c r="E2" s="73"/>
      <c r="F2" s="72"/>
      <c r="G2" s="73"/>
      <c r="H2" s="72"/>
    </row>
    <row r="3" spans="1:8">
      <c r="A3" s="71"/>
      <c r="B3" s="73"/>
      <c r="C3" s="72"/>
      <c r="D3" s="72"/>
      <c r="E3" s="73"/>
      <c r="F3" s="72"/>
      <c r="G3" s="73"/>
      <c r="H3" s="72"/>
    </row>
    <row r="4" spans="1:8">
      <c r="A4" s="71"/>
      <c r="B4" s="73"/>
      <c r="C4" s="74" t="s">
        <v>174</v>
      </c>
      <c r="D4" s="74"/>
      <c r="E4" s="74" t="s">
        <v>175</v>
      </c>
      <c r="F4" s="74"/>
      <c r="G4" s="74" t="s">
        <v>176</v>
      </c>
      <c r="H4" s="74"/>
    </row>
    <row r="5" spans="1:8">
      <c r="A5" s="71"/>
      <c r="B5" s="73"/>
      <c r="C5" s="75" t="s">
        <v>177</v>
      </c>
      <c r="D5" s="73"/>
      <c r="E5" s="73"/>
      <c r="F5" s="73"/>
      <c r="G5" s="74" t="s">
        <v>88</v>
      </c>
      <c r="H5" s="73"/>
    </row>
    <row r="6" spans="1:8">
      <c r="A6" s="71"/>
      <c r="B6" s="73"/>
      <c r="C6" s="76" t="s">
        <v>178</v>
      </c>
      <c r="D6" s="74"/>
      <c r="E6" s="74" t="s">
        <v>179</v>
      </c>
      <c r="F6" s="74"/>
      <c r="G6" s="74" t="s">
        <v>180</v>
      </c>
      <c r="H6" s="74"/>
    </row>
    <row r="7" spans="1:8">
      <c r="A7" s="71"/>
      <c r="B7" s="73"/>
      <c r="C7" s="77" t="s">
        <v>181</v>
      </c>
      <c r="D7" s="78"/>
      <c r="E7" s="78" t="s">
        <v>182</v>
      </c>
      <c r="F7" s="78"/>
      <c r="G7" s="78" t="s">
        <v>154</v>
      </c>
      <c r="H7" s="78"/>
    </row>
    <row r="8" spans="1:8">
      <c r="A8" s="71"/>
      <c r="B8" s="73"/>
      <c r="C8" s="79" t="s">
        <v>157</v>
      </c>
      <c r="D8" s="73"/>
      <c r="E8" s="80"/>
      <c r="F8" s="73"/>
      <c r="G8" s="81"/>
      <c r="H8" s="73"/>
    </row>
    <row r="9" spans="1:8">
      <c r="A9" s="82">
        <v>1</v>
      </c>
      <c r="B9" s="73" t="s">
        <v>183</v>
      </c>
      <c r="C9" s="83">
        <v>239318631.93504602</v>
      </c>
      <c r="D9" s="84"/>
      <c r="E9" s="85">
        <f>C9/$C$17</f>
        <v>0.92690027429994493</v>
      </c>
      <c r="F9" s="84"/>
      <c r="G9" s="84">
        <f>E9*$G$17</f>
        <v>8070090.0994519014</v>
      </c>
      <c r="H9" s="84"/>
    </row>
    <row r="10" spans="1:8">
      <c r="A10" s="82">
        <v>2</v>
      </c>
      <c r="B10" s="73" t="s">
        <v>184</v>
      </c>
      <c r="C10" s="86">
        <v>4423772.2729999106</v>
      </c>
      <c r="D10" s="87"/>
      <c r="E10" s="85">
        <f>C10/$C$17</f>
        <v>1.7133625159603139E-2</v>
      </c>
      <c r="F10" s="87"/>
      <c r="G10" s="84">
        <f t="shared" ref="G10:G15" si="0">E10*$G$17</f>
        <v>149174.51488798368</v>
      </c>
      <c r="H10" s="87"/>
    </row>
    <row r="11" spans="1:8">
      <c r="A11" s="82">
        <v>3</v>
      </c>
      <c r="B11" s="73" t="s">
        <v>185</v>
      </c>
      <c r="C11" s="86">
        <v>2164923.8462406527</v>
      </c>
      <c r="D11" s="87"/>
      <c r="E11" s="85">
        <f t="shared" ref="E11:E15" si="1">C11/$C$17</f>
        <v>8.3849238594326699E-3</v>
      </c>
      <c r="F11" s="87"/>
      <c r="G11" s="84">
        <f t="shared" si="0"/>
        <v>73003.636851625895</v>
      </c>
      <c r="H11" s="87"/>
    </row>
    <row r="12" spans="1:8">
      <c r="A12" s="82">
        <v>4</v>
      </c>
      <c r="B12" s="73" t="s">
        <v>186</v>
      </c>
      <c r="C12" s="86">
        <v>560034.6692479694</v>
      </c>
      <c r="D12" s="87"/>
      <c r="E12" s="85">
        <f t="shared" si="1"/>
        <v>2.1690592343195027E-3</v>
      </c>
      <c r="F12" s="87"/>
      <c r="G12" s="84">
        <f t="shared" si="0"/>
        <v>18884.991122941541</v>
      </c>
      <c r="H12" s="87"/>
    </row>
    <row r="13" spans="1:8">
      <c r="A13" s="82">
        <v>5</v>
      </c>
      <c r="B13" s="73" t="s">
        <v>187</v>
      </c>
      <c r="C13" s="86">
        <v>6685487.87654055</v>
      </c>
      <c r="D13" s="87"/>
      <c r="E13" s="85">
        <f t="shared" si="1"/>
        <v>2.5893431265628635E-2</v>
      </c>
      <c r="F13" s="87"/>
      <c r="G13" s="84">
        <f t="shared" si="0"/>
        <v>225442.0773102153</v>
      </c>
      <c r="H13" s="87"/>
    </row>
    <row r="14" spans="1:8">
      <c r="A14" s="82">
        <v>6</v>
      </c>
      <c r="B14" s="73" t="s">
        <v>188</v>
      </c>
      <c r="C14" s="86">
        <v>20090.830167618489</v>
      </c>
      <c r="D14" s="87"/>
      <c r="E14" s="85">
        <f t="shared" si="1"/>
        <v>7.7813398157538673E-5</v>
      </c>
      <c r="F14" s="87"/>
      <c r="G14" s="84">
        <f t="shared" si="0"/>
        <v>677.48510976559862</v>
      </c>
      <c r="H14" s="87"/>
    </row>
    <row r="15" spans="1:8">
      <c r="A15" s="82">
        <v>7</v>
      </c>
      <c r="B15" s="73" t="s">
        <v>189</v>
      </c>
      <c r="C15" s="88">
        <v>5019486.1378632095</v>
      </c>
      <c r="D15" s="87"/>
      <c r="E15" s="89">
        <f t="shared" si="1"/>
        <v>1.9440872782913711E-2</v>
      </c>
      <c r="F15" s="87"/>
      <c r="G15" s="90">
        <f t="shared" si="0"/>
        <v>169262.64811884865</v>
      </c>
      <c r="H15" s="87"/>
    </row>
    <row r="16" spans="1:8">
      <c r="A16" s="82"/>
      <c r="B16" s="73"/>
      <c r="C16" s="91"/>
      <c r="D16" s="91"/>
      <c r="E16" s="91"/>
      <c r="F16" s="91"/>
      <c r="G16" s="91"/>
      <c r="H16" s="91"/>
    </row>
    <row r="17" spans="1:8">
      <c r="A17" s="82">
        <v>8</v>
      </c>
      <c r="B17" s="73" t="s">
        <v>190</v>
      </c>
      <c r="C17" s="91">
        <f>SUM(C9:C15)</f>
        <v>258192427.56810591</v>
      </c>
      <c r="D17" s="91"/>
      <c r="E17" s="92">
        <f>SUM(E9:E15)</f>
        <v>1</v>
      </c>
      <c r="F17" s="91"/>
      <c r="G17" s="91">
        <f>'Exhibit 1.1 Page 3'!C19</f>
        <v>8706535.4528532811</v>
      </c>
      <c r="H17" s="91" t="s">
        <v>159</v>
      </c>
    </row>
    <row r="18" spans="1:8">
      <c r="A18" s="82"/>
      <c r="B18" s="73"/>
      <c r="C18" s="91"/>
      <c r="D18" s="91"/>
      <c r="E18" s="91"/>
      <c r="F18" s="91"/>
      <c r="G18" s="91"/>
      <c r="H18" s="91"/>
    </row>
    <row r="19" spans="1:8">
      <c r="A19" s="71"/>
      <c r="B19" s="73"/>
      <c r="C19" s="73"/>
      <c r="D19" s="73"/>
      <c r="E19" s="73"/>
      <c r="F19" s="73"/>
      <c r="G19" s="73"/>
      <c r="H19" s="73"/>
    </row>
    <row r="20" spans="1:8">
      <c r="A20" s="71"/>
      <c r="B20" s="71" t="s">
        <v>191</v>
      </c>
      <c r="C20" s="73"/>
      <c r="D20" s="73"/>
      <c r="E20" s="73"/>
      <c r="F20" s="73"/>
      <c r="G20" s="73"/>
      <c r="H20" s="73"/>
    </row>
    <row r="21" spans="1:8">
      <c r="A21" s="71"/>
      <c r="B21" s="73" t="s">
        <v>299</v>
      </c>
      <c r="C21" s="71"/>
      <c r="D21" s="71"/>
      <c r="E21" s="71"/>
      <c r="F21" s="71"/>
      <c r="G21" s="71"/>
      <c r="H21" s="71"/>
    </row>
  </sheetData>
  <mergeCells count="1">
    <mergeCell ref="B1:G1"/>
  </mergeCells>
  <pageMargins left="0.7" right="0.7" top="0.86458333333333337" bottom="0.75" header="0.3" footer="0.3"/>
  <pageSetup orientation="portrait" r:id="rId1"/>
  <headerFooter scaleWithDoc="0">
    <oddHeader>&amp;RQuestar Gas Company
Docket 11-057-16
Exhibit 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74"/>
  <sheetViews>
    <sheetView zoomScale="85" zoomScaleNormal="85" workbookViewId="0">
      <selection activeCell="M2" sqref="M1:M1048576"/>
    </sheetView>
  </sheetViews>
  <sheetFormatPr defaultRowHeight="12.75"/>
  <cols>
    <col min="1" max="1" width="4.42578125" style="5" customWidth="1"/>
    <col min="2" max="3" width="9.140625" style="5"/>
    <col min="4" max="4" width="7.42578125" style="5" bestFit="1" customWidth="1"/>
    <col min="5" max="5" width="9.140625" style="5" bestFit="1" customWidth="1"/>
    <col min="6" max="6" width="4.140625" style="5" customWidth="1"/>
    <col min="7" max="7" width="13.28515625" style="5" customWidth="1"/>
    <col min="8" max="8" width="9.5703125" style="5" bestFit="1" customWidth="1"/>
    <col min="9" max="9" width="13.28515625" style="5" customWidth="1"/>
    <col min="10" max="10" width="3" style="5" customWidth="1"/>
    <col min="11" max="11" width="15.28515625" style="5" customWidth="1"/>
    <col min="12" max="12" width="12.140625" style="5" bestFit="1" customWidth="1"/>
    <col min="13" max="15" width="13.7109375" style="5" customWidth="1"/>
    <col min="17" max="17" width="10.42578125" bestFit="1" customWidth="1"/>
  </cols>
  <sheetData>
    <row r="1" spans="1:17" ht="15.75">
      <c r="A1" s="93"/>
      <c r="B1" s="239" t="s">
        <v>192</v>
      </c>
      <c r="C1" s="239"/>
      <c r="D1" s="239"/>
      <c r="E1" s="239"/>
      <c r="F1" s="239"/>
      <c r="G1" s="239"/>
      <c r="H1" s="239"/>
      <c r="I1" s="239"/>
      <c r="J1" s="239"/>
      <c r="K1" s="239"/>
      <c r="L1" s="239"/>
      <c r="M1" s="239"/>
      <c r="N1" s="94"/>
      <c r="O1" s="94"/>
    </row>
    <row r="2" spans="1:17">
      <c r="A2" s="93"/>
      <c r="B2" s="95"/>
      <c r="C2" s="95"/>
      <c r="D2" s="95"/>
      <c r="E2" s="96"/>
      <c r="F2" s="96"/>
      <c r="G2" s="95"/>
      <c r="H2" s="95"/>
      <c r="I2" s="95"/>
      <c r="J2" s="97"/>
      <c r="K2" s="95"/>
      <c r="L2" s="95"/>
      <c r="M2" s="95"/>
      <c r="N2" s="95"/>
      <c r="O2" s="95"/>
    </row>
    <row r="3" spans="1:17">
      <c r="A3" s="93"/>
      <c r="B3" s="93"/>
      <c r="C3" s="93" t="s">
        <v>174</v>
      </c>
      <c r="D3" s="93" t="s">
        <v>175</v>
      </c>
      <c r="E3" s="226" t="s">
        <v>176</v>
      </c>
      <c r="F3" s="226"/>
      <c r="G3" s="93" t="s">
        <v>193</v>
      </c>
      <c r="H3" s="93" t="s">
        <v>194</v>
      </c>
      <c r="I3" s="93" t="s">
        <v>195</v>
      </c>
      <c r="J3" s="98"/>
      <c r="K3" s="98" t="s">
        <v>196</v>
      </c>
      <c r="L3" s="98" t="s">
        <v>197</v>
      </c>
      <c r="M3" s="98" t="s">
        <v>198</v>
      </c>
      <c r="N3" s="98" t="s">
        <v>199</v>
      </c>
      <c r="O3" s="98" t="s">
        <v>200</v>
      </c>
    </row>
    <row r="4" spans="1:17">
      <c r="A4" s="93"/>
      <c r="B4" s="99" t="s">
        <v>201</v>
      </c>
      <c r="C4" s="100"/>
      <c r="D4" s="100"/>
      <c r="E4" s="101"/>
      <c r="F4" s="101"/>
      <c r="G4" s="238" t="s">
        <v>202</v>
      </c>
      <c r="H4" s="238"/>
      <c r="I4" s="238"/>
      <c r="J4" s="100"/>
      <c r="K4" s="102" t="s">
        <v>203</v>
      </c>
      <c r="L4" s="103"/>
      <c r="M4" s="102" t="s">
        <v>203</v>
      </c>
      <c r="N4" s="102" t="s">
        <v>204</v>
      </c>
      <c r="O4" s="102" t="s">
        <v>205</v>
      </c>
    </row>
    <row r="5" spans="1:17">
      <c r="A5" s="93"/>
      <c r="B5" s="99"/>
      <c r="C5" s="100"/>
      <c r="D5" s="100"/>
      <c r="E5" s="101"/>
      <c r="F5" s="101"/>
      <c r="G5" s="226"/>
      <c r="H5" s="226"/>
      <c r="I5" s="226"/>
      <c r="J5" s="100"/>
      <c r="K5" s="102" t="s">
        <v>206</v>
      </c>
      <c r="L5" s="103" t="s">
        <v>207</v>
      </c>
      <c r="M5" s="102" t="s">
        <v>206</v>
      </c>
      <c r="N5" s="102"/>
      <c r="O5" s="102" t="s">
        <v>208</v>
      </c>
    </row>
    <row r="6" spans="1:17" ht="13.5" thickBot="1">
      <c r="A6" s="93"/>
      <c r="B6" s="104" t="s">
        <v>209</v>
      </c>
      <c r="C6" s="105"/>
      <c r="D6" s="105"/>
      <c r="E6" s="106" t="s">
        <v>210</v>
      </c>
      <c r="F6" s="107"/>
      <c r="G6" s="108" t="s">
        <v>210</v>
      </c>
      <c r="H6" s="108" t="s">
        <v>211</v>
      </c>
      <c r="I6" s="109" t="s">
        <v>212</v>
      </c>
      <c r="J6" s="100"/>
      <c r="K6" s="108" t="s">
        <v>154</v>
      </c>
      <c r="L6" s="108" t="s">
        <v>213</v>
      </c>
      <c r="M6" s="108" t="s">
        <v>214</v>
      </c>
      <c r="N6" s="108"/>
      <c r="O6" s="108"/>
    </row>
    <row r="7" spans="1:17">
      <c r="A7" s="93">
        <v>1</v>
      </c>
      <c r="B7" s="110" t="s">
        <v>215</v>
      </c>
      <c r="C7" s="110" t="s">
        <v>216</v>
      </c>
      <c r="D7" s="110" t="s">
        <v>217</v>
      </c>
      <c r="E7" s="111">
        <v>45</v>
      </c>
      <c r="F7" s="111"/>
      <c r="G7" s="112">
        <v>52642252</v>
      </c>
      <c r="H7" s="113">
        <v>2.2293799999999999</v>
      </c>
      <c r="I7" s="114">
        <f>ROUND(G7*H7,0)</f>
        <v>117359584</v>
      </c>
      <c r="J7" s="115"/>
      <c r="K7" s="112">
        <f>M7*G7</f>
        <v>5324353.7913477346</v>
      </c>
      <c r="L7" s="116">
        <f>L12</f>
        <v>4.5367865329732589E-2</v>
      </c>
      <c r="M7" s="117">
        <f>L7*H7</f>
        <v>0.10114221160879923</v>
      </c>
      <c r="N7" s="117">
        <v>7.5380000000000003E-2</v>
      </c>
      <c r="O7" s="117">
        <f>M7-N7</f>
        <v>2.5762211608799226E-2</v>
      </c>
      <c r="Q7" s="117"/>
    </row>
    <row r="8" spans="1:17">
      <c r="A8" s="93">
        <f>A7+1</f>
        <v>2</v>
      </c>
      <c r="B8" s="110"/>
      <c r="C8" s="110" t="s">
        <v>218</v>
      </c>
      <c r="D8" s="110" t="s">
        <v>219</v>
      </c>
      <c r="E8" s="111">
        <v>155</v>
      </c>
      <c r="F8" s="111"/>
      <c r="G8" s="112">
        <v>14981071</v>
      </c>
      <c r="H8" s="113">
        <v>0.92557</v>
      </c>
      <c r="I8" s="114">
        <f>ROUND(G8*H8,0)</f>
        <v>13866030</v>
      </c>
      <c r="J8" s="118"/>
      <c r="K8" s="112">
        <f>M8*G8</f>
        <v>629072.17650205037</v>
      </c>
      <c r="L8" s="116">
        <f>L12</f>
        <v>4.5367865329732589E-2</v>
      </c>
      <c r="M8" s="117">
        <f>L8*H8</f>
        <v>4.1991135113240589E-2</v>
      </c>
      <c r="N8" s="117">
        <v>3.1289999999999998E-2</v>
      </c>
      <c r="O8" s="117">
        <f>M8-N8</f>
        <v>1.0701135113240591E-2</v>
      </c>
      <c r="Q8" s="117"/>
    </row>
    <row r="9" spans="1:17">
      <c r="A9" s="93"/>
      <c r="B9" s="119"/>
      <c r="C9" s="110"/>
      <c r="D9" s="110"/>
      <c r="E9" s="120"/>
      <c r="F9" s="120"/>
      <c r="G9" s="112"/>
      <c r="H9" s="113"/>
      <c r="I9" s="114"/>
      <c r="J9" s="118"/>
      <c r="K9" s="112"/>
      <c r="L9" s="113"/>
      <c r="M9" s="114"/>
      <c r="N9" s="114"/>
      <c r="O9" s="114"/>
    </row>
    <row r="10" spans="1:17">
      <c r="A10" s="93">
        <f>A8+1</f>
        <v>3</v>
      </c>
      <c r="B10" s="121" t="s">
        <v>220</v>
      </c>
      <c r="C10" s="110" t="s">
        <v>216</v>
      </c>
      <c r="D10" s="110" t="str">
        <f>D7</f>
        <v>First</v>
      </c>
      <c r="E10" s="120">
        <f>E7</f>
        <v>45</v>
      </c>
      <c r="F10" s="120"/>
      <c r="G10" s="112">
        <v>23099624</v>
      </c>
      <c r="H10" s="113">
        <v>1.87767</v>
      </c>
      <c r="I10" s="112">
        <f>ROUND(G10*H10,0)</f>
        <v>43373471</v>
      </c>
      <c r="J10" s="118"/>
      <c r="K10" s="112">
        <f>M10*G10</f>
        <v>1967761.7910332195</v>
      </c>
      <c r="L10" s="116">
        <f>L12</f>
        <v>4.5367865329732589E-2</v>
      </c>
      <c r="M10" s="117">
        <f t="shared" ref="M10:M11" si="0">L10*H10</f>
        <v>8.5185879693678981E-2</v>
      </c>
      <c r="N10" s="117">
        <v>6.3479999999999995E-2</v>
      </c>
      <c r="O10" s="117">
        <f>M10-N10</f>
        <v>2.1705879693678987E-2</v>
      </c>
    </row>
    <row r="11" spans="1:17">
      <c r="A11" s="93">
        <f>A10+1</f>
        <v>4</v>
      </c>
      <c r="B11" s="121"/>
      <c r="C11" s="110" t="s">
        <v>218</v>
      </c>
      <c r="D11" s="110" t="str">
        <f>D8</f>
        <v>Next</v>
      </c>
      <c r="E11" s="120">
        <f>E8</f>
        <v>155</v>
      </c>
      <c r="F11" s="120"/>
      <c r="G11" s="112">
        <v>4708640</v>
      </c>
      <c r="H11" s="113">
        <v>0.69703999999999999</v>
      </c>
      <c r="I11" s="112">
        <f>ROUND(G11*H11,0)</f>
        <v>3282110</v>
      </c>
      <c r="J11" s="118"/>
      <c r="K11" s="112">
        <f>M11*G11</f>
        <v>148902.34378593211</v>
      </c>
      <c r="L11" s="116">
        <f>L12</f>
        <v>4.5367865329732589E-2</v>
      </c>
      <c r="M11" s="117">
        <f t="shared" si="0"/>
        <v>3.1623216849436801E-2</v>
      </c>
      <c r="N11" s="117">
        <v>2.3570000000000001E-2</v>
      </c>
      <c r="O11" s="117">
        <f>M11-N11</f>
        <v>8.0532168494368006E-3</v>
      </c>
    </row>
    <row r="12" spans="1:17" ht="13.5" thickBot="1">
      <c r="A12" s="93">
        <f>A11+1</f>
        <v>5</v>
      </c>
      <c r="B12" s="122" t="s">
        <v>221</v>
      </c>
      <c r="C12" s="95"/>
      <c r="D12" s="110"/>
      <c r="E12" s="120"/>
      <c r="F12" s="120"/>
      <c r="G12" s="123">
        <f>SUM(G10:G11,G7:G8)</f>
        <v>95431587</v>
      </c>
      <c r="H12" s="124"/>
      <c r="I12" s="123">
        <f>SUM(I7:I11)</f>
        <v>177881195</v>
      </c>
      <c r="J12" s="125"/>
      <c r="K12" s="123">
        <f>'Exhibit 1.2'!G9</f>
        <v>8070090.0994519014</v>
      </c>
      <c r="L12" s="126">
        <f>K12/I12</f>
        <v>4.5367865329732589E-2</v>
      </c>
      <c r="M12" s="123"/>
      <c r="N12" s="123"/>
      <c r="O12" s="123"/>
    </row>
    <row r="13" spans="1:17" ht="13.5" thickTop="1">
      <c r="A13" s="93">
        <f>A12+1</f>
        <v>6</v>
      </c>
      <c r="B13" s="100" t="s">
        <v>222</v>
      </c>
      <c r="C13" s="127"/>
      <c r="D13" s="127"/>
      <c r="E13" s="128"/>
      <c r="F13" s="128"/>
      <c r="G13" s="129"/>
      <c r="H13" s="130"/>
      <c r="I13" s="131">
        <v>63252541</v>
      </c>
      <c r="J13" s="118"/>
      <c r="K13" s="129"/>
      <c r="L13" s="130"/>
      <c r="M13" s="131"/>
      <c r="N13" s="131"/>
      <c r="O13" s="131"/>
    </row>
    <row r="14" spans="1:17">
      <c r="A14" s="93">
        <f>A13+1</f>
        <v>7</v>
      </c>
      <c r="B14" s="100" t="s">
        <v>221</v>
      </c>
      <c r="C14" s="127"/>
      <c r="D14" s="127"/>
      <c r="E14" s="128"/>
      <c r="F14" s="128"/>
      <c r="G14" s="129"/>
      <c r="H14" s="130"/>
      <c r="I14" s="131">
        <f>SUM(I12:I13)</f>
        <v>241133736</v>
      </c>
      <c r="J14" s="118"/>
      <c r="K14" s="129"/>
      <c r="L14" s="130"/>
      <c r="M14" s="131"/>
      <c r="N14" s="131"/>
      <c r="O14" s="131"/>
    </row>
    <row r="15" spans="1:17" ht="13.5" thickBot="1">
      <c r="A15" s="93"/>
      <c r="B15" s="132"/>
      <c r="C15" s="132"/>
      <c r="D15" s="132"/>
      <c r="E15" s="133"/>
      <c r="F15" s="101"/>
      <c r="G15" s="134"/>
      <c r="H15" s="132"/>
      <c r="I15" s="134"/>
      <c r="J15" s="134"/>
      <c r="K15" s="134"/>
      <c r="L15" s="134"/>
      <c r="M15" s="134"/>
      <c r="N15" s="134"/>
      <c r="O15" s="134"/>
    </row>
    <row r="16" spans="1:17">
      <c r="A16" s="93"/>
      <c r="B16" s="100"/>
      <c r="C16" s="100"/>
      <c r="D16" s="100"/>
      <c r="E16" s="101"/>
      <c r="F16" s="101"/>
      <c r="G16" s="135"/>
      <c r="H16" s="100"/>
      <c r="I16" s="135"/>
      <c r="J16" s="135"/>
      <c r="K16" s="102" t="s">
        <v>203</v>
      </c>
      <c r="L16" s="135"/>
      <c r="M16" s="102" t="s">
        <v>203</v>
      </c>
      <c r="N16" s="102"/>
      <c r="O16" s="102"/>
    </row>
    <row r="17" spans="1:15">
      <c r="A17" s="93"/>
      <c r="B17" s="99" t="s">
        <v>223</v>
      </c>
      <c r="C17" s="100"/>
      <c r="D17" s="100"/>
      <c r="E17" s="101"/>
      <c r="F17" s="101"/>
      <c r="G17" s="238" t="s">
        <v>202</v>
      </c>
      <c r="H17" s="238"/>
      <c r="I17" s="238"/>
      <c r="J17" s="100"/>
      <c r="K17" s="102" t="s">
        <v>206</v>
      </c>
      <c r="L17" s="103" t="s">
        <v>224</v>
      </c>
      <c r="M17" s="102" t="s">
        <v>206</v>
      </c>
      <c r="N17" s="102"/>
      <c r="O17" s="102"/>
    </row>
    <row r="18" spans="1:15" ht="13.5" thickBot="1">
      <c r="A18" s="93"/>
      <c r="B18" s="104" t="s">
        <v>209</v>
      </c>
      <c r="C18" s="105"/>
      <c r="D18" s="105"/>
      <c r="E18" s="106" t="s">
        <v>210</v>
      </c>
      <c r="F18" s="107"/>
      <c r="G18" s="108" t="s">
        <v>210</v>
      </c>
      <c r="H18" s="108" t="s">
        <v>211</v>
      </c>
      <c r="I18" s="109" t="s">
        <v>212</v>
      </c>
      <c r="J18" s="100"/>
      <c r="K18" s="108" t="s">
        <v>154</v>
      </c>
      <c r="L18" s="108" t="s">
        <v>213</v>
      </c>
      <c r="M18" s="108" t="s">
        <v>214</v>
      </c>
      <c r="N18" s="108"/>
      <c r="O18" s="108"/>
    </row>
    <row r="19" spans="1:15">
      <c r="A19" s="93">
        <f>A14+1</f>
        <v>8</v>
      </c>
      <c r="B19" s="136" t="s">
        <v>225</v>
      </c>
      <c r="C19" s="110"/>
      <c r="D19" s="110" t="s">
        <v>226</v>
      </c>
      <c r="E19" s="120">
        <v>0</v>
      </c>
      <c r="F19" s="120"/>
      <c r="G19" s="112">
        <v>456000</v>
      </c>
      <c r="H19" s="113">
        <v>5.0114000000000001</v>
      </c>
      <c r="I19" s="112">
        <f>ROUND(G19*H19,0)</f>
        <v>2285198</v>
      </c>
      <c r="J19" s="118"/>
      <c r="K19" s="112">
        <f>'Exhibit 1.2'!G11</f>
        <v>73003.636851625895</v>
      </c>
      <c r="L19" s="137">
        <f>K19/I19</f>
        <v>3.194630699467875E-2</v>
      </c>
      <c r="M19" s="117">
        <f t="shared" ref="M19" si="1">L19*H19</f>
        <v>0.16009572287313309</v>
      </c>
      <c r="N19" s="117">
        <v>0.11910999999999999</v>
      </c>
      <c r="O19" s="117">
        <f>M19-N19</f>
        <v>4.0985722873133096E-2</v>
      </c>
    </row>
    <row r="20" spans="1:15">
      <c r="A20" s="93"/>
      <c r="B20" s="136"/>
      <c r="C20" s="110"/>
      <c r="D20" s="110"/>
      <c r="E20" s="120"/>
      <c r="F20" s="120"/>
      <c r="G20" s="112"/>
      <c r="H20" s="113"/>
      <c r="I20" s="112"/>
      <c r="J20" s="118"/>
      <c r="K20" s="112"/>
      <c r="L20" s="138"/>
      <c r="M20" s="117"/>
      <c r="N20" s="117"/>
      <c r="O20" s="117"/>
    </row>
    <row r="21" spans="1:15" ht="13.5" thickBot="1">
      <c r="A21" s="93"/>
      <c r="B21" s="133"/>
      <c r="C21" s="133"/>
      <c r="D21" s="133"/>
      <c r="E21" s="133"/>
      <c r="F21" s="101"/>
      <c r="G21" s="139"/>
      <c r="H21" s="140"/>
      <c r="I21" s="140"/>
      <c r="J21" s="100"/>
      <c r="K21" s="139"/>
      <c r="L21" s="140"/>
      <c r="M21" s="140"/>
      <c r="N21" s="140"/>
      <c r="O21" s="140"/>
    </row>
    <row r="22" spans="1:15">
      <c r="A22" s="93"/>
      <c r="B22" s="101"/>
      <c r="C22" s="101"/>
      <c r="D22" s="101"/>
      <c r="E22" s="101"/>
      <c r="F22" s="101"/>
      <c r="G22" s="141"/>
      <c r="H22" s="142"/>
      <c r="I22" s="142"/>
      <c r="J22" s="100"/>
      <c r="K22" s="102" t="s">
        <v>203</v>
      </c>
      <c r="L22" s="142"/>
      <c r="M22" s="102" t="s">
        <v>203</v>
      </c>
      <c r="N22" s="102"/>
      <c r="O22" s="102"/>
    </row>
    <row r="23" spans="1:15">
      <c r="A23" s="93"/>
      <c r="B23" s="99" t="s">
        <v>227</v>
      </c>
      <c r="C23" s="101"/>
      <c r="D23" s="101"/>
      <c r="E23" s="101"/>
      <c r="F23" s="102"/>
      <c r="G23" s="238" t="s">
        <v>202</v>
      </c>
      <c r="H23" s="238"/>
      <c r="I23" s="238"/>
      <c r="J23" s="100"/>
      <c r="K23" s="102" t="s">
        <v>206</v>
      </c>
      <c r="L23" s="103" t="s">
        <v>224</v>
      </c>
      <c r="M23" s="102" t="s">
        <v>206</v>
      </c>
      <c r="N23" s="102"/>
      <c r="O23" s="102"/>
    </row>
    <row r="24" spans="1:15" ht="13.5" thickBot="1">
      <c r="A24" s="93"/>
      <c r="B24" s="104" t="s">
        <v>209</v>
      </c>
      <c r="C24" s="105"/>
      <c r="D24" s="105"/>
      <c r="E24" s="106" t="s">
        <v>210</v>
      </c>
      <c r="F24" s="107"/>
      <c r="G24" s="108" t="s">
        <v>210</v>
      </c>
      <c r="H24" s="108" t="s">
        <v>211</v>
      </c>
      <c r="I24" s="109" t="s">
        <v>212</v>
      </c>
      <c r="J24" s="100"/>
      <c r="K24" s="108" t="s">
        <v>154</v>
      </c>
      <c r="L24" s="108" t="s">
        <v>213</v>
      </c>
      <c r="M24" s="108" t="s">
        <v>214</v>
      </c>
      <c r="N24" s="108"/>
      <c r="O24" s="108"/>
    </row>
    <row r="25" spans="1:15">
      <c r="A25" s="93">
        <f>A19+1</f>
        <v>9</v>
      </c>
      <c r="B25" s="110" t="s">
        <v>215</v>
      </c>
      <c r="C25" s="110" t="s">
        <v>216</v>
      </c>
      <c r="D25" s="110" t="s">
        <v>217</v>
      </c>
      <c r="E25" s="120">
        <v>200</v>
      </c>
      <c r="F25" s="120"/>
      <c r="G25" s="112">
        <v>649064</v>
      </c>
      <c r="H25" s="113">
        <v>0.73760999999999999</v>
      </c>
      <c r="I25" s="112">
        <f>ROUND(G25*H25,0)</f>
        <v>478756</v>
      </c>
      <c r="J25" s="118"/>
      <c r="K25" s="112">
        <f>M25*G25</f>
        <v>17270.490063199304</v>
      </c>
      <c r="L25" s="143">
        <f>L32</f>
        <v>3.6073671270146469E-2</v>
      </c>
      <c r="M25" s="113">
        <f t="shared" ref="M25:M27" si="2">L25*H25</f>
        <v>2.6608300665572737E-2</v>
      </c>
      <c r="N25" s="113">
        <v>1.9859999999999999E-2</v>
      </c>
      <c r="O25" s="113">
        <f>M25-N25</f>
        <v>6.748300665572738E-3</v>
      </c>
    </row>
    <row r="26" spans="1:15">
      <c r="A26" s="93">
        <f>A25+1</f>
        <v>10</v>
      </c>
      <c r="B26" s="119"/>
      <c r="C26" s="110" t="s">
        <v>218</v>
      </c>
      <c r="D26" s="110" t="s">
        <v>219</v>
      </c>
      <c r="E26" s="120">
        <v>1800</v>
      </c>
      <c r="F26" s="120"/>
      <c r="G26" s="112">
        <v>1792403</v>
      </c>
      <c r="H26" s="113">
        <v>0.59009</v>
      </c>
      <c r="I26" s="112">
        <f>ROUND(G26*H26,0)</f>
        <v>1057679</v>
      </c>
      <c r="J26" s="118"/>
      <c r="K26" s="112">
        <f>M26*G26</f>
        <v>38154.367667412866</v>
      </c>
      <c r="L26" s="143">
        <f>L32</f>
        <v>3.6073671270146469E-2</v>
      </c>
      <c r="M26" s="113">
        <f t="shared" si="2"/>
        <v>2.1286712679800729E-2</v>
      </c>
      <c r="N26" s="113">
        <v>1.5890000000000001E-2</v>
      </c>
      <c r="O26" s="113">
        <f>M26-N26</f>
        <v>5.3967126798007276E-3</v>
      </c>
    </row>
    <row r="27" spans="1:15">
      <c r="A27" s="93">
        <f>A26+1</f>
        <v>11</v>
      </c>
      <c r="B27" s="119"/>
      <c r="C27" s="110" t="s">
        <v>228</v>
      </c>
      <c r="D27" s="110" t="s">
        <v>226</v>
      </c>
      <c r="E27" s="120">
        <v>2000</v>
      </c>
      <c r="F27" s="120"/>
      <c r="G27" s="112">
        <v>1253015</v>
      </c>
      <c r="H27" s="113">
        <v>0.53108999999999995</v>
      </c>
      <c r="I27" s="112">
        <f>ROUND(G27*H27,0)</f>
        <v>665464</v>
      </c>
      <c r="J27" s="118"/>
      <c r="K27" s="112">
        <f>M27*G27</f>
        <v>24005.720067293321</v>
      </c>
      <c r="L27" s="143">
        <f>L32</f>
        <v>3.6073671270146469E-2</v>
      </c>
      <c r="M27" s="113">
        <f t="shared" si="2"/>
        <v>1.9158366074862088E-2</v>
      </c>
      <c r="N27" s="113">
        <v>1.43E-2</v>
      </c>
      <c r="O27" s="113">
        <f>M27-N27</f>
        <v>4.8583660748620881E-3</v>
      </c>
    </row>
    <row r="28" spans="1:15">
      <c r="A28" s="93"/>
      <c r="B28" s="119" t="s">
        <v>229</v>
      </c>
      <c r="C28" s="110"/>
      <c r="D28" s="110"/>
      <c r="E28" s="120"/>
      <c r="F28" s="120"/>
      <c r="G28" s="112"/>
      <c r="H28" s="144"/>
      <c r="I28" s="114"/>
      <c r="J28" s="118"/>
      <c r="K28" s="112"/>
      <c r="L28" s="143"/>
      <c r="M28" s="113"/>
      <c r="N28" s="113"/>
      <c r="O28" s="113"/>
    </row>
    <row r="29" spans="1:15">
      <c r="A29" s="93">
        <f>A27+1</f>
        <v>12</v>
      </c>
      <c r="B29" s="121" t="s">
        <v>220</v>
      </c>
      <c r="C29" s="110" t="s">
        <v>216</v>
      </c>
      <c r="D29" s="110" t="str">
        <f t="shared" ref="D29:E29" si="3">D25</f>
        <v>First</v>
      </c>
      <c r="E29" s="120">
        <f t="shared" si="3"/>
        <v>200</v>
      </c>
      <c r="F29" s="120"/>
      <c r="G29" s="112">
        <v>861165</v>
      </c>
      <c r="H29" s="113">
        <v>0.65959999999999996</v>
      </c>
      <c r="I29" s="112">
        <f>ROUND(G29*H29,0)</f>
        <v>568024</v>
      </c>
      <c r="J29" s="118"/>
      <c r="K29" s="112">
        <f>M29*G29</f>
        <v>20490.726705527009</v>
      </c>
      <c r="L29" s="143">
        <f>L32</f>
        <v>3.6073671270146469E-2</v>
      </c>
      <c r="M29" s="113">
        <f t="shared" ref="M29:M31" si="4">L29*H29</f>
        <v>2.379419356978861E-2</v>
      </c>
      <c r="N29" s="113">
        <v>1.7760000000000001E-2</v>
      </c>
      <c r="O29" s="113">
        <f>M29-N29</f>
        <v>6.0341935697886089E-3</v>
      </c>
    </row>
    <row r="30" spans="1:15">
      <c r="A30" s="93">
        <f>A29+1</f>
        <v>13</v>
      </c>
      <c r="B30" s="121"/>
      <c r="C30" s="110" t="s">
        <v>218</v>
      </c>
      <c r="D30" s="110" t="str">
        <f>D26</f>
        <v>Next</v>
      </c>
      <c r="E30" s="120">
        <f>E26</f>
        <v>1800</v>
      </c>
      <c r="F30" s="120"/>
      <c r="G30" s="112">
        <v>1821110</v>
      </c>
      <c r="H30" s="113">
        <v>0.51587000000000005</v>
      </c>
      <c r="I30" s="112">
        <f>ROUND(G30*H30,0)</f>
        <v>939456</v>
      </c>
      <c r="J30" s="118"/>
      <c r="K30" s="112">
        <f>M30*G30</f>
        <v>33889.62748312336</v>
      </c>
      <c r="L30" s="143">
        <f>L32</f>
        <v>3.6073671270146469E-2</v>
      </c>
      <c r="M30" s="113">
        <f t="shared" si="4"/>
        <v>1.8609324798130461E-2</v>
      </c>
      <c r="N30" s="113">
        <v>1.389E-2</v>
      </c>
      <c r="O30" s="113">
        <f>M30-N30</f>
        <v>4.7193247981304615E-3</v>
      </c>
    </row>
    <row r="31" spans="1:15">
      <c r="A31" s="93">
        <f>A30+1</f>
        <v>14</v>
      </c>
      <c r="B31" s="121"/>
      <c r="C31" s="110" t="s">
        <v>228</v>
      </c>
      <c r="D31" s="110" t="str">
        <f>D27</f>
        <v>All Over</v>
      </c>
      <c r="E31" s="120">
        <f>E27</f>
        <v>2000</v>
      </c>
      <c r="F31" s="120"/>
      <c r="G31" s="112">
        <v>950128</v>
      </c>
      <c r="H31" s="113">
        <v>0.44824999999999998</v>
      </c>
      <c r="I31" s="112">
        <f>ROUND(G31*H31,0)</f>
        <v>425895</v>
      </c>
      <c r="J31" s="118"/>
      <c r="K31" s="112">
        <f>M31*G31</f>
        <v>15363.591752463792</v>
      </c>
      <c r="L31" s="143">
        <f>L32</f>
        <v>3.6073671270146469E-2</v>
      </c>
      <c r="M31" s="113">
        <f t="shared" si="4"/>
        <v>1.6170023146843154E-2</v>
      </c>
      <c r="N31" s="113">
        <v>1.2070000000000001E-2</v>
      </c>
      <c r="O31" s="113">
        <f>M31-N31</f>
        <v>4.1000231468431535E-3</v>
      </c>
    </row>
    <row r="32" spans="1:15">
      <c r="A32" s="93">
        <f>A31+1</f>
        <v>15</v>
      </c>
      <c r="B32" s="122" t="s">
        <v>221</v>
      </c>
      <c r="C32" s="95"/>
      <c r="D32" s="110"/>
      <c r="E32" s="120"/>
      <c r="F32" s="120"/>
      <c r="G32" s="145">
        <f>SUM(G25:G31)</f>
        <v>7326885</v>
      </c>
      <c r="H32" s="146"/>
      <c r="I32" s="145">
        <f>SUM(I25:I31)</f>
        <v>4135274</v>
      </c>
      <c r="J32" s="118"/>
      <c r="K32" s="145">
        <f>'Exhibit 1.2'!G10</f>
        <v>149174.51488798368</v>
      </c>
      <c r="L32" s="137">
        <f>K32/I32</f>
        <v>3.6073671270146469E-2</v>
      </c>
      <c r="M32" s="145"/>
      <c r="N32" s="145"/>
      <c r="O32" s="145"/>
    </row>
    <row r="33" spans="1:15">
      <c r="A33" s="93"/>
      <c r="B33" s="122"/>
      <c r="C33" s="95"/>
      <c r="D33" s="110"/>
      <c r="E33" s="120"/>
      <c r="F33" s="120"/>
      <c r="G33" s="147"/>
      <c r="H33" s="148"/>
      <c r="I33" s="147"/>
      <c r="J33" s="118"/>
      <c r="K33" s="147"/>
      <c r="L33" s="138"/>
      <c r="M33" s="147"/>
      <c r="N33" s="147"/>
      <c r="O33" s="147"/>
    </row>
    <row r="34" spans="1:15" ht="13.5" thickBot="1">
      <c r="A34" s="93"/>
      <c r="B34" s="132"/>
      <c r="C34" s="132"/>
      <c r="D34" s="132"/>
      <c r="E34" s="133"/>
      <c r="F34" s="101"/>
      <c r="G34" s="134"/>
      <c r="H34" s="132"/>
      <c r="I34" s="134"/>
      <c r="J34" s="135"/>
      <c r="K34" s="134"/>
      <c r="L34" s="132"/>
      <c r="M34" s="134"/>
      <c r="N34" s="134"/>
      <c r="O34" s="134"/>
    </row>
    <row r="35" spans="1:15">
      <c r="A35" s="93"/>
      <c r="B35" s="100"/>
      <c r="C35" s="100"/>
      <c r="D35" s="100"/>
      <c r="E35" s="101"/>
      <c r="F35" s="101"/>
      <c r="G35" s="135"/>
      <c r="H35" s="100"/>
      <c r="I35" s="135"/>
      <c r="J35" s="135"/>
      <c r="K35" s="102" t="s">
        <v>203</v>
      </c>
      <c r="L35" s="100"/>
      <c r="M35" s="102" t="s">
        <v>203</v>
      </c>
      <c r="N35" s="102"/>
      <c r="O35" s="102"/>
    </row>
    <row r="36" spans="1:15">
      <c r="A36" s="93"/>
      <c r="B36" s="99" t="s">
        <v>230</v>
      </c>
      <c r="C36" s="100"/>
      <c r="D36" s="100"/>
      <c r="E36" s="103"/>
      <c r="F36" s="103"/>
      <c r="G36" s="238" t="s">
        <v>202</v>
      </c>
      <c r="H36" s="238"/>
      <c r="I36" s="238"/>
      <c r="J36" s="100"/>
      <c r="K36" s="102" t="s">
        <v>206</v>
      </c>
      <c r="L36" s="103" t="s">
        <v>224</v>
      </c>
      <c r="M36" s="102" t="s">
        <v>206</v>
      </c>
      <c r="N36" s="102"/>
      <c r="O36" s="102"/>
    </row>
    <row r="37" spans="1:15" ht="13.5" thickBot="1">
      <c r="A37" s="93"/>
      <c r="B37" s="104" t="s">
        <v>209</v>
      </c>
      <c r="C37" s="105"/>
      <c r="D37" s="105"/>
      <c r="E37" s="106" t="s">
        <v>210</v>
      </c>
      <c r="F37" s="107"/>
      <c r="G37" s="108" t="s">
        <v>210</v>
      </c>
      <c r="H37" s="108" t="s">
        <v>211</v>
      </c>
      <c r="I37" s="109" t="s">
        <v>212</v>
      </c>
      <c r="J37" s="100"/>
      <c r="K37" s="108" t="s">
        <v>154</v>
      </c>
      <c r="L37" s="108" t="s">
        <v>213</v>
      </c>
      <c r="M37" s="108" t="s">
        <v>214</v>
      </c>
      <c r="N37" s="108"/>
      <c r="O37" s="108"/>
    </row>
    <row r="38" spans="1:15">
      <c r="A38" s="93">
        <f>A32+1</f>
        <v>16</v>
      </c>
      <c r="B38" s="110"/>
      <c r="C38" s="110" t="s">
        <v>216</v>
      </c>
      <c r="D38" s="110" t="s">
        <v>217</v>
      </c>
      <c r="E38" s="149">
        <v>2000</v>
      </c>
      <c r="F38" s="150"/>
      <c r="G38" s="112">
        <v>1233654</v>
      </c>
      <c r="H38" s="113">
        <v>0.23780999999999999</v>
      </c>
      <c r="I38" s="112">
        <f>ROUND(G38*H38,0)</f>
        <v>293375</v>
      </c>
      <c r="J38" s="118"/>
      <c r="K38" s="112">
        <f>M38*G38</f>
        <v>9986.3537915027973</v>
      </c>
      <c r="L38" s="116">
        <f>L41</f>
        <v>3.4039522856944789E-2</v>
      </c>
      <c r="M38" s="113">
        <f t="shared" ref="M38:M40" si="5">L38*H38</f>
        <v>8.0949389306100399E-3</v>
      </c>
      <c r="N38" s="113">
        <v>6.0499999999999998E-3</v>
      </c>
      <c r="O38" s="113">
        <f>M38-N38</f>
        <v>2.04493893061004E-3</v>
      </c>
    </row>
    <row r="39" spans="1:15">
      <c r="A39" s="93">
        <f>A38+1</f>
        <v>17</v>
      </c>
      <c r="B39" s="119"/>
      <c r="C39" s="110" t="s">
        <v>218</v>
      </c>
      <c r="D39" s="110" t="s">
        <v>219</v>
      </c>
      <c r="E39" s="149">
        <v>18000</v>
      </c>
      <c r="F39" s="150"/>
      <c r="G39" s="112">
        <v>1191959</v>
      </c>
      <c r="H39" s="113">
        <v>0.21878</v>
      </c>
      <c r="I39" s="112">
        <f>ROUND(G39*H39,0)</f>
        <v>260777</v>
      </c>
      <c r="J39" s="118"/>
      <c r="K39" s="112">
        <f>M39*G39</f>
        <v>8876.7175044464821</v>
      </c>
      <c r="L39" s="116">
        <f>L41</f>
        <v>3.4039522856944789E-2</v>
      </c>
      <c r="M39" s="113">
        <f t="shared" si="5"/>
        <v>7.4471668106423812E-3</v>
      </c>
      <c r="N39" s="113">
        <v>5.5599999999999998E-3</v>
      </c>
      <c r="O39" s="113">
        <f>M39-N39</f>
        <v>1.8871668106423814E-3</v>
      </c>
    </row>
    <row r="40" spans="1:15">
      <c r="A40" s="93">
        <f>A39+1</f>
        <v>18</v>
      </c>
      <c r="B40" s="119"/>
      <c r="C40" s="110" t="s">
        <v>228</v>
      </c>
      <c r="D40" s="110" t="s">
        <v>226</v>
      </c>
      <c r="E40" s="149">
        <v>20000</v>
      </c>
      <c r="F40" s="150"/>
      <c r="G40" s="112">
        <v>3200</v>
      </c>
      <c r="H40" s="113">
        <v>0.20127999999999999</v>
      </c>
      <c r="I40" s="112">
        <f>ROUND(G40*H40,0)</f>
        <v>644</v>
      </c>
      <c r="J40" s="118"/>
      <c r="K40" s="112">
        <f>M40*G40</f>
        <v>21.92472051406671</v>
      </c>
      <c r="L40" s="116">
        <f>L41</f>
        <v>3.4039522856944789E-2</v>
      </c>
      <c r="M40" s="113">
        <f t="shared" si="5"/>
        <v>6.8514751606458466E-3</v>
      </c>
      <c r="N40" s="113">
        <v>5.1200000000000004E-3</v>
      </c>
      <c r="O40" s="113">
        <f>M40-N40</f>
        <v>1.7314751606458461E-3</v>
      </c>
    </row>
    <row r="41" spans="1:15">
      <c r="A41" s="93">
        <f>A40+1</f>
        <v>19</v>
      </c>
      <c r="B41" s="122" t="s">
        <v>221</v>
      </c>
      <c r="C41" s="95"/>
      <c r="D41" s="110"/>
      <c r="E41" s="120"/>
      <c r="F41" s="120"/>
      <c r="G41" s="145">
        <f>SUM(G38:G40)</f>
        <v>2428813</v>
      </c>
      <c r="H41" s="146"/>
      <c r="I41" s="145">
        <f>SUM(I38:I40)</f>
        <v>554796</v>
      </c>
      <c r="J41" s="118"/>
      <c r="K41" s="145">
        <f>'Exhibit 1.2'!G12</f>
        <v>18884.991122941541</v>
      </c>
      <c r="L41" s="137">
        <f>K41/I41</f>
        <v>3.4039522856944789E-2</v>
      </c>
      <c r="M41" s="145"/>
      <c r="N41" s="145"/>
      <c r="O41" s="145"/>
    </row>
    <row r="42" spans="1:15">
      <c r="A42" s="93"/>
      <c r="B42" s="122"/>
      <c r="C42" s="95"/>
      <c r="D42" s="110"/>
      <c r="E42" s="120"/>
      <c r="F42" s="120"/>
      <c r="G42" s="147"/>
      <c r="H42" s="148"/>
      <c r="I42" s="147"/>
      <c r="J42" s="118"/>
      <c r="K42" s="147"/>
      <c r="L42" s="138"/>
      <c r="M42" s="147"/>
      <c r="N42" s="147"/>
      <c r="O42" s="147"/>
    </row>
    <row r="43" spans="1:15" ht="13.5" thickBot="1">
      <c r="A43" s="93"/>
      <c r="B43" s="151"/>
      <c r="C43" s="152"/>
      <c r="D43" s="152"/>
      <c r="E43" s="153"/>
      <c r="F43" s="128"/>
      <c r="G43" s="154"/>
      <c r="H43" s="155"/>
      <c r="I43" s="134"/>
      <c r="J43" s="118"/>
      <c r="K43" s="154"/>
      <c r="L43" s="155"/>
      <c r="M43" s="134"/>
      <c r="N43" s="134"/>
      <c r="O43" s="134"/>
    </row>
    <row r="44" spans="1:15">
      <c r="A44" s="93"/>
      <c r="B44" s="156"/>
      <c r="C44" s="127"/>
      <c r="D44" s="127"/>
      <c r="E44" s="128"/>
      <c r="F44" s="128"/>
      <c r="G44" s="157"/>
      <c r="H44" s="158"/>
      <c r="I44" s="135"/>
      <c r="J44" s="118"/>
      <c r="K44" s="102" t="s">
        <v>203</v>
      </c>
      <c r="L44" s="158"/>
      <c r="M44" s="102" t="s">
        <v>203</v>
      </c>
      <c r="N44" s="102"/>
      <c r="O44" s="102"/>
    </row>
    <row r="45" spans="1:15">
      <c r="A45" s="93"/>
      <c r="B45" s="99" t="s">
        <v>231</v>
      </c>
      <c r="C45" s="100"/>
      <c r="D45" s="100"/>
      <c r="E45" s="103"/>
      <c r="F45" s="103"/>
      <c r="G45" s="238" t="s">
        <v>202</v>
      </c>
      <c r="H45" s="238"/>
      <c r="I45" s="238"/>
      <c r="J45" s="100"/>
      <c r="K45" s="102" t="s">
        <v>206</v>
      </c>
      <c r="L45" s="103" t="s">
        <v>207</v>
      </c>
      <c r="M45" s="102" t="s">
        <v>206</v>
      </c>
      <c r="N45" s="102"/>
      <c r="O45" s="102"/>
    </row>
    <row r="46" spans="1:15" ht="13.5" thickBot="1">
      <c r="A46" s="93"/>
      <c r="B46" s="104" t="s">
        <v>209</v>
      </c>
      <c r="C46" s="105"/>
      <c r="D46" s="105"/>
      <c r="E46" s="106" t="s">
        <v>210</v>
      </c>
      <c r="F46" s="107"/>
      <c r="G46" s="108" t="s">
        <v>210</v>
      </c>
      <c r="H46" s="108" t="s">
        <v>211</v>
      </c>
      <c r="I46" s="109" t="s">
        <v>212</v>
      </c>
      <c r="J46" s="100"/>
      <c r="K46" s="108" t="s">
        <v>154</v>
      </c>
      <c r="L46" s="108" t="s">
        <v>213</v>
      </c>
      <c r="M46" s="108" t="s">
        <v>214</v>
      </c>
      <c r="N46" s="108"/>
      <c r="O46" s="108"/>
    </row>
    <row r="47" spans="1:15">
      <c r="A47" s="93">
        <f>A41+1</f>
        <v>20</v>
      </c>
      <c r="B47" s="110"/>
      <c r="C47" s="110" t="s">
        <v>216</v>
      </c>
      <c r="D47" s="110" t="s">
        <v>217</v>
      </c>
      <c r="E47" s="120">
        <v>10000</v>
      </c>
      <c r="F47" s="120"/>
      <c r="G47" s="112">
        <v>1723306</v>
      </c>
      <c r="H47" s="113">
        <v>0.20574999999999999</v>
      </c>
      <c r="I47" s="112">
        <f>ROUND(G47*H47,0)</f>
        <v>354570</v>
      </c>
      <c r="J47" s="118"/>
      <c r="K47" s="112">
        <f>M47*G47</f>
        <v>35248.906158758233</v>
      </c>
      <c r="L47" s="116">
        <f>L51</f>
        <v>9.941305054495346E-2</v>
      </c>
      <c r="M47" s="113">
        <f t="shared" ref="M47:M49" si="6">L47*H47</f>
        <v>2.0454235149624172E-2</v>
      </c>
      <c r="N47" s="113">
        <v>1.5259999999999999E-2</v>
      </c>
      <c r="O47" s="113">
        <f>M47-N47</f>
        <v>5.1942351496241726E-3</v>
      </c>
    </row>
    <row r="48" spans="1:15">
      <c r="A48" s="93">
        <f>A47+1</f>
        <v>21</v>
      </c>
      <c r="B48" s="119"/>
      <c r="C48" s="110" t="s">
        <v>218</v>
      </c>
      <c r="D48" s="110" t="s">
        <v>219</v>
      </c>
      <c r="E48" s="120">
        <v>112500</v>
      </c>
      <c r="F48" s="120"/>
      <c r="G48" s="112">
        <v>4882975</v>
      </c>
      <c r="H48" s="113">
        <v>0.19081999999999999</v>
      </c>
      <c r="I48" s="112">
        <f>ROUND(G48*H48,0)</f>
        <v>931769</v>
      </c>
      <c r="J48" s="118"/>
      <c r="K48" s="112">
        <f>M48*G48</f>
        <v>92630.027473298876</v>
      </c>
      <c r="L48" s="116">
        <f>L51</f>
        <v>9.941305054495346E-2</v>
      </c>
      <c r="M48" s="113">
        <f t="shared" si="6"/>
        <v>1.8969998304988019E-2</v>
      </c>
      <c r="N48" s="113">
        <v>1.4149999999999999E-2</v>
      </c>
      <c r="O48" s="113">
        <f>M48-N48</f>
        <v>4.8199983049880199E-3</v>
      </c>
    </row>
    <row r="49" spans="1:17">
      <c r="A49" s="93">
        <f>A48+1</f>
        <v>22</v>
      </c>
      <c r="B49" s="119"/>
      <c r="C49" s="110" t="s">
        <v>228</v>
      </c>
      <c r="D49" s="110" t="s">
        <v>219</v>
      </c>
      <c r="E49" s="120">
        <v>477500</v>
      </c>
      <c r="F49" s="120"/>
      <c r="G49" s="112">
        <v>3280903</v>
      </c>
      <c r="H49" s="113">
        <v>0.12687999999999999</v>
      </c>
      <c r="I49" s="112">
        <f>ROUND(G49*H49,0)</f>
        <v>416281</v>
      </c>
      <c r="J49" s="118"/>
      <c r="K49" s="112">
        <f>M49*G49</f>
        <v>41383.761373962705</v>
      </c>
      <c r="L49" s="116">
        <f>L51</f>
        <v>9.941305054495346E-2</v>
      </c>
      <c r="M49" s="113">
        <f t="shared" si="6"/>
        <v>1.2613527853143694E-2</v>
      </c>
      <c r="N49" s="113">
        <v>9.41E-3</v>
      </c>
      <c r="O49" s="113">
        <f>M49-N49</f>
        <v>3.203527853143694E-3</v>
      </c>
    </row>
    <row r="50" spans="1:17">
      <c r="A50" s="93">
        <f>A49+1</f>
        <v>23</v>
      </c>
      <c r="B50" s="119"/>
      <c r="C50" s="110" t="s">
        <v>232</v>
      </c>
      <c r="D50" s="110" t="s">
        <v>226</v>
      </c>
      <c r="E50" s="120">
        <v>600000</v>
      </c>
      <c r="F50" s="120"/>
      <c r="G50" s="112">
        <v>0</v>
      </c>
      <c r="H50" s="113">
        <v>2.8029999999999999E-2</v>
      </c>
      <c r="I50" s="112">
        <f>ROUND(G50*H50,0)</f>
        <v>0</v>
      </c>
      <c r="J50" s="118"/>
      <c r="K50" s="112">
        <f>M50*G50</f>
        <v>0</v>
      </c>
      <c r="L50" s="113"/>
      <c r="M50" s="113"/>
      <c r="N50" s="113"/>
      <c r="O50" s="113"/>
    </row>
    <row r="51" spans="1:17">
      <c r="A51" s="93">
        <f>A50+1</f>
        <v>24</v>
      </c>
      <c r="B51" s="122" t="s">
        <v>221</v>
      </c>
      <c r="C51" s="95"/>
      <c r="D51" s="110"/>
      <c r="E51" s="120"/>
      <c r="F51" s="120"/>
      <c r="G51" s="145">
        <f>SUM(G47:G50)</f>
        <v>9887184</v>
      </c>
      <c r="H51" s="146"/>
      <c r="I51" s="145">
        <f>SUM(I47:I50)</f>
        <v>1702620</v>
      </c>
      <c r="J51" s="118"/>
      <c r="K51" s="145">
        <f>'Exhibit 1.2'!G15</f>
        <v>169262.64811884865</v>
      </c>
      <c r="L51" s="137">
        <f>K51/I51</f>
        <v>9.941305054495346E-2</v>
      </c>
      <c r="M51" s="145"/>
      <c r="N51" s="145"/>
      <c r="O51" s="145"/>
    </row>
    <row r="52" spans="1:17">
      <c r="A52" s="93"/>
      <c r="B52" s="122"/>
      <c r="C52" s="95"/>
      <c r="D52" s="110"/>
      <c r="E52" s="120"/>
      <c r="F52" s="120"/>
      <c r="G52" s="147"/>
      <c r="H52" s="148"/>
      <c r="I52" s="147"/>
      <c r="J52" s="118"/>
      <c r="K52" s="147"/>
      <c r="L52" s="138"/>
      <c r="M52" s="147"/>
      <c r="N52" s="147"/>
      <c r="O52" s="147"/>
    </row>
    <row r="53" spans="1:17" ht="13.5" thickBot="1">
      <c r="A53" s="93"/>
      <c r="B53" s="151"/>
      <c r="C53" s="152"/>
      <c r="D53" s="152"/>
      <c r="E53" s="153"/>
      <c r="F53" s="159"/>
      <c r="G53" s="154"/>
      <c r="H53" s="155"/>
      <c r="I53" s="134"/>
      <c r="J53" s="118"/>
      <c r="K53" s="154"/>
      <c r="L53" s="155"/>
      <c r="M53" s="134"/>
      <c r="N53" s="134"/>
      <c r="O53" s="134"/>
    </row>
    <row r="54" spans="1:17">
      <c r="A54" s="93"/>
      <c r="B54" s="156"/>
      <c r="C54" s="127"/>
      <c r="D54" s="127"/>
      <c r="E54" s="128"/>
      <c r="F54" s="159"/>
      <c r="G54" s="157"/>
      <c r="H54" s="158"/>
      <c r="I54" s="135"/>
      <c r="J54" s="118"/>
      <c r="K54" s="102" t="s">
        <v>203</v>
      </c>
      <c r="L54" s="158"/>
      <c r="M54" s="102" t="s">
        <v>203</v>
      </c>
      <c r="N54" s="102"/>
      <c r="O54" s="102"/>
    </row>
    <row r="55" spans="1:17">
      <c r="A55" s="93"/>
      <c r="B55" s="99" t="s">
        <v>233</v>
      </c>
      <c r="C55" s="100"/>
      <c r="D55" s="100"/>
      <c r="E55" s="103"/>
      <c r="F55" s="159"/>
      <c r="G55" s="238" t="s">
        <v>202</v>
      </c>
      <c r="H55" s="238"/>
      <c r="I55" s="238"/>
      <c r="J55" s="118"/>
      <c r="K55" s="102" t="s">
        <v>206</v>
      </c>
      <c r="L55" s="103" t="s">
        <v>207</v>
      </c>
      <c r="M55" s="102" t="s">
        <v>206</v>
      </c>
      <c r="N55" s="102"/>
      <c r="O55" s="102"/>
    </row>
    <row r="56" spans="1:17" ht="13.5" thickBot="1">
      <c r="A56" s="93"/>
      <c r="B56" s="104" t="s">
        <v>209</v>
      </c>
      <c r="C56" s="105"/>
      <c r="D56" s="105"/>
      <c r="E56" s="106" t="s">
        <v>210</v>
      </c>
      <c r="F56" s="159"/>
      <c r="G56" s="108" t="s">
        <v>210</v>
      </c>
      <c r="H56" s="108" t="s">
        <v>211</v>
      </c>
      <c r="I56" s="109" t="s">
        <v>212</v>
      </c>
      <c r="J56" s="118"/>
      <c r="K56" s="108" t="s">
        <v>154</v>
      </c>
      <c r="L56" s="108" t="s">
        <v>213</v>
      </c>
      <c r="M56" s="108" t="s">
        <v>214</v>
      </c>
      <c r="N56" s="108"/>
      <c r="O56" s="108"/>
    </row>
    <row r="57" spans="1:17">
      <c r="A57" s="93">
        <f>A51+1</f>
        <v>25</v>
      </c>
      <c r="B57" s="110"/>
      <c r="C57" s="110" t="s">
        <v>216</v>
      </c>
      <c r="D57" s="110" t="s">
        <v>217</v>
      </c>
      <c r="E57" s="120">
        <v>20000</v>
      </c>
      <c r="F57" s="159"/>
      <c r="G57" s="112">
        <v>15194389</v>
      </c>
      <c r="H57" s="113">
        <v>0.20175000000000001</v>
      </c>
      <c r="I57" s="112">
        <f>ROUND(G57*H57,0)</f>
        <v>3065468</v>
      </c>
      <c r="J57" s="118"/>
      <c r="K57" s="112">
        <f>M57*G57</f>
        <v>108297.20701025007</v>
      </c>
      <c r="L57" s="160">
        <f>L62</f>
        <v>3.5328115540699263E-2</v>
      </c>
      <c r="M57" s="113">
        <f>L57*H57</f>
        <v>7.1274473103360766E-3</v>
      </c>
      <c r="N57" s="113">
        <v>5.2399999999999999E-3</v>
      </c>
      <c r="O57" s="113">
        <f>M57-N57</f>
        <v>1.8874473103360767E-3</v>
      </c>
    </row>
    <row r="58" spans="1:17">
      <c r="A58" s="93">
        <f>A57+1</f>
        <v>26</v>
      </c>
      <c r="B58" s="119"/>
      <c r="C58" s="110" t="s">
        <v>218</v>
      </c>
      <c r="D58" s="110" t="s">
        <v>219</v>
      </c>
      <c r="E58" s="120">
        <v>80000</v>
      </c>
      <c r="F58" s="159"/>
      <c r="G58" s="112">
        <v>10713353</v>
      </c>
      <c r="H58" s="113">
        <v>0.15131</v>
      </c>
      <c r="I58" s="112">
        <f>ROUND(G58*H58,0)</f>
        <v>1621037</v>
      </c>
      <c r="J58" s="118"/>
      <c r="K58" s="112">
        <f t="shared" ref="K58:K60" si="7">M58*G58</f>
        <v>57268.198061966672</v>
      </c>
      <c r="L58" s="160">
        <f>L62</f>
        <v>3.5328115540699263E-2</v>
      </c>
      <c r="M58" s="113">
        <f t="shared" ref="M58:M61" si="8">L58*H58</f>
        <v>5.3454971624632055E-3</v>
      </c>
      <c r="N58" s="113">
        <v>3.9300000000000003E-3</v>
      </c>
      <c r="O58" s="113">
        <f>M58-N58</f>
        <v>1.4154971624632052E-3</v>
      </c>
    </row>
    <row r="59" spans="1:17">
      <c r="A59" s="93">
        <f>A58+1</f>
        <v>27</v>
      </c>
      <c r="B59" s="119"/>
      <c r="C59" s="110" t="s">
        <v>228</v>
      </c>
      <c r="D59" s="110" t="s">
        <v>219</v>
      </c>
      <c r="E59" s="120">
        <v>400000</v>
      </c>
      <c r="F59" s="159"/>
      <c r="G59" s="112">
        <v>7105060</v>
      </c>
      <c r="H59" s="113">
        <v>0.12105</v>
      </c>
      <c r="I59" s="112">
        <f>ROUND(G59*H59,0)</f>
        <v>860068</v>
      </c>
      <c r="J59" s="118"/>
      <c r="K59" s="112">
        <f t="shared" si="7"/>
        <v>30384.564472065864</v>
      </c>
      <c r="L59" s="160">
        <f>L62</f>
        <v>3.5328115540699263E-2</v>
      </c>
      <c r="M59" s="113">
        <f t="shared" si="8"/>
        <v>4.2764683862016456E-3</v>
      </c>
      <c r="N59" s="113">
        <v>3.14E-3</v>
      </c>
      <c r="O59" s="113">
        <f>M59-N59</f>
        <v>1.1364683862016456E-3</v>
      </c>
    </row>
    <row r="60" spans="1:17">
      <c r="A60" s="93">
        <f>A59+1</f>
        <v>28</v>
      </c>
      <c r="B60" s="119"/>
      <c r="C60" s="110" t="s">
        <v>232</v>
      </c>
      <c r="D60" s="110" t="s">
        <v>226</v>
      </c>
      <c r="E60" s="120">
        <v>500000</v>
      </c>
      <c r="F60" s="159"/>
      <c r="G60" s="112">
        <v>24736</v>
      </c>
      <c r="H60" s="161">
        <v>4.8419999999999998E-2</v>
      </c>
      <c r="I60" s="147">
        <f>ROUND(G60*H60,0)</f>
        <v>1198</v>
      </c>
      <c r="J60" s="118"/>
      <c r="K60" s="147">
        <f t="shared" si="7"/>
        <v>42.313088800433562</v>
      </c>
      <c r="L60" s="160">
        <f>L62</f>
        <v>3.5328115540699263E-2</v>
      </c>
      <c r="M60" s="161">
        <f t="shared" si="8"/>
        <v>1.7105873544806583E-3</v>
      </c>
      <c r="N60" s="161">
        <v>1.2600000000000001E-3</v>
      </c>
      <c r="O60" s="161">
        <f>M60-N60</f>
        <v>4.5058735448065827E-4</v>
      </c>
    </row>
    <row r="61" spans="1:17">
      <c r="A61" s="93">
        <f>A60+1</f>
        <v>29</v>
      </c>
      <c r="B61" s="162" t="s">
        <v>234</v>
      </c>
      <c r="C61" s="121"/>
      <c r="D61" s="156"/>
      <c r="E61" s="159"/>
      <c r="F61" s="159"/>
      <c r="G61" s="163">
        <v>43851</v>
      </c>
      <c r="H61" s="227">
        <v>19.010000000000002</v>
      </c>
      <c r="I61" s="163">
        <f>G61*H61</f>
        <v>833607.51000000013</v>
      </c>
      <c r="J61" s="118"/>
      <c r="K61" s="163">
        <f>M61*G61</f>
        <v>29449.78242887462</v>
      </c>
      <c r="L61" s="164">
        <f>L62</f>
        <v>3.5328115540699263E-2</v>
      </c>
      <c r="M61" s="165">
        <f t="shared" si="8"/>
        <v>0.6715874764286931</v>
      </c>
      <c r="N61" s="165"/>
      <c r="O61" s="165"/>
      <c r="Q61" s="9"/>
    </row>
    <row r="62" spans="1:17">
      <c r="A62" s="93">
        <f>A61+1</f>
        <v>30</v>
      </c>
      <c r="B62" s="162" t="s">
        <v>235</v>
      </c>
      <c r="C62" s="121"/>
      <c r="D62" s="156"/>
      <c r="E62" s="159"/>
      <c r="F62" s="159"/>
      <c r="G62" s="147"/>
      <c r="H62" s="161"/>
      <c r="I62" s="147">
        <f>SUM(I57:I61)</f>
        <v>6381378.5099999998</v>
      </c>
      <c r="J62" s="118"/>
      <c r="K62" s="147">
        <f>'Exhibit 1.2'!G13</f>
        <v>225442.0773102153</v>
      </c>
      <c r="L62" s="138">
        <f>K62/I62</f>
        <v>3.5328115540699263E-2</v>
      </c>
      <c r="M62" s="166"/>
      <c r="N62" s="166"/>
      <c r="O62" s="166"/>
    </row>
    <row r="63" spans="1:17">
      <c r="A63" s="93"/>
      <c r="B63" s="162"/>
      <c r="C63" s="121"/>
      <c r="D63" s="156"/>
      <c r="E63" s="159"/>
      <c r="F63" s="159"/>
      <c r="G63" s="147"/>
      <c r="H63" s="161"/>
      <c r="I63" s="147"/>
      <c r="J63" s="118"/>
      <c r="K63" s="147"/>
      <c r="L63" s="138"/>
      <c r="M63" s="166"/>
      <c r="N63" s="166"/>
      <c r="O63" s="166"/>
    </row>
    <row r="64" spans="1:17" ht="13.5" thickBot="1">
      <c r="A64" s="93"/>
      <c r="B64" s="151"/>
      <c r="C64" s="167"/>
      <c r="D64" s="151"/>
      <c r="E64" s="168"/>
      <c r="F64" s="159"/>
      <c r="G64" s="169"/>
      <c r="H64" s="170"/>
      <c r="I64" s="134"/>
      <c r="J64" s="100"/>
      <c r="K64" s="134"/>
      <c r="L64" s="170"/>
      <c r="M64" s="134"/>
      <c r="N64" s="134"/>
      <c r="O64" s="134"/>
    </row>
    <row r="65" spans="1:15">
      <c r="A65" s="93"/>
      <c r="B65" s="156"/>
      <c r="C65" s="121"/>
      <c r="D65" s="156"/>
      <c r="E65" s="159"/>
      <c r="F65" s="159"/>
      <c r="G65" s="147"/>
      <c r="H65" s="166"/>
      <c r="I65" s="135"/>
      <c r="J65" s="100"/>
      <c r="K65" s="102" t="s">
        <v>203</v>
      </c>
      <c r="L65" s="166"/>
      <c r="M65" s="102" t="s">
        <v>203</v>
      </c>
      <c r="N65" s="102"/>
      <c r="O65" s="102"/>
    </row>
    <row r="66" spans="1:15">
      <c r="A66" s="93"/>
      <c r="B66" s="99" t="s">
        <v>236</v>
      </c>
      <c r="C66" s="100"/>
      <c r="D66" s="100"/>
      <c r="E66" s="103"/>
      <c r="F66" s="103"/>
      <c r="G66" s="238" t="s">
        <v>202</v>
      </c>
      <c r="H66" s="238"/>
      <c r="I66" s="238"/>
      <c r="J66" s="100"/>
      <c r="K66" s="102" t="s">
        <v>206</v>
      </c>
      <c r="L66" s="103" t="s">
        <v>224</v>
      </c>
      <c r="M66" s="102" t="s">
        <v>206</v>
      </c>
      <c r="N66" s="102"/>
      <c r="O66" s="102"/>
    </row>
    <row r="67" spans="1:15" ht="13.5" thickBot="1">
      <c r="A67" s="93"/>
      <c r="B67" s="104" t="s">
        <v>209</v>
      </c>
      <c r="C67" s="105"/>
      <c r="D67" s="105"/>
      <c r="E67" s="106" t="s">
        <v>210</v>
      </c>
      <c r="F67" s="107"/>
      <c r="G67" s="106" t="s">
        <v>210</v>
      </c>
      <c r="H67" s="106" t="s">
        <v>211</v>
      </c>
      <c r="I67" s="106" t="s">
        <v>212</v>
      </c>
      <c r="J67" s="100"/>
      <c r="K67" s="108" t="s">
        <v>154</v>
      </c>
      <c r="L67" s="108" t="s">
        <v>213</v>
      </c>
      <c r="M67" s="108" t="s">
        <v>214</v>
      </c>
      <c r="N67" s="108"/>
      <c r="O67" s="108"/>
    </row>
    <row r="68" spans="1:15">
      <c r="A68" s="93">
        <f>A62+1</f>
        <v>31</v>
      </c>
      <c r="B68" s="136" t="s">
        <v>225</v>
      </c>
      <c r="C68" s="110"/>
      <c r="D68" s="110" t="s">
        <v>226</v>
      </c>
      <c r="E68" s="120">
        <v>0</v>
      </c>
      <c r="F68" s="120"/>
      <c r="G68" s="112">
        <v>29039</v>
      </c>
      <c r="H68" s="228">
        <v>0.65141000000000004</v>
      </c>
      <c r="I68" s="171">
        <f>G68*H68</f>
        <v>18916.294990000002</v>
      </c>
      <c r="J68" s="118"/>
      <c r="K68" s="112">
        <f>'Exhibit 1.2'!G14</f>
        <v>677.48510976559862</v>
      </c>
      <c r="L68" s="116">
        <f>K68/I68</f>
        <v>3.5814894519447256E-2</v>
      </c>
      <c r="M68" s="113">
        <f t="shared" ref="M68" si="9">L68*H68</f>
        <v>2.3330180438913137E-2</v>
      </c>
      <c r="N68" s="113">
        <v>1.745E-2</v>
      </c>
      <c r="O68" s="113">
        <f>M68-N68</f>
        <v>5.8801804389131372E-3</v>
      </c>
    </row>
    <row r="69" spans="1:15">
      <c r="A69" s="93">
        <f>A68+1</f>
        <v>32</v>
      </c>
      <c r="B69" s="122" t="s">
        <v>221</v>
      </c>
      <c r="C69" s="95"/>
      <c r="D69" s="110"/>
      <c r="E69" s="120"/>
      <c r="F69" s="120"/>
      <c r="G69" s="150">
        <f>SUM(G68)</f>
        <v>29039</v>
      </c>
      <c r="H69" s="172"/>
      <c r="I69" s="150">
        <f>SUM(I68)</f>
        <v>18916.294990000002</v>
      </c>
      <c r="J69" s="118"/>
      <c r="K69" s="147"/>
      <c r="L69" s="148"/>
      <c r="M69" s="147"/>
      <c r="N69" s="147"/>
      <c r="O69" s="147"/>
    </row>
    <row r="70" spans="1:15">
      <c r="A70" s="93"/>
      <c r="B70" s="156"/>
      <c r="C70" s="127"/>
      <c r="D70" s="127"/>
      <c r="E70" s="128"/>
      <c r="F70" s="128"/>
      <c r="G70" s="129"/>
      <c r="H70" s="130"/>
      <c r="I70" s="131"/>
      <c r="J70" s="118"/>
      <c r="K70" s="129"/>
      <c r="L70" s="130"/>
      <c r="M70" s="131"/>
      <c r="N70" s="131"/>
      <c r="O70" s="131"/>
    </row>
    <row r="71" spans="1:15" ht="13.5" thickBot="1">
      <c r="A71" s="93">
        <f>A69+1</f>
        <v>33</v>
      </c>
      <c r="B71" s="95"/>
      <c r="C71" s="95"/>
      <c r="D71" s="95"/>
      <c r="E71" s="96"/>
      <c r="F71" s="96"/>
      <c r="G71" s="95"/>
      <c r="H71" s="95"/>
      <c r="I71" s="173" t="s">
        <v>88</v>
      </c>
      <c r="J71" s="97"/>
      <c r="K71" s="174">
        <f>SUM(K68,K62,K51,K41,K32,K19,K12)</f>
        <v>8706535.4528532829</v>
      </c>
      <c r="L71" s="95"/>
      <c r="M71" s="95"/>
      <c r="N71" s="95"/>
      <c r="O71" s="95"/>
    </row>
    <row r="72" spans="1:15" ht="13.5" thickTop="1"/>
    <row r="74" spans="1:15">
      <c r="G74" s="218"/>
    </row>
  </sheetData>
  <mergeCells count="8">
    <mergeCell ref="G55:I55"/>
    <mergeCell ref="G66:I66"/>
    <mergeCell ref="B1:M1"/>
    <mergeCell ref="G4:I4"/>
    <mergeCell ref="G17:I17"/>
    <mergeCell ref="G23:I23"/>
    <mergeCell ref="G36:I36"/>
    <mergeCell ref="G45:I45"/>
  </mergeCells>
  <pageMargins left="0.7" right="0.7" top="0.81968750000000001" bottom="0.75" header="0.3" footer="0.3"/>
  <pageSetup scale="61" orientation="portrait" r:id="rId1"/>
  <headerFooter scaleWithDoc="0">
    <oddHeader>&amp;RQuestar Gas Company
Docket 11-057-16
Exhibit 1.3</oddHeader>
  </headerFooter>
</worksheet>
</file>

<file path=xl/worksheets/sheet6.xml><?xml version="1.0" encoding="utf-8"?>
<worksheet xmlns="http://schemas.openxmlformats.org/spreadsheetml/2006/main" xmlns:r="http://schemas.openxmlformats.org/officeDocument/2006/relationships">
  <dimension ref="A1:J39"/>
  <sheetViews>
    <sheetView view="pageLayout" zoomScaleNormal="100" workbookViewId="0">
      <selection activeCell="D39" sqref="D39"/>
    </sheetView>
  </sheetViews>
  <sheetFormatPr defaultRowHeight="12.75"/>
  <cols>
    <col min="1" max="1" width="5" customWidth="1"/>
    <col min="2" max="2" width="8.7109375" bestFit="1" customWidth="1"/>
    <col min="3" max="3" width="9" customWidth="1"/>
    <col min="4" max="4" width="10.42578125" customWidth="1"/>
    <col min="5" max="5" width="14.140625" customWidth="1"/>
    <col min="6" max="6" width="3.5703125" customWidth="1"/>
    <col min="7" max="7" width="12.7109375" customWidth="1"/>
    <col min="8" max="8" width="2.85546875" customWidth="1"/>
    <col min="9" max="9" width="12.7109375" customWidth="1"/>
    <col min="10" max="10" width="2.85546875" customWidth="1"/>
  </cols>
  <sheetData>
    <row r="1" spans="1:10">
      <c r="A1" s="175"/>
      <c r="B1" s="247" t="s">
        <v>237</v>
      </c>
      <c r="C1" s="248"/>
      <c r="D1" s="248"/>
      <c r="E1" s="248"/>
      <c r="F1" s="248"/>
      <c r="G1" s="248"/>
      <c r="H1" s="248"/>
      <c r="I1" s="248"/>
      <c r="J1" s="176"/>
    </row>
    <row r="2" spans="1:10">
      <c r="A2" s="175"/>
      <c r="B2" s="247" t="s">
        <v>238</v>
      </c>
      <c r="C2" s="248"/>
      <c r="D2" s="248"/>
      <c r="E2" s="248"/>
      <c r="F2" s="248"/>
      <c r="G2" s="248"/>
      <c r="H2" s="248"/>
      <c r="I2" s="248"/>
      <c r="J2" s="176"/>
    </row>
    <row r="3" spans="1:10">
      <c r="A3" s="175"/>
      <c r="B3" s="175"/>
      <c r="C3" s="177"/>
      <c r="D3" s="175"/>
      <c r="E3" s="175"/>
      <c r="F3" s="175"/>
      <c r="G3" s="175"/>
      <c r="H3" s="175"/>
      <c r="I3" s="175"/>
      <c r="J3" s="175"/>
    </row>
    <row r="4" spans="1:10">
      <c r="A4" s="175"/>
      <c r="B4" s="175"/>
      <c r="C4" s="177"/>
      <c r="D4" s="175"/>
      <c r="E4" s="175"/>
      <c r="F4" s="175"/>
      <c r="G4" s="175"/>
      <c r="H4" s="175"/>
      <c r="I4" s="175"/>
      <c r="J4" s="175"/>
    </row>
    <row r="5" spans="1:10">
      <c r="A5" s="175"/>
      <c r="B5" s="178" t="s">
        <v>239</v>
      </c>
      <c r="C5" s="178" t="s">
        <v>240</v>
      </c>
      <c r="D5" s="179" t="s">
        <v>241</v>
      </c>
      <c r="E5" s="249" t="s">
        <v>242</v>
      </c>
      <c r="F5" s="249"/>
      <c r="G5" s="249" t="s">
        <v>243</v>
      </c>
      <c r="H5" s="249"/>
      <c r="I5" s="249" t="s">
        <v>244</v>
      </c>
      <c r="J5" s="249"/>
    </row>
    <row r="6" spans="1:10">
      <c r="A6" s="175"/>
      <c r="B6" s="180"/>
      <c r="C6" s="176"/>
      <c r="D6" s="180"/>
      <c r="E6" s="247" t="s">
        <v>245</v>
      </c>
      <c r="F6" s="248"/>
      <c r="G6" s="247" t="s">
        <v>246</v>
      </c>
      <c r="H6" s="248"/>
      <c r="I6" s="180"/>
      <c r="J6" s="180"/>
    </row>
    <row r="7" spans="1:10">
      <c r="A7" s="181"/>
      <c r="B7" s="182" t="s">
        <v>214</v>
      </c>
      <c r="C7" s="182"/>
      <c r="D7" s="183" t="s">
        <v>247</v>
      </c>
      <c r="E7" s="240" t="s">
        <v>248</v>
      </c>
      <c r="F7" s="241"/>
      <c r="G7" s="242" t="s">
        <v>249</v>
      </c>
      <c r="H7" s="243"/>
      <c r="I7" s="184"/>
      <c r="J7" s="184"/>
    </row>
    <row r="8" spans="1:10" ht="13.5" thickBot="1">
      <c r="A8" s="185"/>
      <c r="B8" s="186" t="s">
        <v>250</v>
      </c>
      <c r="C8" s="186" t="s">
        <v>251</v>
      </c>
      <c r="D8" s="187" t="s">
        <v>252</v>
      </c>
      <c r="E8" s="244" t="str">
        <f>A39</f>
        <v>10/1/11</v>
      </c>
      <c r="F8" s="244"/>
      <c r="G8" s="245" t="s">
        <v>253</v>
      </c>
      <c r="H8" s="246"/>
      <c r="I8" s="188" t="s">
        <v>254</v>
      </c>
      <c r="J8" s="186"/>
    </row>
    <row r="9" spans="1:10">
      <c r="A9" s="175"/>
      <c r="B9" s="175"/>
      <c r="C9" s="177"/>
      <c r="D9" s="175"/>
      <c r="E9" s="175"/>
      <c r="F9" s="175"/>
      <c r="G9" s="175"/>
      <c r="H9" s="175"/>
      <c r="I9" s="175"/>
      <c r="J9" s="175"/>
    </row>
    <row r="10" spans="1:10">
      <c r="A10" s="177">
        <v>1</v>
      </c>
      <c r="B10" s="177" t="s">
        <v>183</v>
      </c>
      <c r="C10" s="177" t="s">
        <v>255</v>
      </c>
      <c r="D10" s="189">
        <v>14.9</v>
      </c>
      <c r="E10" s="190">
        <f>ROUND((D10*$D$39)+$B$39,2)</f>
        <v>117.97</v>
      </c>
      <c r="F10" s="190"/>
      <c r="G10" s="190">
        <f>ROUND((D10*$D$36)+$B$36,2)</f>
        <v>118.36</v>
      </c>
      <c r="H10" s="190"/>
      <c r="I10" s="190">
        <f>G10-E10</f>
        <v>0.39000000000000057</v>
      </c>
      <c r="J10" s="190"/>
    </row>
    <row r="11" spans="1:10">
      <c r="A11" s="177">
        <f t="shared" ref="A11:A21" si="0">A10+1</f>
        <v>2</v>
      </c>
      <c r="B11" s="175"/>
      <c r="C11" s="177" t="s">
        <v>256</v>
      </c>
      <c r="D11" s="189">
        <v>12.5</v>
      </c>
      <c r="E11" s="191">
        <f>ROUND((D11*$D$39)+$B$39,2)</f>
        <v>99.78</v>
      </c>
      <c r="F11" s="191"/>
      <c r="G11" s="191">
        <f t="shared" ref="G11:G12" si="1">ROUND((D11*$D$36)+$B$36,2)</f>
        <v>100.1</v>
      </c>
      <c r="H11" s="191"/>
      <c r="I11" s="191">
        <f t="shared" ref="I11:I21" si="2">G11-E11</f>
        <v>0.31999999999999318</v>
      </c>
      <c r="J11" s="191"/>
    </row>
    <row r="12" spans="1:10">
      <c r="A12" s="177">
        <f t="shared" si="0"/>
        <v>3</v>
      </c>
      <c r="B12" s="175"/>
      <c r="C12" s="177" t="s">
        <v>257</v>
      </c>
      <c r="D12" s="189">
        <v>10.1</v>
      </c>
      <c r="E12" s="191">
        <f>ROUND((D12*$D$39)+$B$39,2)</f>
        <v>81.58</v>
      </c>
      <c r="F12" s="191"/>
      <c r="G12" s="191">
        <f t="shared" si="1"/>
        <v>81.84</v>
      </c>
      <c r="H12" s="191"/>
      <c r="I12" s="191">
        <f t="shared" si="2"/>
        <v>0.26000000000000512</v>
      </c>
      <c r="J12" s="191"/>
    </row>
    <row r="13" spans="1:10">
      <c r="A13" s="177">
        <f t="shared" si="0"/>
        <v>4</v>
      </c>
      <c r="B13" s="175"/>
      <c r="C13" s="177" t="s">
        <v>258</v>
      </c>
      <c r="D13" s="189">
        <v>8.3000000000000007</v>
      </c>
      <c r="E13" s="191">
        <f>ROUND((D13*$C$39)+$B$39,2)</f>
        <v>64.95</v>
      </c>
      <c r="F13" s="191"/>
      <c r="G13" s="191">
        <f>ROUND((D13*$C$36)+$B$36,2)</f>
        <v>65.13</v>
      </c>
      <c r="H13" s="191"/>
      <c r="I13" s="191">
        <f t="shared" si="2"/>
        <v>0.17999999999999261</v>
      </c>
      <c r="J13" s="191"/>
    </row>
    <row r="14" spans="1:10">
      <c r="A14" s="177">
        <f t="shared" si="0"/>
        <v>5</v>
      </c>
      <c r="B14" s="175"/>
      <c r="C14" s="177" t="s">
        <v>259</v>
      </c>
      <c r="D14" s="189">
        <v>4.4000000000000004</v>
      </c>
      <c r="E14" s="191">
        <f t="shared" ref="E14:E19" si="3">ROUND((D14*$C$39)+$B$39,2)</f>
        <v>36.78</v>
      </c>
      <c r="F14" s="191"/>
      <c r="G14" s="191">
        <f t="shared" ref="G14:G19" si="4">ROUND((D14*$C$36)+$B$36,2)</f>
        <v>36.869999999999997</v>
      </c>
      <c r="H14" s="191"/>
      <c r="I14" s="191">
        <f t="shared" si="2"/>
        <v>8.9999999999996305E-2</v>
      </c>
      <c r="J14" s="191"/>
    </row>
    <row r="15" spans="1:10">
      <c r="A15" s="177">
        <f t="shared" si="0"/>
        <v>6</v>
      </c>
      <c r="B15" s="175"/>
      <c r="C15" s="177" t="s">
        <v>260</v>
      </c>
      <c r="D15" s="189">
        <v>3.1</v>
      </c>
      <c r="E15" s="191">
        <f t="shared" si="3"/>
        <v>27.39</v>
      </c>
      <c r="F15" s="191"/>
      <c r="G15" s="191">
        <f t="shared" si="4"/>
        <v>27.46</v>
      </c>
      <c r="H15" s="191"/>
      <c r="I15" s="191">
        <f t="shared" si="2"/>
        <v>7.0000000000000284E-2</v>
      </c>
      <c r="J15" s="191"/>
    </row>
    <row r="16" spans="1:10">
      <c r="A16" s="177">
        <f t="shared" si="0"/>
        <v>7</v>
      </c>
      <c r="B16" s="175"/>
      <c r="C16" s="177" t="s">
        <v>261</v>
      </c>
      <c r="D16" s="189">
        <v>2</v>
      </c>
      <c r="E16" s="191">
        <f t="shared" si="3"/>
        <v>19.440000000000001</v>
      </c>
      <c r="F16" s="191"/>
      <c r="G16" s="191">
        <f t="shared" si="4"/>
        <v>19.489999999999998</v>
      </c>
      <c r="H16" s="191"/>
      <c r="I16" s="191">
        <f t="shared" si="2"/>
        <v>4.9999999999997158E-2</v>
      </c>
      <c r="J16" s="191"/>
    </row>
    <row r="17" spans="1:10">
      <c r="A17" s="177">
        <f t="shared" si="0"/>
        <v>8</v>
      </c>
      <c r="B17" s="175"/>
      <c r="C17" s="177" t="s">
        <v>262</v>
      </c>
      <c r="D17" s="189">
        <v>1.8</v>
      </c>
      <c r="E17" s="191">
        <f t="shared" si="3"/>
        <v>18</v>
      </c>
      <c r="F17" s="191"/>
      <c r="G17" s="191">
        <f t="shared" si="4"/>
        <v>18.04</v>
      </c>
      <c r="H17" s="191"/>
      <c r="I17" s="191">
        <f t="shared" si="2"/>
        <v>3.9999999999999147E-2</v>
      </c>
      <c r="J17" s="191"/>
    </row>
    <row r="18" spans="1:10">
      <c r="A18" s="177">
        <f t="shared" si="0"/>
        <v>9</v>
      </c>
      <c r="B18" s="175"/>
      <c r="C18" s="177" t="s">
        <v>263</v>
      </c>
      <c r="D18" s="189">
        <v>2</v>
      </c>
      <c r="E18" s="191">
        <f t="shared" si="3"/>
        <v>19.440000000000001</v>
      </c>
      <c r="F18" s="191"/>
      <c r="G18" s="191">
        <f t="shared" si="4"/>
        <v>19.489999999999998</v>
      </c>
      <c r="H18" s="191"/>
      <c r="I18" s="191">
        <f t="shared" si="2"/>
        <v>4.9999999999997158E-2</v>
      </c>
      <c r="J18" s="191"/>
    </row>
    <row r="19" spans="1:10">
      <c r="A19" s="177">
        <f t="shared" si="0"/>
        <v>10</v>
      </c>
      <c r="B19" s="175"/>
      <c r="C19" s="177" t="s">
        <v>264</v>
      </c>
      <c r="D19" s="189">
        <v>3.1</v>
      </c>
      <c r="E19" s="191">
        <f t="shared" si="3"/>
        <v>27.39</v>
      </c>
      <c r="F19" s="191"/>
      <c r="G19" s="191">
        <f t="shared" si="4"/>
        <v>27.46</v>
      </c>
      <c r="H19" s="191"/>
      <c r="I19" s="191">
        <f t="shared" si="2"/>
        <v>7.0000000000000284E-2</v>
      </c>
      <c r="J19" s="191"/>
    </row>
    <row r="20" spans="1:10">
      <c r="A20" s="177">
        <f t="shared" si="0"/>
        <v>11</v>
      </c>
      <c r="B20" s="175"/>
      <c r="C20" s="177" t="s">
        <v>265</v>
      </c>
      <c r="D20" s="189">
        <v>6.3</v>
      </c>
      <c r="E20" s="191">
        <f>ROUND((D20*$D$39)+$B$39,2)</f>
        <v>52.77</v>
      </c>
      <c r="F20" s="191"/>
      <c r="G20" s="191">
        <f t="shared" ref="G20:G21" si="5">ROUND((D20*$D$36)+$B$36,2)</f>
        <v>52.93</v>
      </c>
      <c r="H20" s="191"/>
      <c r="I20" s="191">
        <f t="shared" si="2"/>
        <v>0.15999999999999659</v>
      </c>
      <c r="J20" s="191"/>
    </row>
    <row r="21" spans="1:10">
      <c r="A21" s="177">
        <f t="shared" si="0"/>
        <v>12</v>
      </c>
      <c r="B21" s="175"/>
      <c r="C21" s="177" t="s">
        <v>266</v>
      </c>
      <c r="D21" s="189">
        <v>11.5</v>
      </c>
      <c r="E21" s="191">
        <f>ROUND((D21*$D$39)+$B$39,2)</f>
        <v>92.19</v>
      </c>
      <c r="F21" s="191"/>
      <c r="G21" s="191">
        <f t="shared" si="5"/>
        <v>92.49</v>
      </c>
      <c r="H21" s="191"/>
      <c r="I21" s="191">
        <f t="shared" si="2"/>
        <v>0.29999999999999716</v>
      </c>
      <c r="J21" s="191"/>
    </row>
    <row r="22" spans="1:10" ht="13.5" thickBot="1">
      <c r="A22" s="177"/>
      <c r="B22" s="175"/>
      <c r="C22" s="177"/>
      <c r="D22" s="192"/>
      <c r="E22" s="193"/>
      <c r="F22" s="193"/>
      <c r="G22" s="193"/>
      <c r="H22" s="193"/>
      <c r="I22" s="194"/>
      <c r="J22" s="195"/>
    </row>
    <row r="23" spans="1:10" ht="13.5" thickTop="1">
      <c r="A23" s="177"/>
      <c r="B23" s="175"/>
      <c r="C23" s="177"/>
      <c r="D23" s="196"/>
      <c r="E23" s="197"/>
      <c r="F23" s="197"/>
      <c r="G23" s="177"/>
      <c r="H23" s="177"/>
      <c r="I23" s="197" t="s">
        <v>267</v>
      </c>
      <c r="J23" s="197"/>
    </row>
    <row r="24" spans="1:10">
      <c r="A24" s="177">
        <f>A21+1</f>
        <v>13</v>
      </c>
      <c r="B24" s="175"/>
      <c r="C24" s="198" t="s">
        <v>88</v>
      </c>
      <c r="D24" s="199">
        <f>SUM(D10:D23)</f>
        <v>80</v>
      </c>
      <c r="E24" s="190">
        <f>SUM(E10:E21)</f>
        <v>657.67999999999984</v>
      </c>
      <c r="F24" s="190"/>
      <c r="G24" s="190">
        <f>SUM(G10:G21)</f>
        <v>659.66</v>
      </c>
      <c r="H24" s="190"/>
      <c r="I24" s="190">
        <f>SUM(I10:I21)</f>
        <v>1.9799999999999756</v>
      </c>
      <c r="J24" s="190"/>
    </row>
    <row r="25" spans="1:10">
      <c r="A25" s="175"/>
      <c r="B25" s="175"/>
      <c r="C25" s="177"/>
      <c r="D25" s="175"/>
      <c r="E25" s="200"/>
      <c r="F25" s="200"/>
      <c r="G25" s="175"/>
      <c r="H25" s="175"/>
      <c r="I25" s="175"/>
      <c r="J25" s="175"/>
    </row>
    <row r="26" spans="1:10">
      <c r="A26" s="175"/>
      <c r="B26" s="175" t="s">
        <v>267</v>
      </c>
      <c r="C26" s="177"/>
      <c r="D26" s="175"/>
      <c r="E26" s="175"/>
      <c r="F26" s="175"/>
      <c r="G26" s="201" t="s">
        <v>268</v>
      </c>
      <c r="H26" s="201"/>
      <c r="I26" s="202">
        <f>ROUND(I24/E24,4)*100</f>
        <v>0.3</v>
      </c>
      <c r="J26" s="203" t="s">
        <v>269</v>
      </c>
    </row>
    <row r="34" spans="1:4">
      <c r="A34" s="204"/>
      <c r="B34" s="205"/>
      <c r="C34" s="74" t="s">
        <v>220</v>
      </c>
      <c r="D34" s="74" t="s">
        <v>215</v>
      </c>
    </row>
    <row r="35" spans="1:4" ht="13.5" thickBot="1">
      <c r="A35" s="205"/>
      <c r="B35" s="206" t="s">
        <v>270</v>
      </c>
      <c r="C35" s="207" t="s">
        <v>271</v>
      </c>
      <c r="D35" s="207" t="s">
        <v>271</v>
      </c>
    </row>
    <row r="36" spans="1:4">
      <c r="A36" s="208" t="s">
        <v>272</v>
      </c>
      <c r="B36" s="209">
        <v>5</v>
      </c>
      <c r="C36" s="210">
        <f>C39+'Exhibit 1.3'!O10</f>
        <v>7.2439958796936788</v>
      </c>
      <c r="D36" s="210">
        <f>D39+'Exhibit 1.3'!O7</f>
        <v>7.6079222116087992</v>
      </c>
    </row>
    <row r="37" spans="1:4">
      <c r="A37" s="208"/>
      <c r="B37" s="209"/>
      <c r="C37" s="210"/>
      <c r="D37" s="210"/>
    </row>
    <row r="38" spans="1:4">
      <c r="A38" s="205" t="s">
        <v>273</v>
      </c>
      <c r="B38" s="209"/>
      <c r="C38" s="211"/>
      <c r="D38" s="211"/>
    </row>
    <row r="39" spans="1:4">
      <c r="A39" s="212" t="s">
        <v>320</v>
      </c>
      <c r="B39" s="209">
        <v>5</v>
      </c>
      <c r="C39" s="213">
        <v>7.2222900000000001</v>
      </c>
      <c r="D39" s="213">
        <v>7.58216</v>
      </c>
    </row>
  </sheetData>
  <mergeCells count="11">
    <mergeCell ref="E7:F7"/>
    <mergeCell ref="G7:H7"/>
    <mergeCell ref="E8:F8"/>
    <mergeCell ref="G8:H8"/>
    <mergeCell ref="B1:I1"/>
    <mergeCell ref="B2:I2"/>
    <mergeCell ref="E5:F5"/>
    <mergeCell ref="G5:H5"/>
    <mergeCell ref="I5:J5"/>
    <mergeCell ref="E6:F6"/>
    <mergeCell ref="G6:H6"/>
  </mergeCells>
  <pageMargins left="0.7" right="0.7" top="0.84375" bottom="0.75" header="0.3" footer="0.3"/>
  <pageSetup orientation="portrait" r:id="rId1"/>
  <headerFooter scaleWithDoc="0">
    <oddHeader>&amp;RQuestar Gas Company
Docket 11-057-16
Exhibit 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Calculations</vt:lpstr>
      <vt:lpstr>Exhibit 1.1</vt:lpstr>
      <vt:lpstr>Exhibit 1.1 Page 3</vt:lpstr>
      <vt:lpstr>Exhibit 1.2</vt:lpstr>
      <vt:lpstr>Exhibit 1.3</vt:lpstr>
      <vt:lpstr>Exhibit 1.4</vt:lpstr>
      <vt:lpstr>'Exhibit 1.1'!Print_Area</vt:lpstr>
      <vt:lpstr>'Exhibit 1.1 Page 3'!Print_Area</vt:lpstr>
      <vt:lpstr>'Exhibit 1.2'!Print_Area</vt:lpstr>
      <vt:lpstr>'Exhibit 1.3'!Print_Area</vt:lpstr>
      <vt:lpstr>'Exhibit 1.4'!Print_Area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Summers</dc:creator>
  <cp:lastModifiedBy>MPaschal</cp:lastModifiedBy>
  <cp:lastPrinted>2011-12-29T19:39:42Z</cp:lastPrinted>
  <dcterms:created xsi:type="dcterms:W3CDTF">2011-08-18T22:49:59Z</dcterms:created>
  <dcterms:modified xsi:type="dcterms:W3CDTF">2012-01-03T21:08:27Z</dcterms:modified>
</cp:coreProperties>
</file>