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15" yWindow="45" windowWidth="21480" windowHeight="9465" activeTab="1"/>
  </bookViews>
  <sheets>
    <sheet name="Calculations" sheetId="4" r:id="rId1"/>
    <sheet name="Exhibit 1.1" sheetId="6" r:id="rId2"/>
    <sheet name="Exhibit 1.1 Page 4" sheetId="7" r:id="rId3"/>
    <sheet name="Exhibit 1.2" sheetId="8" r:id="rId4"/>
    <sheet name="Exhibit 1.3" sheetId="9" r:id="rId5"/>
    <sheet name="Exhibit 1.4" sheetId="10" r:id="rId6"/>
  </sheets>
  <definedNames>
    <definedName name="Cumulative_Investment">'Exhibit 1.1'!$A$3:$AS$51</definedName>
    <definedName name="_xlnm.Print_Area" localSheetId="1">'Exhibit 1.1'!$A$1:$Q$66</definedName>
    <definedName name="_xlnm.Print_Area" localSheetId="2">'Exhibit 1.1 Page 4'!$A$1:$E$27</definedName>
    <definedName name="_xlnm.Print_Area" localSheetId="3">'Exhibit 1.2'!$A$1:$H$21</definedName>
    <definedName name="_xlnm.Print_Area" localSheetId="4">'Exhibit 1.3'!$A$1:$O$71</definedName>
    <definedName name="_xlnm.Print_Area" localSheetId="5">'Exhibit 1.4'!$A$1:$J$26</definedName>
  </definedNames>
  <calcPr calcId="125725"/>
</workbook>
</file>

<file path=xl/calcChain.xml><?xml version="1.0" encoding="utf-8"?>
<calcChain xmlns="http://schemas.openxmlformats.org/spreadsheetml/2006/main">
  <c r="E46" i="6"/>
  <c r="F46"/>
  <c r="AH46"/>
  <c r="AI46"/>
  <c r="AJ46"/>
  <c r="AK46"/>
  <c r="AL46"/>
  <c r="AM46"/>
  <c r="AN46"/>
  <c r="AO46"/>
  <c r="AP46"/>
  <c r="AQ46"/>
  <c r="AR46"/>
  <c r="AS46"/>
  <c r="D46"/>
  <c r="D51" s="1"/>
  <c r="AB6" l="1"/>
  <c r="AC6"/>
  <c r="AD6"/>
  <c r="AE6"/>
  <c r="AF6"/>
  <c r="AG6"/>
  <c r="AB7"/>
  <c r="AC7"/>
  <c r="AD7"/>
  <c r="AE7"/>
  <c r="AF7"/>
  <c r="AG7"/>
  <c r="AB8"/>
  <c r="AC8"/>
  <c r="AD8"/>
  <c r="AE8"/>
  <c r="AF8"/>
  <c r="AG8"/>
  <c r="AB9"/>
  <c r="AC9"/>
  <c r="AD9"/>
  <c r="AE9"/>
  <c r="AF9"/>
  <c r="AG9"/>
  <c r="AB10"/>
  <c r="AC10"/>
  <c r="AD10"/>
  <c r="AE10"/>
  <c r="AF10"/>
  <c r="AG10"/>
  <c r="AB11"/>
  <c r="AC11"/>
  <c r="AD11"/>
  <c r="AE11"/>
  <c r="AF11"/>
  <c r="AG11"/>
  <c r="AB12"/>
  <c r="AC12"/>
  <c r="AD12"/>
  <c r="AE12"/>
  <c r="AF12"/>
  <c r="AG12"/>
  <c r="AB13"/>
  <c r="AC13"/>
  <c r="AD13"/>
  <c r="AE13"/>
  <c r="AF13"/>
  <c r="AG13"/>
  <c r="AB14"/>
  <c r="AC14"/>
  <c r="AD14"/>
  <c r="AE14"/>
  <c r="AF14"/>
  <c r="AG14"/>
  <c r="AB15"/>
  <c r="AC15"/>
  <c r="AD15"/>
  <c r="AE15"/>
  <c r="AF15"/>
  <c r="AG15"/>
  <c r="AB16"/>
  <c r="AC16"/>
  <c r="AD16"/>
  <c r="AE16"/>
  <c r="AF16"/>
  <c r="AG16"/>
  <c r="AB17"/>
  <c r="AC17"/>
  <c r="AD17"/>
  <c r="AE17"/>
  <c r="AF17"/>
  <c r="AG17"/>
  <c r="AB18"/>
  <c r="AC18"/>
  <c r="AD18"/>
  <c r="AE18"/>
  <c r="AF18"/>
  <c r="AG18"/>
  <c r="AB19"/>
  <c r="AC19"/>
  <c r="AD19"/>
  <c r="AE19"/>
  <c r="AF19"/>
  <c r="AG19"/>
  <c r="AB20"/>
  <c r="AC20"/>
  <c r="AD20"/>
  <c r="AE20"/>
  <c r="AF20"/>
  <c r="AG20"/>
  <c r="AB21"/>
  <c r="AC21"/>
  <c r="AD21"/>
  <c r="AE21"/>
  <c r="AF21"/>
  <c r="AG21"/>
  <c r="AB22"/>
  <c r="AC22"/>
  <c r="AD22"/>
  <c r="AE22"/>
  <c r="AF22"/>
  <c r="AG22"/>
  <c r="AB23"/>
  <c r="AC23"/>
  <c r="AD23"/>
  <c r="AE23"/>
  <c r="AF23"/>
  <c r="AG23"/>
  <c r="AB24"/>
  <c r="AC24"/>
  <c r="AD24"/>
  <c r="AE24"/>
  <c r="AF24"/>
  <c r="AG24"/>
  <c r="AB25"/>
  <c r="AC25"/>
  <c r="AD25"/>
  <c r="AE25"/>
  <c r="AF25"/>
  <c r="AG25"/>
  <c r="AB26"/>
  <c r="AC26"/>
  <c r="AD26"/>
  <c r="AE26"/>
  <c r="AF26"/>
  <c r="AG26"/>
  <c r="AB27"/>
  <c r="AC27"/>
  <c r="AD27"/>
  <c r="AE27"/>
  <c r="AF27"/>
  <c r="AG27"/>
  <c r="AB28"/>
  <c r="AC28"/>
  <c r="AD28"/>
  <c r="AE28"/>
  <c r="AF28"/>
  <c r="AG28"/>
  <c r="AB29"/>
  <c r="AC29"/>
  <c r="AD29"/>
  <c r="AE29"/>
  <c r="AF29"/>
  <c r="AG29"/>
  <c r="AB30"/>
  <c r="AC30"/>
  <c r="AD30"/>
  <c r="AE30"/>
  <c r="AF30"/>
  <c r="AG30"/>
  <c r="AB31"/>
  <c r="AC31"/>
  <c r="AD31"/>
  <c r="AE31"/>
  <c r="AF31"/>
  <c r="AG31"/>
  <c r="AB32"/>
  <c r="AC32"/>
  <c r="AD32"/>
  <c r="AE32"/>
  <c r="AF32"/>
  <c r="AG32"/>
  <c r="AB33"/>
  <c r="AC33"/>
  <c r="AD33"/>
  <c r="AE33"/>
  <c r="AF33"/>
  <c r="AG33"/>
  <c r="AB34"/>
  <c r="AC34"/>
  <c r="AD34"/>
  <c r="AE34"/>
  <c r="AF34"/>
  <c r="AG34"/>
  <c r="AB35"/>
  <c r="AC35"/>
  <c r="AD35"/>
  <c r="AE35"/>
  <c r="AF35"/>
  <c r="AG35"/>
  <c r="AC5"/>
  <c r="AC46" s="1"/>
  <c r="AD5"/>
  <c r="AE5"/>
  <c r="AE46" s="1"/>
  <c r="AF5"/>
  <c r="AG5"/>
  <c r="AG46" s="1"/>
  <c r="AB5"/>
  <c r="AA5"/>
  <c r="AA6"/>
  <c r="AA7"/>
  <c r="AA8"/>
  <c r="AA9"/>
  <c r="AA10"/>
  <c r="AA11"/>
  <c r="AA12"/>
  <c r="AA13"/>
  <c r="AA14"/>
  <c r="AA15"/>
  <c r="AA16"/>
  <c r="AA17"/>
  <c r="AA18"/>
  <c r="AA19"/>
  <c r="AA20"/>
  <c r="AA21"/>
  <c r="AA22"/>
  <c r="AA23"/>
  <c r="AA24"/>
  <c r="AA25"/>
  <c r="AA26"/>
  <c r="AA27"/>
  <c r="AA28"/>
  <c r="AA29"/>
  <c r="AA30"/>
  <c r="AA31"/>
  <c r="AA32"/>
  <c r="AA33"/>
  <c r="AA34"/>
  <c r="AA35"/>
  <c r="Z5"/>
  <c r="Z6"/>
  <c r="Z7"/>
  <c r="Z8"/>
  <c r="Z9"/>
  <c r="Z10"/>
  <c r="Z11"/>
  <c r="Z12"/>
  <c r="Z13"/>
  <c r="Z14"/>
  <c r="Z15"/>
  <c r="Z16"/>
  <c r="Z17"/>
  <c r="Z18"/>
  <c r="Z19"/>
  <c r="Z20"/>
  <c r="Z21"/>
  <c r="Z22"/>
  <c r="Z23"/>
  <c r="Z24"/>
  <c r="Z25"/>
  <c r="Z26"/>
  <c r="Z27"/>
  <c r="Z28"/>
  <c r="Z29"/>
  <c r="Z30"/>
  <c r="Z31"/>
  <c r="Z32"/>
  <c r="Z33"/>
  <c r="Z34"/>
  <c r="Z35"/>
  <c r="Y5"/>
  <c r="Y6"/>
  <c r="Y7"/>
  <c r="Y8"/>
  <c r="Y9"/>
  <c r="Y10"/>
  <c r="Y11"/>
  <c r="Y12"/>
  <c r="Y13"/>
  <c r="Y14"/>
  <c r="Y15"/>
  <c r="Y16"/>
  <c r="Y17"/>
  <c r="Y18"/>
  <c r="Y19"/>
  <c r="Y20"/>
  <c r="Y21"/>
  <c r="Y22"/>
  <c r="Y23"/>
  <c r="Y24"/>
  <c r="Y25"/>
  <c r="Y26"/>
  <c r="Y27"/>
  <c r="Y28"/>
  <c r="Y29"/>
  <c r="Y30"/>
  <c r="Y31"/>
  <c r="Y32"/>
  <c r="Y33"/>
  <c r="Y34"/>
  <c r="Y35"/>
  <c r="X5"/>
  <c r="X6"/>
  <c r="X7"/>
  <c r="X8"/>
  <c r="X9"/>
  <c r="X10"/>
  <c r="X11"/>
  <c r="X12"/>
  <c r="X13"/>
  <c r="X14"/>
  <c r="X15"/>
  <c r="X16"/>
  <c r="X17"/>
  <c r="X18"/>
  <c r="X19"/>
  <c r="X20"/>
  <c r="X21"/>
  <c r="X22"/>
  <c r="X23"/>
  <c r="X24"/>
  <c r="X25"/>
  <c r="X26"/>
  <c r="X27"/>
  <c r="X28"/>
  <c r="X29"/>
  <c r="X30"/>
  <c r="X31"/>
  <c r="X32"/>
  <c r="X33"/>
  <c r="X34"/>
  <c r="X35"/>
  <c r="V5"/>
  <c r="W5"/>
  <c r="V6"/>
  <c r="W6"/>
  <c r="V7"/>
  <c r="W7"/>
  <c r="V8"/>
  <c r="W8"/>
  <c r="V9"/>
  <c r="W9"/>
  <c r="V10"/>
  <c r="W10"/>
  <c r="V11"/>
  <c r="W11"/>
  <c r="V12"/>
  <c r="W12"/>
  <c r="V13"/>
  <c r="W13"/>
  <c r="V14"/>
  <c r="W14"/>
  <c r="V15"/>
  <c r="W15"/>
  <c r="V16"/>
  <c r="W16"/>
  <c r="V17"/>
  <c r="W17"/>
  <c r="V18"/>
  <c r="W18"/>
  <c r="V19"/>
  <c r="W19"/>
  <c r="V20"/>
  <c r="W20"/>
  <c r="V21"/>
  <c r="W21"/>
  <c r="V22"/>
  <c r="W22"/>
  <c r="V23"/>
  <c r="W23"/>
  <c r="V24"/>
  <c r="W24"/>
  <c r="V25"/>
  <c r="W25"/>
  <c r="V26"/>
  <c r="W26"/>
  <c r="V27"/>
  <c r="W27"/>
  <c r="V28"/>
  <c r="W28"/>
  <c r="V29"/>
  <c r="W29"/>
  <c r="V30"/>
  <c r="W30"/>
  <c r="V31"/>
  <c r="W31"/>
  <c r="V32"/>
  <c r="W32"/>
  <c r="V33"/>
  <c r="W33"/>
  <c r="V34"/>
  <c r="W34"/>
  <c r="V35"/>
  <c r="W35"/>
  <c r="U5"/>
  <c r="U6"/>
  <c r="U7"/>
  <c r="U8"/>
  <c r="U9"/>
  <c r="U10"/>
  <c r="U11"/>
  <c r="U12"/>
  <c r="U13"/>
  <c r="U14"/>
  <c r="U15"/>
  <c r="U16"/>
  <c r="U17"/>
  <c r="U18"/>
  <c r="U19"/>
  <c r="U20"/>
  <c r="U21"/>
  <c r="U22"/>
  <c r="U23"/>
  <c r="U24"/>
  <c r="U25"/>
  <c r="U26"/>
  <c r="U27"/>
  <c r="U28"/>
  <c r="U29"/>
  <c r="U30"/>
  <c r="U31"/>
  <c r="U32"/>
  <c r="U33"/>
  <c r="U34"/>
  <c r="U35"/>
  <c r="S5"/>
  <c r="T5"/>
  <c r="S6"/>
  <c r="T6"/>
  <c r="S7"/>
  <c r="T7"/>
  <c r="S8"/>
  <c r="T8"/>
  <c r="S9"/>
  <c r="T9"/>
  <c r="S10"/>
  <c r="T10"/>
  <c r="S11"/>
  <c r="T11"/>
  <c r="S12"/>
  <c r="T12"/>
  <c r="S13"/>
  <c r="T13"/>
  <c r="S14"/>
  <c r="T14"/>
  <c r="S15"/>
  <c r="T15"/>
  <c r="S16"/>
  <c r="T16"/>
  <c r="S17"/>
  <c r="T17"/>
  <c r="S18"/>
  <c r="T18"/>
  <c r="S19"/>
  <c r="T19"/>
  <c r="S20"/>
  <c r="T20"/>
  <c r="S21"/>
  <c r="T21"/>
  <c r="S22"/>
  <c r="T22"/>
  <c r="S23"/>
  <c r="T23"/>
  <c r="S24"/>
  <c r="T24"/>
  <c r="S25"/>
  <c r="T25"/>
  <c r="S26"/>
  <c r="T26"/>
  <c r="S27"/>
  <c r="T27"/>
  <c r="S28"/>
  <c r="T28"/>
  <c r="S29"/>
  <c r="T29"/>
  <c r="S30"/>
  <c r="T30"/>
  <c r="S31"/>
  <c r="T31"/>
  <c r="S32"/>
  <c r="T32"/>
  <c r="S33"/>
  <c r="T33"/>
  <c r="S34"/>
  <c r="T34"/>
  <c r="S35"/>
  <c r="T35"/>
  <c r="Q5"/>
  <c r="R5"/>
  <c r="Q6"/>
  <c r="R6"/>
  <c r="Q7"/>
  <c r="R7"/>
  <c r="Q8"/>
  <c r="R8"/>
  <c r="Q9"/>
  <c r="R9"/>
  <c r="Q10"/>
  <c r="R10"/>
  <c r="Q11"/>
  <c r="R11"/>
  <c r="Q12"/>
  <c r="R12"/>
  <c r="Q13"/>
  <c r="R13"/>
  <c r="Q14"/>
  <c r="R14"/>
  <c r="Q15"/>
  <c r="R15"/>
  <c r="Q16"/>
  <c r="R16"/>
  <c r="Q17"/>
  <c r="R17"/>
  <c r="Q18"/>
  <c r="R18"/>
  <c r="Q19"/>
  <c r="R19"/>
  <c r="Q20"/>
  <c r="R20"/>
  <c r="Q21"/>
  <c r="R21"/>
  <c r="Q22"/>
  <c r="R22"/>
  <c r="Q23"/>
  <c r="R23"/>
  <c r="Q24"/>
  <c r="R24"/>
  <c r="Q25"/>
  <c r="R25"/>
  <c r="Q26"/>
  <c r="R26"/>
  <c r="Q27"/>
  <c r="R27"/>
  <c r="Q28"/>
  <c r="R28"/>
  <c r="Q29"/>
  <c r="R29"/>
  <c r="Q30"/>
  <c r="R30"/>
  <c r="Q31"/>
  <c r="R31"/>
  <c r="Q32"/>
  <c r="R32"/>
  <c r="Q33"/>
  <c r="R33"/>
  <c r="Q34"/>
  <c r="R34"/>
  <c r="Q35"/>
  <c r="R35"/>
  <c r="P5"/>
  <c r="P6"/>
  <c r="P7"/>
  <c r="P8"/>
  <c r="P9"/>
  <c r="P10"/>
  <c r="P11"/>
  <c r="P12"/>
  <c r="P13"/>
  <c r="P14"/>
  <c r="P15"/>
  <c r="P16"/>
  <c r="P17"/>
  <c r="P18"/>
  <c r="P19"/>
  <c r="P20"/>
  <c r="P21"/>
  <c r="P22"/>
  <c r="P23"/>
  <c r="P24"/>
  <c r="P25"/>
  <c r="P26"/>
  <c r="P27"/>
  <c r="P28"/>
  <c r="P29"/>
  <c r="P30"/>
  <c r="P31"/>
  <c r="P32"/>
  <c r="P33"/>
  <c r="P34"/>
  <c r="P35"/>
  <c r="O5"/>
  <c r="O6"/>
  <c r="O7"/>
  <c r="O8"/>
  <c r="O9"/>
  <c r="O10"/>
  <c r="O11"/>
  <c r="O12"/>
  <c r="O13"/>
  <c r="O14"/>
  <c r="O15"/>
  <c r="O16"/>
  <c r="O17"/>
  <c r="O18"/>
  <c r="O19"/>
  <c r="O20"/>
  <c r="O21"/>
  <c r="O22"/>
  <c r="O23"/>
  <c r="O24"/>
  <c r="O25"/>
  <c r="O26"/>
  <c r="O27"/>
  <c r="O28"/>
  <c r="O29"/>
  <c r="O30"/>
  <c r="O31"/>
  <c r="O32"/>
  <c r="O33"/>
  <c r="O34"/>
  <c r="O35"/>
  <c r="N5"/>
  <c r="N6"/>
  <c r="N7"/>
  <c r="N8"/>
  <c r="N9"/>
  <c r="N10"/>
  <c r="N11"/>
  <c r="N12"/>
  <c r="N13"/>
  <c r="N14"/>
  <c r="N15"/>
  <c r="N16"/>
  <c r="N17"/>
  <c r="N18"/>
  <c r="N19"/>
  <c r="N20"/>
  <c r="N21"/>
  <c r="N22"/>
  <c r="N23"/>
  <c r="N24"/>
  <c r="N25"/>
  <c r="N26"/>
  <c r="N27"/>
  <c r="N28"/>
  <c r="N29"/>
  <c r="N30"/>
  <c r="N31"/>
  <c r="N32"/>
  <c r="N33"/>
  <c r="N34"/>
  <c r="N35"/>
  <c r="I5"/>
  <c r="J5"/>
  <c r="K5"/>
  <c r="L5"/>
  <c r="M5"/>
  <c r="I6"/>
  <c r="J6"/>
  <c r="K6"/>
  <c r="L6"/>
  <c r="M6"/>
  <c r="I7"/>
  <c r="J7"/>
  <c r="K7"/>
  <c r="L7"/>
  <c r="M7"/>
  <c r="I8"/>
  <c r="J8"/>
  <c r="K8"/>
  <c r="L8"/>
  <c r="M8"/>
  <c r="I9"/>
  <c r="J9"/>
  <c r="K9"/>
  <c r="L9"/>
  <c r="M9"/>
  <c r="I10"/>
  <c r="J10"/>
  <c r="K10"/>
  <c r="L10"/>
  <c r="M10"/>
  <c r="I11"/>
  <c r="J11"/>
  <c r="K11"/>
  <c r="L11"/>
  <c r="M11"/>
  <c r="I12"/>
  <c r="J12"/>
  <c r="K12"/>
  <c r="L12"/>
  <c r="M12"/>
  <c r="I13"/>
  <c r="J13"/>
  <c r="K13"/>
  <c r="L13"/>
  <c r="M13"/>
  <c r="I14"/>
  <c r="J14"/>
  <c r="K14"/>
  <c r="L14"/>
  <c r="M14"/>
  <c r="I15"/>
  <c r="J15"/>
  <c r="K15"/>
  <c r="L15"/>
  <c r="M15"/>
  <c r="I16"/>
  <c r="J16"/>
  <c r="K16"/>
  <c r="L16"/>
  <c r="M16"/>
  <c r="I17"/>
  <c r="J17"/>
  <c r="K17"/>
  <c r="L17"/>
  <c r="M17"/>
  <c r="I18"/>
  <c r="J18"/>
  <c r="K18"/>
  <c r="L18"/>
  <c r="M18"/>
  <c r="I19"/>
  <c r="J19"/>
  <c r="K19"/>
  <c r="L19"/>
  <c r="M19"/>
  <c r="I20"/>
  <c r="J20"/>
  <c r="K20"/>
  <c r="L20"/>
  <c r="M20"/>
  <c r="I21"/>
  <c r="J21"/>
  <c r="K21"/>
  <c r="L21"/>
  <c r="M21"/>
  <c r="I22"/>
  <c r="J22"/>
  <c r="K22"/>
  <c r="L22"/>
  <c r="M22"/>
  <c r="I23"/>
  <c r="J23"/>
  <c r="K23"/>
  <c r="L23"/>
  <c r="M23"/>
  <c r="I24"/>
  <c r="J24"/>
  <c r="K24"/>
  <c r="L24"/>
  <c r="M24"/>
  <c r="I25"/>
  <c r="J25"/>
  <c r="K25"/>
  <c r="L25"/>
  <c r="M25"/>
  <c r="I26"/>
  <c r="J26"/>
  <c r="K26"/>
  <c r="L26"/>
  <c r="M26"/>
  <c r="I27"/>
  <c r="J27"/>
  <c r="K27"/>
  <c r="L27"/>
  <c r="M27"/>
  <c r="I28"/>
  <c r="J28"/>
  <c r="K28"/>
  <c r="L28"/>
  <c r="M28"/>
  <c r="I29"/>
  <c r="J29"/>
  <c r="K29"/>
  <c r="L29"/>
  <c r="M29"/>
  <c r="I30"/>
  <c r="J30"/>
  <c r="K30"/>
  <c r="L30"/>
  <c r="M30"/>
  <c r="I31"/>
  <c r="J31"/>
  <c r="K31"/>
  <c r="L31"/>
  <c r="M31"/>
  <c r="I32"/>
  <c r="J32"/>
  <c r="K32"/>
  <c r="L32"/>
  <c r="M32"/>
  <c r="I33"/>
  <c r="J33"/>
  <c r="K33"/>
  <c r="L33"/>
  <c r="M33"/>
  <c r="I34"/>
  <c r="J34"/>
  <c r="K34"/>
  <c r="L34"/>
  <c r="M34"/>
  <c r="I35"/>
  <c r="J35"/>
  <c r="K35"/>
  <c r="L35"/>
  <c r="M35"/>
  <c r="H5"/>
  <c r="H6"/>
  <c r="H7"/>
  <c r="H8"/>
  <c r="H9"/>
  <c r="H10"/>
  <c r="H11"/>
  <c r="H12"/>
  <c r="H13"/>
  <c r="H14"/>
  <c r="H15"/>
  <c r="H16"/>
  <c r="H17"/>
  <c r="H18"/>
  <c r="H19"/>
  <c r="H20"/>
  <c r="H21"/>
  <c r="H22"/>
  <c r="H23"/>
  <c r="H24"/>
  <c r="H25"/>
  <c r="H26"/>
  <c r="H27"/>
  <c r="H28"/>
  <c r="H29"/>
  <c r="H30"/>
  <c r="H31"/>
  <c r="H32"/>
  <c r="H33"/>
  <c r="H34"/>
  <c r="H35"/>
  <c r="G6"/>
  <c r="G7"/>
  <c r="G8"/>
  <c r="G9"/>
  <c r="G10"/>
  <c r="G11"/>
  <c r="G12"/>
  <c r="G13"/>
  <c r="G14"/>
  <c r="G15"/>
  <c r="G16"/>
  <c r="G17"/>
  <c r="G18"/>
  <c r="G19"/>
  <c r="G20"/>
  <c r="G21"/>
  <c r="G22"/>
  <c r="G23"/>
  <c r="G24"/>
  <c r="G25"/>
  <c r="G26"/>
  <c r="G27"/>
  <c r="G28"/>
  <c r="G29"/>
  <c r="G30"/>
  <c r="G31"/>
  <c r="G32"/>
  <c r="G33"/>
  <c r="G34"/>
  <c r="G35"/>
  <c r="CV38" i="4"/>
  <c r="CT38"/>
  <c r="CS38"/>
  <c r="CU38" s="1"/>
  <c r="CV37"/>
  <c r="CT37"/>
  <c r="CS37"/>
  <c r="CU37" s="1"/>
  <c r="CV36"/>
  <c r="CT36"/>
  <c r="CS36"/>
  <c r="CU36" s="1"/>
  <c r="CV35"/>
  <c r="CT35"/>
  <c r="CS35"/>
  <c r="CU35" s="1"/>
  <c r="CV34"/>
  <c r="CT34"/>
  <c r="CS34"/>
  <c r="CU34" s="1"/>
  <c r="CV33"/>
  <c r="CT33"/>
  <c r="CS33"/>
  <c r="CU33" s="1"/>
  <c r="CV32"/>
  <c r="CT32"/>
  <c r="CS32"/>
  <c r="CU32" s="1"/>
  <c r="CV31"/>
  <c r="CT31"/>
  <c r="CS31"/>
  <c r="CU31" s="1"/>
  <c r="CV30"/>
  <c r="CT30"/>
  <c r="CS30"/>
  <c r="CU30" s="1"/>
  <c r="CV29"/>
  <c r="CT29"/>
  <c r="CS29"/>
  <c r="CU29" s="1"/>
  <c r="CV28"/>
  <c r="CT28"/>
  <c r="CS28"/>
  <c r="CU28" s="1"/>
  <c r="CV27"/>
  <c r="CT27"/>
  <c r="CS27"/>
  <c r="CU27" s="1"/>
  <c r="CV26"/>
  <c r="CT26"/>
  <c r="CS26"/>
  <c r="CU26" s="1"/>
  <c r="CV25"/>
  <c r="CT25"/>
  <c r="CS25"/>
  <c r="CU25" s="1"/>
  <c r="CV24"/>
  <c r="CT24"/>
  <c r="CS24"/>
  <c r="CU24" s="1"/>
  <c r="CV23"/>
  <c r="CT23"/>
  <c r="CS23"/>
  <c r="CU23" s="1"/>
  <c r="CV22"/>
  <c r="CT22"/>
  <c r="CS22"/>
  <c r="CU22" s="1"/>
  <c r="CV21"/>
  <c r="CT21"/>
  <c r="CS21"/>
  <c r="CU21" s="1"/>
  <c r="CV20"/>
  <c r="CT20"/>
  <c r="CS20"/>
  <c r="CU20" s="1"/>
  <c r="CV19"/>
  <c r="CT19"/>
  <c r="CS19"/>
  <c r="CU19" s="1"/>
  <c r="CV18"/>
  <c r="CT18"/>
  <c r="CS18"/>
  <c r="CU18" s="1"/>
  <c r="CV17"/>
  <c r="CT17"/>
  <c r="CS17"/>
  <c r="CU17" s="1"/>
  <c r="CV16"/>
  <c r="CT16"/>
  <c r="CS16"/>
  <c r="CU16" s="1"/>
  <c r="CV15"/>
  <c r="CT15"/>
  <c r="CS15"/>
  <c r="CU15" s="1"/>
  <c r="CV14"/>
  <c r="CT14"/>
  <c r="CS14"/>
  <c r="CU14" s="1"/>
  <c r="CV13"/>
  <c r="CT13"/>
  <c r="CS13"/>
  <c r="CU13" s="1"/>
  <c r="CV12"/>
  <c r="CT12"/>
  <c r="CS12"/>
  <c r="CU12" s="1"/>
  <c r="CV11"/>
  <c r="CT11"/>
  <c r="CS11"/>
  <c r="CU11" s="1"/>
  <c r="CV10"/>
  <c r="CT10"/>
  <c r="CS10"/>
  <c r="CU10" s="1"/>
  <c r="CV9"/>
  <c r="CT9"/>
  <c r="CS9"/>
  <c r="CU9" s="1"/>
  <c r="CK9"/>
  <c r="CN9" s="1"/>
  <c r="CL9"/>
  <c r="CM9"/>
  <c r="CO9"/>
  <c r="CK10"/>
  <c r="CL10"/>
  <c r="CM10"/>
  <c r="CN10"/>
  <c r="CO10"/>
  <c r="CP10"/>
  <c r="CQ10" s="1"/>
  <c r="CK11"/>
  <c r="CN11" s="1"/>
  <c r="CL11"/>
  <c r="CM11"/>
  <c r="CO11"/>
  <c r="CK12"/>
  <c r="CL12"/>
  <c r="CM12"/>
  <c r="CN12"/>
  <c r="CO12"/>
  <c r="CP12"/>
  <c r="CQ12" s="1"/>
  <c r="CK13"/>
  <c r="CN13" s="1"/>
  <c r="CL13"/>
  <c r="CM13"/>
  <c r="CO13"/>
  <c r="CK14"/>
  <c r="CL14"/>
  <c r="CM14"/>
  <c r="CN14"/>
  <c r="CO14"/>
  <c r="CP14"/>
  <c r="CQ14" s="1"/>
  <c r="CK15"/>
  <c r="CN15" s="1"/>
  <c r="CL15"/>
  <c r="CM15"/>
  <c r="CO15"/>
  <c r="CK16"/>
  <c r="CL16"/>
  <c r="CM16"/>
  <c r="CN16"/>
  <c r="CO16"/>
  <c r="CP16"/>
  <c r="CQ16" s="1"/>
  <c r="CK17"/>
  <c r="CN17" s="1"/>
  <c r="CL17"/>
  <c r="CM17"/>
  <c r="CO17"/>
  <c r="CK18"/>
  <c r="CL18"/>
  <c r="CM18"/>
  <c r="CN18"/>
  <c r="CO18"/>
  <c r="CP18"/>
  <c r="CQ18" s="1"/>
  <c r="CK19"/>
  <c r="CN19" s="1"/>
  <c r="CL19"/>
  <c r="CM19"/>
  <c r="CO19"/>
  <c r="CK20"/>
  <c r="CL20"/>
  <c r="CM20"/>
  <c r="CN20"/>
  <c r="CO20"/>
  <c r="CP20"/>
  <c r="CQ20" s="1"/>
  <c r="CK21"/>
  <c r="CN21" s="1"/>
  <c r="CL21"/>
  <c r="CM21"/>
  <c r="CO21"/>
  <c r="CK22"/>
  <c r="CL22"/>
  <c r="CM22"/>
  <c r="CN22"/>
  <c r="CO22"/>
  <c r="CP22"/>
  <c r="CQ22" s="1"/>
  <c r="CK23"/>
  <c r="CN23" s="1"/>
  <c r="CL23"/>
  <c r="CM23"/>
  <c r="CO23"/>
  <c r="CK24"/>
  <c r="CL24"/>
  <c r="CM24"/>
  <c r="CN24"/>
  <c r="CO24"/>
  <c r="CP24"/>
  <c r="CQ24" s="1"/>
  <c r="CK25"/>
  <c r="CN25" s="1"/>
  <c r="CL25"/>
  <c r="CM25"/>
  <c r="CO25"/>
  <c r="CK26"/>
  <c r="CL26"/>
  <c r="CM26"/>
  <c r="CN26"/>
  <c r="CO26"/>
  <c r="CP26"/>
  <c r="CQ26" s="1"/>
  <c r="CK27"/>
  <c r="CN27" s="1"/>
  <c r="CL27"/>
  <c r="CM27"/>
  <c r="CO27"/>
  <c r="CK28"/>
  <c r="CL28"/>
  <c r="CM28"/>
  <c r="CN28"/>
  <c r="CO28"/>
  <c r="CP28"/>
  <c r="CQ28" s="1"/>
  <c r="CK29"/>
  <c r="CN29" s="1"/>
  <c r="CL29"/>
  <c r="CM29"/>
  <c r="CO29"/>
  <c r="CK30"/>
  <c r="CL30"/>
  <c r="CM30"/>
  <c r="CN30"/>
  <c r="CO30"/>
  <c r="CP30"/>
  <c r="CQ30" s="1"/>
  <c r="CK31"/>
  <c r="CN31" s="1"/>
  <c r="CL31"/>
  <c r="CM31"/>
  <c r="CO31"/>
  <c r="CK32"/>
  <c r="CL32"/>
  <c r="CM32"/>
  <c r="CN32"/>
  <c r="CO32"/>
  <c r="CP32"/>
  <c r="CQ32" s="1"/>
  <c r="CK33"/>
  <c r="CN33" s="1"/>
  <c r="CL33"/>
  <c r="CM33"/>
  <c r="CO33"/>
  <c r="CK34"/>
  <c r="CL34"/>
  <c r="CM34"/>
  <c r="CN34"/>
  <c r="CO34"/>
  <c r="CP34"/>
  <c r="CQ34" s="1"/>
  <c r="CK35"/>
  <c r="CN35" s="1"/>
  <c r="CL35"/>
  <c r="CM35"/>
  <c r="CO35"/>
  <c r="CK36"/>
  <c r="CL36"/>
  <c r="CM36"/>
  <c r="CN36"/>
  <c r="CO36"/>
  <c r="CP36"/>
  <c r="CQ36" s="1"/>
  <c r="CK37"/>
  <c r="CN37" s="1"/>
  <c r="CL37"/>
  <c r="CM37"/>
  <c r="CO37"/>
  <c r="CK38"/>
  <c r="CL38"/>
  <c r="CM38"/>
  <c r="CN38"/>
  <c r="CO38"/>
  <c r="CP38"/>
  <c r="CQ38" s="1"/>
  <c r="CF38"/>
  <c r="CE38"/>
  <c r="CD38"/>
  <c r="CH38" s="1"/>
  <c r="CB38"/>
  <c r="CA38"/>
  <c r="CC38" s="1"/>
  <c r="BZ38"/>
  <c r="CG38" s="1"/>
  <c r="CI38" s="1"/>
  <c r="CF37"/>
  <c r="CE37"/>
  <c r="CD37"/>
  <c r="CH37" s="1"/>
  <c r="CB37"/>
  <c r="CA37"/>
  <c r="CC37" s="1"/>
  <c r="BZ37"/>
  <c r="CG37" s="1"/>
  <c r="CI37" s="1"/>
  <c r="CF36"/>
  <c r="CE36"/>
  <c r="CD36"/>
  <c r="CH36" s="1"/>
  <c r="CB36"/>
  <c r="CA36"/>
  <c r="CC36" s="1"/>
  <c r="BZ36"/>
  <c r="CG36" s="1"/>
  <c r="CI36" s="1"/>
  <c r="CF35"/>
  <c r="CE35"/>
  <c r="CD35"/>
  <c r="CH35" s="1"/>
  <c r="CB35"/>
  <c r="CA35"/>
  <c r="CC35" s="1"/>
  <c r="BZ35"/>
  <c r="CG35" s="1"/>
  <c r="CI35" s="1"/>
  <c r="CF34"/>
  <c r="CE34"/>
  <c r="CD34"/>
  <c r="CH34" s="1"/>
  <c r="CB34"/>
  <c r="CA34"/>
  <c r="CC34" s="1"/>
  <c r="BZ34"/>
  <c r="CG34" s="1"/>
  <c r="CI34" s="1"/>
  <c r="CF33"/>
  <c r="CE33"/>
  <c r="CD33"/>
  <c r="CH33" s="1"/>
  <c r="CB33"/>
  <c r="CA33"/>
  <c r="CC33" s="1"/>
  <c r="BZ33"/>
  <c r="CG33" s="1"/>
  <c r="CI33" s="1"/>
  <c r="CF32"/>
  <c r="CE32"/>
  <c r="CD32"/>
  <c r="CH32" s="1"/>
  <c r="CB32"/>
  <c r="CA32"/>
  <c r="CC32" s="1"/>
  <c r="BZ32"/>
  <c r="CG32" s="1"/>
  <c r="CI32" s="1"/>
  <c r="CF31"/>
  <c r="CE31"/>
  <c r="CD31"/>
  <c r="CH31" s="1"/>
  <c r="CB31"/>
  <c r="CA31"/>
  <c r="CC31" s="1"/>
  <c r="BZ31"/>
  <c r="CG31" s="1"/>
  <c r="CI31" s="1"/>
  <c r="CF30"/>
  <c r="CE30"/>
  <c r="CD30"/>
  <c r="CH30" s="1"/>
  <c r="CB30"/>
  <c r="CA30"/>
  <c r="CC30" s="1"/>
  <c r="BZ30"/>
  <c r="CG30" s="1"/>
  <c r="CI30" s="1"/>
  <c r="CF29"/>
  <c r="CE29"/>
  <c r="CD29"/>
  <c r="CH29" s="1"/>
  <c r="CB29"/>
  <c r="CA29"/>
  <c r="CC29" s="1"/>
  <c r="BZ29"/>
  <c r="CG29" s="1"/>
  <c r="CI29" s="1"/>
  <c r="CF28"/>
  <c r="CE28"/>
  <c r="CD28"/>
  <c r="CH28" s="1"/>
  <c r="CB28"/>
  <c r="CA28"/>
  <c r="CC28" s="1"/>
  <c r="BZ28"/>
  <c r="CG28" s="1"/>
  <c r="CI28" s="1"/>
  <c r="CF27"/>
  <c r="CE27"/>
  <c r="CD27"/>
  <c r="CH27" s="1"/>
  <c r="CB27"/>
  <c r="CA27"/>
  <c r="CC27" s="1"/>
  <c r="BZ27"/>
  <c r="CG27" s="1"/>
  <c r="CI27" s="1"/>
  <c r="CF26"/>
  <c r="CE26"/>
  <c r="CD26"/>
  <c r="CH26" s="1"/>
  <c r="CB26"/>
  <c r="CA26"/>
  <c r="CC26" s="1"/>
  <c r="BZ26"/>
  <c r="CG26" s="1"/>
  <c r="CI26" s="1"/>
  <c r="CF25"/>
  <c r="CE25"/>
  <c r="CD25"/>
  <c r="CH25" s="1"/>
  <c r="CB25"/>
  <c r="CA25"/>
  <c r="CC25" s="1"/>
  <c r="BZ25"/>
  <c r="CG25" s="1"/>
  <c r="CI25" s="1"/>
  <c r="CF24"/>
  <c r="CE24"/>
  <c r="CD24"/>
  <c r="CH24" s="1"/>
  <c r="CB24"/>
  <c r="CA24"/>
  <c r="CC24" s="1"/>
  <c r="BZ24"/>
  <c r="CG24" s="1"/>
  <c r="CI24" s="1"/>
  <c r="CF23"/>
  <c r="CE23"/>
  <c r="CD23"/>
  <c r="CH23" s="1"/>
  <c r="CB23"/>
  <c r="CA23"/>
  <c r="CC23" s="1"/>
  <c r="BZ23"/>
  <c r="CG23" s="1"/>
  <c r="CI23" s="1"/>
  <c r="CF22"/>
  <c r="CE22"/>
  <c r="CD22"/>
  <c r="CH22" s="1"/>
  <c r="CB22"/>
  <c r="CA22"/>
  <c r="CC22" s="1"/>
  <c r="BZ22"/>
  <c r="CG22" s="1"/>
  <c r="CI22" s="1"/>
  <c r="CF21"/>
  <c r="CE21"/>
  <c r="CD21"/>
  <c r="CH21" s="1"/>
  <c r="CB21"/>
  <c r="CA21"/>
  <c r="CC21" s="1"/>
  <c r="BZ21"/>
  <c r="CG21" s="1"/>
  <c r="CI21" s="1"/>
  <c r="CF20"/>
  <c r="CE20"/>
  <c r="CD20"/>
  <c r="CH20" s="1"/>
  <c r="CB20"/>
  <c r="CA20"/>
  <c r="CC20" s="1"/>
  <c r="BZ20"/>
  <c r="CG20" s="1"/>
  <c r="CI20" s="1"/>
  <c r="CF19"/>
  <c r="CE19"/>
  <c r="CD19"/>
  <c r="CH19" s="1"/>
  <c r="CB19"/>
  <c r="CA19"/>
  <c r="CC19" s="1"/>
  <c r="BZ19"/>
  <c r="CG19" s="1"/>
  <c r="CI19" s="1"/>
  <c r="CF18"/>
  <c r="CE18"/>
  <c r="CD18"/>
  <c r="CH18" s="1"/>
  <c r="CB18"/>
  <c r="CA18"/>
  <c r="CC18" s="1"/>
  <c r="BZ18"/>
  <c r="CG18" s="1"/>
  <c r="CI18" s="1"/>
  <c r="CF17"/>
  <c r="CE17"/>
  <c r="CD17"/>
  <c r="CH17" s="1"/>
  <c r="CB17"/>
  <c r="CA17"/>
  <c r="CC17" s="1"/>
  <c r="BZ17"/>
  <c r="CG17" s="1"/>
  <c r="CI17" s="1"/>
  <c r="CF16"/>
  <c r="CE16"/>
  <c r="CD16"/>
  <c r="CH16" s="1"/>
  <c r="CB16"/>
  <c r="CA16"/>
  <c r="BZ16"/>
  <c r="CG16" s="1"/>
  <c r="CI16" s="1"/>
  <c r="CF15"/>
  <c r="CE15"/>
  <c r="CD15"/>
  <c r="CH15" s="1"/>
  <c r="CB15"/>
  <c r="CA15"/>
  <c r="BZ15"/>
  <c r="CG15" s="1"/>
  <c r="CI15" s="1"/>
  <c r="CF14"/>
  <c r="CE14"/>
  <c r="CD14"/>
  <c r="CH14" s="1"/>
  <c r="CB14"/>
  <c r="CA14"/>
  <c r="BZ14"/>
  <c r="CG14" s="1"/>
  <c r="CI14" s="1"/>
  <c r="CF13"/>
  <c r="CE13"/>
  <c r="CD13"/>
  <c r="CH13" s="1"/>
  <c r="CB13"/>
  <c r="CA13"/>
  <c r="BZ13"/>
  <c r="CG13" s="1"/>
  <c r="CI13" s="1"/>
  <c r="CF12"/>
  <c r="CE12"/>
  <c r="CD12"/>
  <c r="CH12" s="1"/>
  <c r="CB12"/>
  <c r="CA12"/>
  <c r="BZ12"/>
  <c r="CG12" s="1"/>
  <c r="CI12" s="1"/>
  <c r="CF11"/>
  <c r="CE11"/>
  <c r="CD11"/>
  <c r="CH11" s="1"/>
  <c r="CB11"/>
  <c r="CA11"/>
  <c r="BZ11"/>
  <c r="CF10"/>
  <c r="CE10"/>
  <c r="CD10"/>
  <c r="CB10"/>
  <c r="CA10"/>
  <c r="CC10" s="1"/>
  <c r="BZ10"/>
  <c r="CG10" s="1"/>
  <c r="CF9"/>
  <c r="CE9"/>
  <c r="CD9"/>
  <c r="CB9"/>
  <c r="CA9"/>
  <c r="CC9" s="1"/>
  <c r="BZ9"/>
  <c r="CG9" s="1"/>
  <c r="BX48"/>
  <c r="BX49"/>
  <c r="BX50"/>
  <c r="BX51"/>
  <c r="BX52"/>
  <c r="BX53"/>
  <c r="BX54"/>
  <c r="BX55"/>
  <c r="BX56"/>
  <c r="BX57"/>
  <c r="BX58"/>
  <c r="BX59"/>
  <c r="BX60"/>
  <c r="BX61"/>
  <c r="BX62"/>
  <c r="BX63"/>
  <c r="BX64"/>
  <c r="BX65"/>
  <c r="BX66"/>
  <c r="BX67"/>
  <c r="BX68"/>
  <c r="BX69"/>
  <c r="BX70"/>
  <c r="BX71"/>
  <c r="BX72"/>
  <c r="BX73"/>
  <c r="BX74"/>
  <c r="BT48"/>
  <c r="BT49"/>
  <c r="BT50"/>
  <c r="BW50" s="1"/>
  <c r="BT51"/>
  <c r="BW51" s="1"/>
  <c r="BT52"/>
  <c r="BW52" s="1"/>
  <c r="BT53"/>
  <c r="BW53" s="1"/>
  <c r="BT54"/>
  <c r="BW54" s="1"/>
  <c r="BT55"/>
  <c r="BW55" s="1"/>
  <c r="BT56"/>
  <c r="BW56" s="1"/>
  <c r="BT57"/>
  <c r="BW57" s="1"/>
  <c r="BT58"/>
  <c r="BW58" s="1"/>
  <c r="BT59"/>
  <c r="BW59" s="1"/>
  <c r="BT60"/>
  <c r="BW60" s="1"/>
  <c r="BT61"/>
  <c r="BW61" s="1"/>
  <c r="BT62"/>
  <c r="BW62" s="1"/>
  <c r="BT63"/>
  <c r="BW63" s="1"/>
  <c r="BT64"/>
  <c r="BW64" s="1"/>
  <c r="BT65"/>
  <c r="BW65" s="1"/>
  <c r="BT66"/>
  <c r="BW66" s="1"/>
  <c r="BT67"/>
  <c r="BW67" s="1"/>
  <c r="BT68"/>
  <c r="BW68" s="1"/>
  <c r="BT69"/>
  <c r="BW69" s="1"/>
  <c r="BT70"/>
  <c r="BW70" s="1"/>
  <c r="BT71"/>
  <c r="BW71" s="1"/>
  <c r="BT72"/>
  <c r="BW72" s="1"/>
  <c r="BT73"/>
  <c r="BW73" s="1"/>
  <c r="BT74"/>
  <c r="BT75"/>
  <c r="BT76"/>
  <c r="B77"/>
  <c r="CS41" s="1"/>
  <c r="B39"/>
  <c r="BG39"/>
  <c r="BW26"/>
  <c r="BW27"/>
  <c r="BW28"/>
  <c r="BW29"/>
  <c r="BW30"/>
  <c r="BW31"/>
  <c r="BV13"/>
  <c r="BV14"/>
  <c r="BV15"/>
  <c r="BV16"/>
  <c r="BV17"/>
  <c r="BV18"/>
  <c r="BV19"/>
  <c r="BV20"/>
  <c r="BV21"/>
  <c r="BV22"/>
  <c r="BV23"/>
  <c r="BV24"/>
  <c r="BV25"/>
  <c r="BV26"/>
  <c r="BV27"/>
  <c r="BV28"/>
  <c r="BV29"/>
  <c r="BV30"/>
  <c r="BV31"/>
  <c r="BV32"/>
  <c r="BV33"/>
  <c r="BV34"/>
  <c r="BV35"/>
  <c r="BT27"/>
  <c r="BT28"/>
  <c r="BT29"/>
  <c r="BH77"/>
  <c r="BI77"/>
  <c r="BJ77"/>
  <c r="BK77"/>
  <c r="BL77"/>
  <c r="BM77"/>
  <c r="BN77"/>
  <c r="BO77"/>
  <c r="BP77"/>
  <c r="BQ77"/>
  <c r="BR77"/>
  <c r="BS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C77"/>
  <c r="BT32"/>
  <c r="BT33"/>
  <c r="BT34"/>
  <c r="BT35"/>
  <c r="BT11"/>
  <c r="BT12"/>
  <c r="BT13"/>
  <c r="BT14"/>
  <c r="BT15"/>
  <c r="BT16"/>
  <c r="BT17"/>
  <c r="BT18"/>
  <c r="BT19"/>
  <c r="BT20"/>
  <c r="BT21"/>
  <c r="BT22"/>
  <c r="BT23"/>
  <c r="BT24"/>
  <c r="BT25"/>
  <c r="I46" i="6" l="1"/>
  <c r="U46"/>
  <c r="Y46"/>
  <c r="J46"/>
  <c r="N46"/>
  <c r="Q46"/>
  <c r="Z46"/>
  <c r="AB46"/>
  <c r="AD46"/>
  <c r="K46"/>
  <c r="O46"/>
  <c r="R46"/>
  <c r="V46"/>
  <c r="AA46"/>
  <c r="M46"/>
  <c r="T46"/>
  <c r="H46"/>
  <c r="L46"/>
  <c r="P46"/>
  <c r="S46"/>
  <c r="W46"/>
  <c r="X46"/>
  <c r="AF46"/>
  <c r="CP37" i="4"/>
  <c r="CQ37" s="1"/>
  <c r="CP35"/>
  <c r="CQ35" s="1"/>
  <c r="CP33"/>
  <c r="CQ33" s="1"/>
  <c r="CP31"/>
  <c r="CQ31" s="1"/>
  <c r="CP29"/>
  <c r="CQ29" s="1"/>
  <c r="CP27"/>
  <c r="CQ27" s="1"/>
  <c r="CP25"/>
  <c r="CQ25" s="1"/>
  <c r="CP23"/>
  <c r="CQ23" s="1"/>
  <c r="CP21"/>
  <c r="CQ21" s="1"/>
  <c r="CP19"/>
  <c r="CQ19" s="1"/>
  <c r="CP17"/>
  <c r="CQ17" s="1"/>
  <c r="CP15"/>
  <c r="CQ15" s="1"/>
  <c r="CP13"/>
  <c r="CQ13" s="1"/>
  <c r="CP11"/>
  <c r="CQ11" s="1"/>
  <c r="CP9"/>
  <c r="CQ9" s="1"/>
  <c r="CH9"/>
  <c r="CI9" s="1"/>
  <c r="CH10"/>
  <c r="CI10" s="1"/>
  <c r="CG11"/>
  <c r="CI11" s="1"/>
  <c r="CC11"/>
  <c r="CC12"/>
  <c r="CC13"/>
  <c r="CC14"/>
  <c r="CC15"/>
  <c r="CC16"/>
  <c r="BW24"/>
  <c r="BW22"/>
  <c r="BW20"/>
  <c r="BW18"/>
  <c r="BW33"/>
  <c r="BW25"/>
  <c r="BW23"/>
  <c r="BW21"/>
  <c r="BW19"/>
  <c r="BW34"/>
  <c r="BW32"/>
  <c r="BX47"/>
  <c r="BX75"/>
  <c r="BX76"/>
  <c r="BV36"/>
  <c r="BV37"/>
  <c r="BV38"/>
  <c r="BT26"/>
  <c r="BT30"/>
  <c r="BT31"/>
  <c r="BT36"/>
  <c r="BW36" s="1"/>
  <c r="BT37"/>
  <c r="BT38"/>
  <c r="BW38" s="1"/>
  <c r="BV12"/>
  <c r="BW12"/>
  <c r="BW13"/>
  <c r="BW14"/>
  <c r="BW15"/>
  <c r="BW76" l="1"/>
  <c r="BW74"/>
  <c r="BW37"/>
  <c r="BW35"/>
  <c r="BW75"/>
  <c r="CV8" l="1"/>
  <c r="AH53" i="6"/>
  <c r="AI53"/>
  <c r="AJ53"/>
  <c r="AK53"/>
  <c r="AL53"/>
  <c r="AM53"/>
  <c r="AN53"/>
  <c r="AO53"/>
  <c r="AP53"/>
  <c r="AQ53"/>
  <c r="AR53"/>
  <c r="AS53"/>
  <c r="CV39" i="4" l="1"/>
  <c r="BH39"/>
  <c r="BI39"/>
  <c r="BJ39"/>
  <c r="BK39"/>
  <c r="BL39"/>
  <c r="BM39"/>
  <c r="BN39"/>
  <c r="BO39"/>
  <c r="BP39"/>
  <c r="BQ39"/>
  <c r="BR39"/>
  <c r="BS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CO8" l="1"/>
  <c r="CO39" s="1"/>
  <c r="CT8"/>
  <c r="CT39" s="1"/>
  <c r="CM8"/>
  <c r="CM39" s="1"/>
  <c r="BX46" l="1"/>
  <c r="BT47"/>
  <c r="BT46"/>
  <c r="BT9"/>
  <c r="BT10"/>
  <c r="BT8"/>
  <c r="BH4"/>
  <c r="BI4"/>
  <c r="BJ4"/>
  <c r="BK4"/>
  <c r="BL4"/>
  <c r="BM4"/>
  <c r="BN4"/>
  <c r="BO4"/>
  <c r="BP4"/>
  <c r="BQ4"/>
  <c r="BR4"/>
  <c r="BS4"/>
  <c r="BT39" l="1"/>
  <c r="AM96"/>
  <c r="AO96"/>
  <c r="AQ96"/>
  <c r="AS96"/>
  <c r="AU96"/>
  <c r="AW96"/>
  <c r="AL96"/>
  <c r="AN96"/>
  <c r="AP96"/>
  <c r="AR96"/>
  <c r="AT96"/>
  <c r="AV96"/>
  <c r="AA96"/>
  <c r="AC96"/>
  <c r="AE96"/>
  <c r="AG96"/>
  <c r="AI96"/>
  <c r="AK96"/>
  <c r="AB96"/>
  <c r="AD96"/>
  <c r="AF96"/>
  <c r="AH96"/>
  <c r="AJ96"/>
  <c r="Z96"/>
  <c r="A17" i="7" l="1"/>
  <c r="A18"/>
  <c r="A19" s="1"/>
  <c r="A20" s="1"/>
  <c r="BD4" i="4" l="1"/>
  <c r="BE4"/>
  <c r="BF4"/>
  <c r="BG4"/>
  <c r="G5" i="6"/>
  <c r="G46" s="1"/>
  <c r="BV11" i="4"/>
  <c r="BV10"/>
  <c r="BV9"/>
  <c r="CK42" l="1"/>
  <c r="BT77"/>
  <c r="BW48"/>
  <c r="BW16"/>
  <c r="BW47"/>
  <c r="BW49"/>
  <c r="BW17"/>
  <c r="A6" i="6" l="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l="1"/>
  <c r="A47" s="1"/>
  <c r="D24" i="10"/>
  <c r="D29" i="9"/>
  <c r="E29"/>
  <c r="E19" i="10"/>
  <c r="E18"/>
  <c r="E17"/>
  <c r="E16"/>
  <c r="E15"/>
  <c r="E14"/>
  <c r="E13"/>
  <c r="E21"/>
  <c r="E20"/>
  <c r="E12"/>
  <c r="E11"/>
  <c r="E10"/>
  <c r="A11"/>
  <c r="A12" s="1"/>
  <c r="A13" s="1"/>
  <c r="A14" s="1"/>
  <c r="A15" s="1"/>
  <c r="A16" s="1"/>
  <c r="A17" s="1"/>
  <c r="A18" s="1"/>
  <c r="A19" s="1"/>
  <c r="A20" s="1"/>
  <c r="A21" s="1"/>
  <c r="A24" s="1"/>
  <c r="E8"/>
  <c r="I61" i="9"/>
  <c r="E31"/>
  <c r="D31"/>
  <c r="E30"/>
  <c r="D30"/>
  <c r="E11"/>
  <c r="D11"/>
  <c r="E10"/>
  <c r="D10"/>
  <c r="A8"/>
  <c r="A10" s="1"/>
  <c r="A11" s="1"/>
  <c r="A12" s="1"/>
  <c r="A13" s="1"/>
  <c r="A14" s="1"/>
  <c r="A19" s="1"/>
  <c r="C17" i="8"/>
  <c r="E10" s="1"/>
  <c r="E12"/>
  <c r="E9"/>
  <c r="A7" i="7"/>
  <c r="A8" s="1"/>
  <c r="A9" s="1"/>
  <c r="A10" s="1"/>
  <c r="A11" s="1"/>
  <c r="A12" s="1"/>
  <c r="A13" s="1"/>
  <c r="A14" s="1"/>
  <c r="A15" s="1"/>
  <c r="A16" s="1"/>
  <c r="A48" i="6" l="1"/>
  <c r="A49" s="1"/>
  <c r="A51" s="1"/>
  <c r="A52" s="1"/>
  <c r="A53" s="1"/>
  <c r="A54" s="1"/>
  <c r="A55" s="1"/>
  <c r="A56" s="1"/>
  <c r="A57" s="1"/>
  <c r="A58" s="1"/>
  <c r="A59" s="1"/>
  <c r="A60" s="1"/>
  <c r="I29" i="9"/>
  <c r="I27"/>
  <c r="I26"/>
  <c r="I25"/>
  <c r="E11" i="8"/>
  <c r="E14"/>
  <c r="A25" i="9"/>
  <c r="A26" s="1"/>
  <c r="A27" s="1"/>
  <c r="A29" s="1"/>
  <c r="A30" s="1"/>
  <c r="A31" s="1"/>
  <c r="A32" s="1"/>
  <c r="A38" s="1"/>
  <c r="A39" s="1"/>
  <c r="A40" s="1"/>
  <c r="A41" s="1"/>
  <c r="A47" s="1"/>
  <c r="A48" s="1"/>
  <c r="A49" s="1"/>
  <c r="A50" s="1"/>
  <c r="A51" s="1"/>
  <c r="A57" s="1"/>
  <c r="A58" s="1"/>
  <c r="A59" s="1"/>
  <c r="A60" s="1"/>
  <c r="A61" s="1"/>
  <c r="A62" s="1"/>
  <c r="A68" s="1"/>
  <c r="A69" s="1"/>
  <c r="A71" s="1"/>
  <c r="E24" i="10"/>
  <c r="E13" i="8"/>
  <c r="E15"/>
  <c r="I7" i="9"/>
  <c r="I10"/>
  <c r="G12"/>
  <c r="I31"/>
  <c r="I40"/>
  <c r="I49"/>
  <c r="I59"/>
  <c r="I8"/>
  <c r="I19"/>
  <c r="G41"/>
  <c r="I38"/>
  <c r="G51"/>
  <c r="I47"/>
  <c r="I57"/>
  <c r="I11"/>
  <c r="G32"/>
  <c r="I30"/>
  <c r="I39"/>
  <c r="I48"/>
  <c r="K50"/>
  <c r="I50"/>
  <c r="I58"/>
  <c r="I60"/>
  <c r="G69"/>
  <c r="I68"/>
  <c r="A61" i="6" l="1"/>
  <c r="A62" s="1"/>
  <c r="A63" s="1"/>
  <c r="A64" s="1"/>
  <c r="E17" i="8"/>
  <c r="I62" i="9"/>
  <c r="I32"/>
  <c r="I51"/>
  <c r="I41"/>
  <c r="I12"/>
  <c r="I69"/>
  <c r="I14" l="1"/>
  <c r="D53" i="6" l="1"/>
  <c r="E53"/>
  <c r="F53"/>
  <c r="G53"/>
  <c r="H53"/>
  <c r="I53"/>
  <c r="J53"/>
  <c r="K53"/>
  <c r="L53"/>
  <c r="M53"/>
  <c r="N53"/>
  <c r="O53"/>
  <c r="P53"/>
  <c r="Q53"/>
  <c r="R53"/>
  <c r="S53"/>
  <c r="T53"/>
  <c r="U53"/>
  <c r="V53"/>
  <c r="W53"/>
  <c r="X53"/>
  <c r="Y53"/>
  <c r="Z53"/>
  <c r="AA53"/>
  <c r="AB53"/>
  <c r="AC53"/>
  <c r="AD53"/>
  <c r="AE53"/>
  <c r="AF53"/>
  <c r="AG53"/>
  <c r="E3"/>
  <c r="F3" l="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D49"/>
  <c r="D52" s="1"/>
  <c r="E51"/>
  <c r="F51" s="1"/>
  <c r="G51" s="1"/>
  <c r="H51" l="1"/>
  <c r="E52"/>
  <c r="D54"/>
  <c r="D59" s="1"/>
  <c r="I51" l="1"/>
  <c r="H98" i="4"/>
  <c r="F52" i="6"/>
  <c r="E54"/>
  <c r="I98" i="4" s="1"/>
  <c r="E59" i="6" l="1"/>
  <c r="F59" s="1"/>
  <c r="J51"/>
  <c r="G52"/>
  <c r="F54"/>
  <c r="J98" i="4" s="1"/>
  <c r="K51" i="6" l="1"/>
  <c r="H52"/>
  <c r="H54" s="1"/>
  <c r="L98" i="4" s="1"/>
  <c r="G54" i="6"/>
  <c r="K98" i="4" s="1"/>
  <c r="G59" i="6" l="1"/>
  <c r="H59" s="1"/>
  <c r="L51"/>
  <c r="I52"/>
  <c r="C87" i="4"/>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M51" i="6" l="1"/>
  <c r="J52"/>
  <c r="I54"/>
  <c r="M98" i="4" s="1"/>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H4"/>
  <c r="I4"/>
  <c r="J4"/>
  <c r="K4"/>
  <c r="L4"/>
  <c r="M4"/>
  <c r="C4"/>
  <c r="D4"/>
  <c r="E4"/>
  <c r="F4"/>
  <c r="G4"/>
  <c r="B4"/>
  <c r="CB8"/>
  <c r="CB39" s="1"/>
  <c r="CA8"/>
  <c r="CA39" s="1"/>
  <c r="CD8"/>
  <c r="BX77"/>
  <c r="I59" i="6" l="1"/>
  <c r="CD39" i="4"/>
  <c r="N51" i="6"/>
  <c r="K52"/>
  <c r="J54"/>
  <c r="N98" i="4" s="1"/>
  <c r="CE8"/>
  <c r="CF8"/>
  <c r="J59" i="6" l="1"/>
  <c r="CE39" i="4"/>
  <c r="CF39"/>
  <c r="O51" i="6"/>
  <c r="L52"/>
  <c r="K54"/>
  <c r="O98" i="4" s="1"/>
  <c r="K59" i="6" l="1"/>
  <c r="P51"/>
  <c r="M52"/>
  <c r="L54"/>
  <c r="P98" i="4" s="1"/>
  <c r="BV8"/>
  <c r="L59" i="6" l="1"/>
  <c r="BZ8" i="4"/>
  <c r="CG8" s="1"/>
  <c r="CG39" s="1"/>
  <c r="BV39"/>
  <c r="Q51" i="6"/>
  <c r="E62"/>
  <c r="N52"/>
  <c r="M54"/>
  <c r="Q98" i="4" s="1"/>
  <c r="BW8"/>
  <c r="BW46"/>
  <c r="BW10"/>
  <c r="BW77"/>
  <c r="BW11"/>
  <c r="BW9"/>
  <c r="M59" i="6" l="1"/>
  <c r="BZ39" i="4"/>
  <c r="CC8"/>
  <c r="CC39" s="1"/>
  <c r="BW39"/>
  <c r="CH8"/>
  <c r="CH39" s="1"/>
  <c r="F62" i="6"/>
  <c r="R51"/>
  <c r="O52"/>
  <c r="N54"/>
  <c r="R98" i="4" s="1"/>
  <c r="CI8"/>
  <c r="N59" i="6" l="1"/>
  <c r="CK8" i="4"/>
  <c r="CN8" s="1"/>
  <c r="G62" i="6"/>
  <c r="S51"/>
  <c r="CL8" i="4"/>
  <c r="CL39" s="1"/>
  <c r="CI39"/>
  <c r="CG41"/>
  <c r="P52" i="6"/>
  <c r="O54"/>
  <c r="S98" i="4" s="1"/>
  <c r="O59" i="6" l="1"/>
  <c r="CK39" i="4"/>
  <c r="CK41" s="1"/>
  <c r="CK43" s="1"/>
  <c r="CP8"/>
  <c r="CS8"/>
  <c r="CS39" s="1"/>
  <c r="CS42" s="1"/>
  <c r="CN39"/>
  <c r="T51" i="6"/>
  <c r="H62"/>
  <c r="N89" i="4"/>
  <c r="AM89"/>
  <c r="AO89"/>
  <c r="AQ89"/>
  <c r="AS89"/>
  <c r="AU89"/>
  <c r="AW89"/>
  <c r="AN89"/>
  <c r="AP89"/>
  <c r="AR89"/>
  <c r="AT89"/>
  <c r="AV89"/>
  <c r="AL89"/>
  <c r="AN90"/>
  <c r="AP90"/>
  <c r="AR90"/>
  <c r="AT90"/>
  <c r="AV90"/>
  <c r="AL90"/>
  <c r="AM90"/>
  <c r="AO90"/>
  <c r="AQ90"/>
  <c r="AS90"/>
  <c r="AU90"/>
  <c r="AW90"/>
  <c r="CU8"/>
  <c r="CU39" s="1"/>
  <c r="AA90"/>
  <c r="AC90"/>
  <c r="AE90"/>
  <c r="AG90"/>
  <c r="AI90"/>
  <c r="AK90"/>
  <c r="O90"/>
  <c r="Q90"/>
  <c r="S90"/>
  <c r="U90"/>
  <c r="W90"/>
  <c r="Y90"/>
  <c r="P90"/>
  <c r="T90"/>
  <c r="V90"/>
  <c r="N90"/>
  <c r="AB90"/>
  <c r="AD90"/>
  <c r="AF90"/>
  <c r="AH90"/>
  <c r="AJ90"/>
  <c r="Z90"/>
  <c r="R90"/>
  <c r="X90"/>
  <c r="AB89"/>
  <c r="AD89"/>
  <c r="AF89"/>
  <c r="AH89"/>
  <c r="AJ89"/>
  <c r="Z89"/>
  <c r="P89"/>
  <c r="R89"/>
  <c r="T89"/>
  <c r="V89"/>
  <c r="X89"/>
  <c r="AA89"/>
  <c r="AC89"/>
  <c r="AE89"/>
  <c r="AG89"/>
  <c r="AI89"/>
  <c r="AK89"/>
  <c r="O89"/>
  <c r="Q89"/>
  <c r="S89"/>
  <c r="U89"/>
  <c r="W89"/>
  <c r="Y89"/>
  <c r="Q52" i="6"/>
  <c r="Q54" s="1"/>
  <c r="U98" i="4" s="1"/>
  <c r="P54" i="6"/>
  <c r="T98" i="4" s="1"/>
  <c r="M89"/>
  <c r="D89"/>
  <c r="F89"/>
  <c r="H89"/>
  <c r="J89"/>
  <c r="B89"/>
  <c r="L89"/>
  <c r="C89"/>
  <c r="E89"/>
  <c r="G89"/>
  <c r="I89"/>
  <c r="K89"/>
  <c r="D90"/>
  <c r="F90"/>
  <c r="H90"/>
  <c r="J90"/>
  <c r="L90"/>
  <c r="B90"/>
  <c r="C90"/>
  <c r="E90"/>
  <c r="G90"/>
  <c r="I90"/>
  <c r="K90"/>
  <c r="M90"/>
  <c r="P59" i="6" l="1"/>
  <c r="Q59" s="1"/>
  <c r="CP39" i="4"/>
  <c r="CQ8"/>
  <c r="CQ39" s="1"/>
  <c r="U51" i="6"/>
  <c r="I62"/>
  <c r="N91" i="4"/>
  <c r="AN91"/>
  <c r="AP91"/>
  <c r="AR91"/>
  <c r="AT91"/>
  <c r="AV91"/>
  <c r="AL91"/>
  <c r="AM91"/>
  <c r="AO91"/>
  <c r="AQ91"/>
  <c r="AS91"/>
  <c r="AU91"/>
  <c r="AW91"/>
  <c r="B91"/>
  <c r="B97" s="1"/>
  <c r="AB91"/>
  <c r="AD91"/>
  <c r="AF91"/>
  <c r="AH91"/>
  <c r="AJ91"/>
  <c r="Z91"/>
  <c r="P91"/>
  <c r="R91"/>
  <c r="T91"/>
  <c r="V91"/>
  <c r="X91"/>
  <c r="O91"/>
  <c r="Q91"/>
  <c r="U91"/>
  <c r="W91"/>
  <c r="AA91"/>
  <c r="AC91"/>
  <c r="AE91"/>
  <c r="AG91"/>
  <c r="AI91"/>
  <c r="AK91"/>
  <c r="S91"/>
  <c r="Y91"/>
  <c r="R52" i="6"/>
  <c r="C91" i="4"/>
  <c r="E91"/>
  <c r="G91"/>
  <c r="I91"/>
  <c r="I97" s="1"/>
  <c r="K91"/>
  <c r="K97" s="1"/>
  <c r="M91"/>
  <c r="M97" s="1"/>
  <c r="D91"/>
  <c r="F91"/>
  <c r="H91"/>
  <c r="H97" s="1"/>
  <c r="J91"/>
  <c r="J97" s="1"/>
  <c r="L91"/>
  <c r="L97" s="1"/>
  <c r="E61" i="6" l="1"/>
  <c r="J62"/>
  <c r="V51"/>
  <c r="AN94" i="4"/>
  <c r="AP94"/>
  <c r="AR94"/>
  <c r="AT94"/>
  <c r="AV94"/>
  <c r="AL94"/>
  <c r="AM94"/>
  <c r="AO94"/>
  <c r="AQ94"/>
  <c r="AS94"/>
  <c r="AU94"/>
  <c r="AW94"/>
  <c r="AG93"/>
  <c r="B99"/>
  <c r="B101" s="1"/>
  <c r="B102" s="1"/>
  <c r="C97"/>
  <c r="C99" s="1"/>
  <c r="C101" s="1"/>
  <c r="E97"/>
  <c r="E99" s="1"/>
  <c r="E101" s="1"/>
  <c r="D97"/>
  <c r="D99" s="1"/>
  <c r="D101" s="1"/>
  <c r="G97"/>
  <c r="G99" s="1"/>
  <c r="G101" s="1"/>
  <c r="F97"/>
  <c r="F99" s="1"/>
  <c r="F101" s="1"/>
  <c r="AH94"/>
  <c r="AB94"/>
  <c r="N94"/>
  <c r="AG94"/>
  <c r="Q94"/>
  <c r="R94"/>
  <c r="Y94"/>
  <c r="V94"/>
  <c r="AK94"/>
  <c r="AC94"/>
  <c r="U94"/>
  <c r="Z94"/>
  <c r="AD94"/>
  <c r="D55" i="6"/>
  <c r="D56" s="1"/>
  <c r="D57" s="1"/>
  <c r="H99" i="4"/>
  <c r="H101" s="1"/>
  <c r="F55" i="6"/>
  <c r="F56" s="1"/>
  <c r="F57" s="1"/>
  <c r="J99" i="4"/>
  <c r="J101" s="1"/>
  <c r="I55" i="6"/>
  <c r="I56" s="1"/>
  <c r="I57" s="1"/>
  <c r="M99" i="4"/>
  <c r="M101" s="1"/>
  <c r="E55" i="6"/>
  <c r="E56" s="1"/>
  <c r="E57" s="1"/>
  <c r="I99" i="4"/>
  <c r="I101" s="1"/>
  <c r="H55" i="6"/>
  <c r="H56" s="1"/>
  <c r="H57" s="1"/>
  <c r="L99" i="4"/>
  <c r="L101" s="1"/>
  <c r="G55" i="6"/>
  <c r="G56" s="1"/>
  <c r="G57" s="1"/>
  <c r="K99" i="4"/>
  <c r="K101" s="1"/>
  <c r="X94"/>
  <c r="T94"/>
  <c r="P94"/>
  <c r="AI94"/>
  <c r="AE94"/>
  <c r="AA94"/>
  <c r="W94"/>
  <c r="S94"/>
  <c r="O94"/>
  <c r="AJ94"/>
  <c r="AF94"/>
  <c r="R93"/>
  <c r="AH93"/>
  <c r="Y93"/>
  <c r="S52" i="6"/>
  <c r="R54"/>
  <c r="V98" i="4" s="1"/>
  <c r="R59" i="6" l="1"/>
  <c r="F61"/>
  <c r="R97" i="4"/>
  <c r="W51" i="6"/>
  <c r="K62"/>
  <c r="AG97" i="4"/>
  <c r="Q93"/>
  <c r="Q97" s="1"/>
  <c r="N93"/>
  <c r="N97" s="1"/>
  <c r="J55" i="6" s="1"/>
  <c r="J56" s="1"/>
  <c r="J57" s="1"/>
  <c r="AA93" i="4"/>
  <c r="AA97" s="1"/>
  <c r="AN93"/>
  <c r="AN97" s="1"/>
  <c r="AP93"/>
  <c r="AP97" s="1"/>
  <c r="AR93"/>
  <c r="AR97" s="1"/>
  <c r="AT93"/>
  <c r="AT97" s="1"/>
  <c r="AV93"/>
  <c r="AV97" s="1"/>
  <c r="AL93"/>
  <c r="AL97" s="1"/>
  <c r="AM93"/>
  <c r="AM97" s="1"/>
  <c r="AO93"/>
  <c r="AO97" s="1"/>
  <c r="AQ93"/>
  <c r="AQ97" s="1"/>
  <c r="AS93"/>
  <c r="AS97" s="1"/>
  <c r="AU93"/>
  <c r="AU97" s="1"/>
  <c r="AW93"/>
  <c r="AW97" s="1"/>
  <c r="AK93"/>
  <c r="AK97" s="1"/>
  <c r="U93"/>
  <c r="U97" s="1"/>
  <c r="Q55" i="6" s="1"/>
  <c r="Q56" s="1"/>
  <c r="Q57" s="1"/>
  <c r="Z93" i="4"/>
  <c r="Z97" s="1"/>
  <c r="AD93"/>
  <c r="AD97" s="1"/>
  <c r="V93"/>
  <c r="V97" s="1"/>
  <c r="V99" s="1"/>
  <c r="V101" s="1"/>
  <c r="AC93"/>
  <c r="AC97" s="1"/>
  <c r="W93"/>
  <c r="W97" s="1"/>
  <c r="S93"/>
  <c r="S97" s="1"/>
  <c r="O93"/>
  <c r="O97" s="1"/>
  <c r="O99" s="1"/>
  <c r="O101" s="1"/>
  <c r="AJ93"/>
  <c r="AJ97" s="1"/>
  <c r="AF93"/>
  <c r="AF97" s="1"/>
  <c r="AB93"/>
  <c r="AB97" s="1"/>
  <c r="X93"/>
  <c r="X97" s="1"/>
  <c r="T93"/>
  <c r="T97" s="1"/>
  <c r="P93"/>
  <c r="P97" s="1"/>
  <c r="P99" s="1"/>
  <c r="P101" s="1"/>
  <c r="AI93"/>
  <c r="AI97" s="1"/>
  <c r="AE93"/>
  <c r="AE97" s="1"/>
  <c r="Y97"/>
  <c r="AH97"/>
  <c r="C102"/>
  <c r="D102" s="1"/>
  <c r="E102" s="1"/>
  <c r="F102" s="1"/>
  <c r="G102" s="1"/>
  <c r="H102" s="1"/>
  <c r="D58" i="6" s="1"/>
  <c r="N55"/>
  <c r="N56" s="1"/>
  <c r="N57" s="1"/>
  <c r="T52"/>
  <c r="S54"/>
  <c r="W98" i="4" s="1"/>
  <c r="S59" i="6" l="1"/>
  <c r="G61"/>
  <c r="X51"/>
  <c r="L62"/>
  <c r="E58"/>
  <c r="AI55"/>
  <c r="AS55"/>
  <c r="AO55"/>
  <c r="AK55"/>
  <c r="AH55"/>
  <c r="AP55"/>
  <c r="AL55"/>
  <c r="AN55"/>
  <c r="AQ55"/>
  <c r="AM55"/>
  <c r="AR55"/>
  <c r="AJ55"/>
  <c r="M55"/>
  <c r="M56" s="1"/>
  <c r="M57" s="1"/>
  <c r="Q99" i="4"/>
  <c r="Q101" s="1"/>
  <c r="K55" i="6"/>
  <c r="K56" s="1"/>
  <c r="K57" s="1"/>
  <c r="N99" i="4"/>
  <c r="N101" s="1"/>
  <c r="L55" i="6"/>
  <c r="L56" s="1"/>
  <c r="L57" s="1"/>
  <c r="U99" i="4"/>
  <c r="U101" s="1"/>
  <c r="W99"/>
  <c r="W101" s="1"/>
  <c r="R99"/>
  <c r="R101" s="1"/>
  <c r="I102"/>
  <c r="J102" s="1"/>
  <c r="K102" s="1"/>
  <c r="L102" s="1"/>
  <c r="M102" s="1"/>
  <c r="S55" i="6"/>
  <c r="S56" s="1"/>
  <c r="R55"/>
  <c r="R56" s="1"/>
  <c r="R57" s="1"/>
  <c r="P55"/>
  <c r="P56" s="1"/>
  <c r="P57" s="1"/>
  <c r="T99" i="4"/>
  <c r="T101" s="1"/>
  <c r="O55" i="6"/>
  <c r="O56" s="1"/>
  <c r="O57" s="1"/>
  <c r="S99" i="4"/>
  <c r="S101" s="1"/>
  <c r="T55" i="6"/>
  <c r="U52"/>
  <c r="T54"/>
  <c r="X98" i="4" s="1"/>
  <c r="X99" s="1"/>
  <c r="X101" s="1"/>
  <c r="N102" l="1"/>
  <c r="O102" s="1"/>
  <c r="P102" s="1"/>
  <c r="Q102" s="1"/>
  <c r="R102" s="1"/>
  <c r="S102" s="1"/>
  <c r="T102" s="1"/>
  <c r="U102" s="1"/>
  <c r="V102" s="1"/>
  <c r="W102" s="1"/>
  <c r="X102" s="1"/>
  <c r="T59" i="6"/>
  <c r="H61"/>
  <c r="Y51"/>
  <c r="M62"/>
  <c r="F58"/>
  <c r="T56"/>
  <c r="U55"/>
  <c r="V52"/>
  <c r="U54"/>
  <c r="S57"/>
  <c r="U59" l="1"/>
  <c r="J61" s="1"/>
  <c r="I61"/>
  <c r="Z51"/>
  <c r="N62"/>
  <c r="G58"/>
  <c r="Y98" i="4"/>
  <c r="Y99" s="1"/>
  <c r="Y101" s="1"/>
  <c r="Y102" s="1"/>
  <c r="U56" i="6"/>
  <c r="V55"/>
  <c r="T57"/>
  <c r="W52"/>
  <c r="V54"/>
  <c r="Z98" i="4" s="1"/>
  <c r="Z99" s="1"/>
  <c r="Z101" s="1"/>
  <c r="V59" i="6" l="1"/>
  <c r="AA51"/>
  <c r="O62"/>
  <c r="H58"/>
  <c r="Z102" i="4"/>
  <c r="V56" i="6"/>
  <c r="W55"/>
  <c r="U57"/>
  <c r="X52"/>
  <c r="W54"/>
  <c r="AA98" i="4" s="1"/>
  <c r="AA99" s="1"/>
  <c r="AA101" s="1"/>
  <c r="W59" i="6" l="1"/>
  <c r="K61"/>
  <c r="AB51"/>
  <c r="P62"/>
  <c r="I58"/>
  <c r="AA102" i="4"/>
  <c r="W56" i="6"/>
  <c r="X55"/>
  <c r="V57"/>
  <c r="Y52"/>
  <c r="X54"/>
  <c r="AB98" i="4" s="1"/>
  <c r="AB99" s="1"/>
  <c r="AB101" s="1"/>
  <c r="X59" i="6" l="1"/>
  <c r="AC51"/>
  <c r="Q62"/>
  <c r="L61"/>
  <c r="J58"/>
  <c r="AB102" i="4"/>
  <c r="X56" i="6"/>
  <c r="Y55"/>
  <c r="W57"/>
  <c r="Z52"/>
  <c r="Y54"/>
  <c r="AC98" i="4" s="1"/>
  <c r="AC99" s="1"/>
  <c r="AC101" s="1"/>
  <c r="Y59" i="6" l="1"/>
  <c r="M61"/>
  <c r="AD51"/>
  <c r="R62"/>
  <c r="K58"/>
  <c r="AC102" i="4"/>
  <c r="Y56" i="6"/>
  <c r="Z55"/>
  <c r="X57"/>
  <c r="AA52"/>
  <c r="Z54"/>
  <c r="AD98" i="4" s="1"/>
  <c r="AD99" s="1"/>
  <c r="AD101" s="1"/>
  <c r="Z59" i="6" l="1"/>
  <c r="N61"/>
  <c r="AE51"/>
  <c r="S62"/>
  <c r="L58"/>
  <c r="AD102" i="4"/>
  <c r="Z56" i="6"/>
  <c r="AA55"/>
  <c r="AB52"/>
  <c r="AA54"/>
  <c r="AE98" i="4" s="1"/>
  <c r="AE99" s="1"/>
  <c r="AE101" s="1"/>
  <c r="Y57" i="6"/>
  <c r="AA59" l="1"/>
  <c r="O61"/>
  <c r="AF51"/>
  <c r="T62"/>
  <c r="M58"/>
  <c r="AE102" i="4"/>
  <c r="AA56" i="6"/>
  <c r="AB55"/>
  <c r="Z57"/>
  <c r="AC52"/>
  <c r="AB54"/>
  <c r="AF98" i="4" l="1"/>
  <c r="AF99" s="1"/>
  <c r="AF101" s="1"/>
  <c r="AF102" s="1"/>
  <c r="AB59" i="6"/>
  <c r="P61"/>
  <c r="AG51"/>
  <c r="U62"/>
  <c r="N58"/>
  <c r="AB56"/>
  <c r="AC55"/>
  <c r="AD52"/>
  <c r="AC54"/>
  <c r="AG98" i="4" s="1"/>
  <c r="AG99" s="1"/>
  <c r="AG101" s="1"/>
  <c r="AA57" i="6"/>
  <c r="AC59" l="1"/>
  <c r="R61" s="1"/>
  <c r="Q61"/>
  <c r="AH51"/>
  <c r="V62"/>
  <c r="O58"/>
  <c r="AG102" i="4"/>
  <c r="AC56" i="6"/>
  <c r="AD55"/>
  <c r="AB57"/>
  <c r="AE52"/>
  <c r="AD54"/>
  <c r="AH98" i="4" s="1"/>
  <c r="AH99" s="1"/>
  <c r="AH101" s="1"/>
  <c r="AD59" i="6" l="1"/>
  <c r="AI51"/>
  <c r="W62"/>
  <c r="P58"/>
  <c r="E60" s="1"/>
  <c r="AH102" i="4"/>
  <c r="AD56" i="6"/>
  <c r="AE55"/>
  <c r="AF52"/>
  <c r="AG52" s="1"/>
  <c r="AE54"/>
  <c r="AI98" i="4" s="1"/>
  <c r="AI99" s="1"/>
  <c r="AI101" s="1"/>
  <c r="AC57" i="6"/>
  <c r="AE59" l="1"/>
  <c r="S61"/>
  <c r="AJ51"/>
  <c r="X62"/>
  <c r="Q58"/>
  <c r="F60" s="1"/>
  <c r="AG54"/>
  <c r="AK98" i="4" s="1"/>
  <c r="AK99" s="1"/>
  <c r="AK101" s="1"/>
  <c r="AH52" i="6"/>
  <c r="AI102" i="4"/>
  <c r="AE56" i="6"/>
  <c r="AG55"/>
  <c r="AF55"/>
  <c r="AD57"/>
  <c r="AF54"/>
  <c r="AJ98" i="4" s="1"/>
  <c r="AJ99" s="1"/>
  <c r="AJ101" s="1"/>
  <c r="AF59" i="6" l="1"/>
  <c r="AG59" s="1"/>
  <c r="T61"/>
  <c r="AK51"/>
  <c r="Y62"/>
  <c r="R58"/>
  <c r="G60" s="1"/>
  <c r="AH54"/>
  <c r="AI52"/>
  <c r="AJ102" i="4"/>
  <c r="AK102" s="1"/>
  <c r="AG56" i="6"/>
  <c r="AF56"/>
  <c r="AE57"/>
  <c r="AH59" l="1"/>
  <c r="U61"/>
  <c r="AL51"/>
  <c r="Z62"/>
  <c r="S58"/>
  <c r="H60" s="1"/>
  <c r="AL98" i="4"/>
  <c r="AL99" s="1"/>
  <c r="AL101" s="1"/>
  <c r="AL102" s="1"/>
  <c r="AH56" i="6"/>
  <c r="AH57" s="1"/>
  <c r="AJ52"/>
  <c r="AI54"/>
  <c r="AG57"/>
  <c r="AF57"/>
  <c r="AI59" l="1"/>
  <c r="V61"/>
  <c r="AM51"/>
  <c r="AA62"/>
  <c r="T58"/>
  <c r="AM98" i="4"/>
  <c r="AM99" s="1"/>
  <c r="AM101" s="1"/>
  <c r="AM102" s="1"/>
  <c r="AI56" i="6"/>
  <c r="AI57" s="1"/>
  <c r="AK52"/>
  <c r="AJ54"/>
  <c r="AJ59" l="1"/>
  <c r="W61"/>
  <c r="AN51"/>
  <c r="C6" i="7"/>
  <c r="C8" s="1"/>
  <c r="C14" s="1"/>
  <c r="AB62" i="6"/>
  <c r="I60"/>
  <c r="U58"/>
  <c r="J60" s="1"/>
  <c r="AN98" i="4"/>
  <c r="AN99" s="1"/>
  <c r="AN101" s="1"/>
  <c r="AN102" s="1"/>
  <c r="AJ56" i="6"/>
  <c r="AJ57" s="1"/>
  <c r="AL52"/>
  <c r="AK54"/>
  <c r="AK59" l="1"/>
  <c r="X61"/>
  <c r="Y61"/>
  <c r="AO51"/>
  <c r="AC62"/>
  <c r="V58"/>
  <c r="AO98" i="4"/>
  <c r="AO99" s="1"/>
  <c r="AO101" s="1"/>
  <c r="AO102" s="1"/>
  <c r="AK56" i="6"/>
  <c r="AK57" s="1"/>
  <c r="AM52"/>
  <c r="AL54"/>
  <c r="AL59" l="1"/>
  <c r="Z61"/>
  <c r="AP51"/>
  <c r="AD62"/>
  <c r="D64" s="1"/>
  <c r="W58"/>
  <c r="K60"/>
  <c r="AP98" i="4"/>
  <c r="AP99" s="1"/>
  <c r="AP101" s="1"/>
  <c r="AP102" s="1"/>
  <c r="AL56" i="6"/>
  <c r="AL57" s="1"/>
  <c r="AN52"/>
  <c r="AM54"/>
  <c r="AM59" l="1"/>
  <c r="AA61"/>
  <c r="AQ51"/>
  <c r="AE62"/>
  <c r="X58"/>
  <c r="M60" s="1"/>
  <c r="L60"/>
  <c r="AQ98" i="4"/>
  <c r="AQ99" s="1"/>
  <c r="AQ101" s="1"/>
  <c r="AQ102" s="1"/>
  <c r="AM56" i="6"/>
  <c r="AM57" s="1"/>
  <c r="AO52"/>
  <c r="AN54"/>
  <c r="AN59" l="1"/>
  <c r="AB61"/>
  <c r="AR51"/>
  <c r="AF62"/>
  <c r="Y58"/>
  <c r="AR98" i="4"/>
  <c r="AR99" s="1"/>
  <c r="AR101" s="1"/>
  <c r="AR102" s="1"/>
  <c r="AN56" i="6"/>
  <c r="AN57" s="1"/>
  <c r="AP52"/>
  <c r="AO54"/>
  <c r="AO59" l="1"/>
  <c r="AC61"/>
  <c r="AS51"/>
  <c r="AS62" s="1"/>
  <c r="AG62"/>
  <c r="Z58"/>
  <c r="N60"/>
  <c r="AS98" i="4"/>
  <c r="AS99" s="1"/>
  <c r="AS101" s="1"/>
  <c r="AS102" s="1"/>
  <c r="AO56" i="6"/>
  <c r="AO57" s="1"/>
  <c r="AQ52"/>
  <c r="AP54"/>
  <c r="AP59" l="1"/>
  <c r="AK62"/>
  <c r="AH62"/>
  <c r="AI62"/>
  <c r="AL62"/>
  <c r="AM62"/>
  <c r="AJ62"/>
  <c r="AQ62"/>
  <c r="AR62"/>
  <c r="AP62"/>
  <c r="AN62"/>
  <c r="AO62"/>
  <c r="AA58"/>
  <c r="O60"/>
  <c r="AT98" i="4"/>
  <c r="AT99" s="1"/>
  <c r="AT101" s="1"/>
  <c r="AT102" s="1"/>
  <c r="AP56" i="6"/>
  <c r="AP57" s="1"/>
  <c r="AD61"/>
  <c r="C9" i="7" s="1"/>
  <c r="AR52" i="6"/>
  <c r="AQ54"/>
  <c r="AQ59" l="1"/>
  <c r="AE61"/>
  <c r="AB58"/>
  <c r="P60"/>
  <c r="AU98" i="4"/>
  <c r="AU99" s="1"/>
  <c r="AU101" s="1"/>
  <c r="AU102" s="1"/>
  <c r="AQ56" i="6"/>
  <c r="AQ57" s="1"/>
  <c r="AS52"/>
  <c r="AS54" s="1"/>
  <c r="AR54"/>
  <c r="AR59" l="1"/>
  <c r="AS59" s="1"/>
  <c r="AF61"/>
  <c r="AC58"/>
  <c r="R60" s="1"/>
  <c r="Q60"/>
  <c r="AV98" i="4"/>
  <c r="AV99" s="1"/>
  <c r="AV101" s="1"/>
  <c r="AV102" s="1"/>
  <c r="AR56" i="6"/>
  <c r="AR57" s="1"/>
  <c r="AW98" i="4"/>
  <c r="AW99" s="1"/>
  <c r="AW101" s="1"/>
  <c r="AS56" i="6"/>
  <c r="AS57" s="1"/>
  <c r="AS61" l="1"/>
  <c r="AG61"/>
  <c r="AD58"/>
  <c r="S60" s="1"/>
  <c r="AW102" i="4"/>
  <c r="AO61" i="6" l="1"/>
  <c r="AR61"/>
  <c r="AQ61"/>
  <c r="AH61"/>
  <c r="AI61"/>
  <c r="AJ61"/>
  <c r="AK61"/>
  <c r="AL61"/>
  <c r="AM61"/>
  <c r="AP61"/>
  <c r="AN61"/>
  <c r="AE58"/>
  <c r="T60" s="1"/>
  <c r="AF58" l="1"/>
  <c r="U60" s="1"/>
  <c r="AG58" l="1"/>
  <c r="V60" s="1"/>
  <c r="AH58" l="1"/>
  <c r="W60" s="1"/>
  <c r="AI58" l="1"/>
  <c r="X60" s="1"/>
  <c r="AJ58" l="1"/>
  <c r="Y60" s="1"/>
  <c r="AK58" l="1"/>
  <c r="AL58" l="1"/>
  <c r="Z60"/>
  <c r="AM58" l="1"/>
  <c r="AA60"/>
  <c r="AN58" l="1"/>
  <c r="AC60" s="1"/>
  <c r="AB60"/>
  <c r="AO58" l="1"/>
  <c r="AD60" l="1"/>
  <c r="AP58"/>
  <c r="C10" i="7" l="1"/>
  <c r="C11" s="1"/>
  <c r="AQ58" i="6"/>
  <c r="AF60" s="1"/>
  <c r="AE60"/>
  <c r="C15" i="7" l="1"/>
  <c r="C13"/>
  <c r="AR58" i="6"/>
  <c r="AG60" s="1"/>
  <c r="C16" i="7" l="1"/>
  <c r="C20" s="1"/>
  <c r="G17" i="8" s="1"/>
  <c r="G10" s="1"/>
  <c r="K32" i="9" s="1"/>
  <c r="L32" s="1"/>
  <c r="L27" s="1"/>
  <c r="M27" s="1"/>
  <c r="AS58" i="6"/>
  <c r="AS60" s="1"/>
  <c r="L26" i="9" l="1"/>
  <c r="M26" s="1"/>
  <c r="O26" s="1"/>
  <c r="L31"/>
  <c r="M31" s="1"/>
  <c r="K31" s="1"/>
  <c r="G11" i="8"/>
  <c r="K19" i="9" s="1"/>
  <c r="L19" s="1"/>
  <c r="M19" s="1"/>
  <c r="O19" s="1"/>
  <c r="L25"/>
  <c r="M25" s="1"/>
  <c r="O25" s="1"/>
  <c r="G9" i="8"/>
  <c r="K12" i="9" s="1"/>
  <c r="L12" s="1"/>
  <c r="L7" s="1"/>
  <c r="M7" s="1"/>
  <c r="O7" s="1"/>
  <c r="D36" i="10" s="1"/>
  <c r="G14" i="8"/>
  <c r="K68" i="9" s="1"/>
  <c r="L68" s="1"/>
  <c r="M68" s="1"/>
  <c r="O68" s="1"/>
  <c r="L29"/>
  <c r="M29" s="1"/>
  <c r="O29" s="1"/>
  <c r="L30"/>
  <c r="M30" s="1"/>
  <c r="O30" s="1"/>
  <c r="G12" i="8"/>
  <c r="K41" i="9" s="1"/>
  <c r="L41" s="1"/>
  <c r="L39" s="1"/>
  <c r="M39" s="1"/>
  <c r="O39" s="1"/>
  <c r="G15" i="8"/>
  <c r="K51" i="9" s="1"/>
  <c r="L51" s="1"/>
  <c r="L49" s="1"/>
  <c r="M49" s="1"/>
  <c r="O49" s="1"/>
  <c r="G13" i="8"/>
  <c r="K62" i="9" s="1"/>
  <c r="L62" s="1"/>
  <c r="L57" s="1"/>
  <c r="M57" s="1"/>
  <c r="AP60" i="6"/>
  <c r="AM60"/>
  <c r="AH60"/>
  <c r="AI60"/>
  <c r="AJ60"/>
  <c r="AK60"/>
  <c r="AL60"/>
  <c r="AR60"/>
  <c r="AN60"/>
  <c r="AQ60"/>
  <c r="AO60"/>
  <c r="O27" i="9"/>
  <c r="K27"/>
  <c r="K39" l="1"/>
  <c r="K7"/>
  <c r="K29"/>
  <c r="K26"/>
  <c r="L8"/>
  <c r="M8" s="1"/>
  <c r="K8" s="1"/>
  <c r="L40"/>
  <c r="M40" s="1"/>
  <c r="O40" s="1"/>
  <c r="L38"/>
  <c r="M38" s="1"/>
  <c r="O38" s="1"/>
  <c r="L10"/>
  <c r="M10" s="1"/>
  <c r="K10" s="1"/>
  <c r="K49"/>
  <c r="L11"/>
  <c r="M11" s="1"/>
  <c r="O11" s="1"/>
  <c r="K25"/>
  <c r="O31"/>
  <c r="K30"/>
  <c r="L48"/>
  <c r="M48" s="1"/>
  <c r="O48" s="1"/>
  <c r="L47"/>
  <c r="M47" s="1"/>
  <c r="O47" s="1"/>
  <c r="K71"/>
  <c r="L61"/>
  <c r="M61" s="1"/>
  <c r="K61" s="1"/>
  <c r="L60"/>
  <c r="M60" s="1"/>
  <c r="O60" s="1"/>
  <c r="L59"/>
  <c r="M59" s="1"/>
  <c r="O59" s="1"/>
  <c r="O57"/>
  <c r="K57"/>
  <c r="L58"/>
  <c r="M58" s="1"/>
  <c r="K47"/>
  <c r="G11" i="10"/>
  <c r="I11" s="1"/>
  <c r="G21"/>
  <c r="I21" s="1"/>
  <c r="G20"/>
  <c r="I20" s="1"/>
  <c r="G12"/>
  <c r="I12" s="1"/>
  <c r="G10"/>
  <c r="K38" i="9" l="1"/>
  <c r="O8"/>
  <c r="K40"/>
  <c r="O10"/>
  <c r="C36" i="10" s="1"/>
  <c r="G18" s="1"/>
  <c r="I18" s="1"/>
  <c r="K60" i="9"/>
  <c r="K48"/>
  <c r="K11"/>
  <c r="K59"/>
  <c r="O58"/>
  <c r="K58"/>
  <c r="I10" i="10"/>
  <c r="G13" l="1"/>
  <c r="I13" s="1"/>
  <c r="G16"/>
  <c r="I16" s="1"/>
  <c r="G15"/>
  <c r="I15" s="1"/>
  <c r="G19"/>
  <c r="I19" s="1"/>
  <c r="G14"/>
  <c r="I14" s="1"/>
  <c r="G17"/>
  <c r="I17" s="1"/>
  <c r="I24" l="1"/>
  <c r="I26" s="1"/>
  <c r="G24"/>
</calcChain>
</file>

<file path=xl/comments1.xml><?xml version="1.0" encoding="utf-8"?>
<comments xmlns="http://schemas.openxmlformats.org/spreadsheetml/2006/main">
  <authors>
    <author>Summers</author>
    <author>Austin Summers</author>
  </authors>
  <commentList>
    <comment ref="CP3" authorId="0">
      <text>
        <r>
          <rPr>
            <b/>
            <sz val="9"/>
            <color indexed="81"/>
            <rFont val="Tahoma"/>
            <family val="2"/>
          </rPr>
          <t>Summers:</t>
        </r>
        <r>
          <rPr>
            <sz val="9"/>
            <color indexed="81"/>
            <rFont val="Tahoma"/>
            <family val="2"/>
          </rPr>
          <t xml:space="preserve">
Did not differentiate between 15 yr depr rate and 20 yr depr rate.  Everything that is closed to investment this year should get the 20 year rate, regardless of when the costs were acquired.</t>
        </r>
      </text>
    </comment>
    <comment ref="CO4" authorId="0">
      <text>
        <r>
          <rPr>
            <b/>
            <sz val="9"/>
            <color indexed="81"/>
            <rFont val="Tahoma"/>
            <family val="2"/>
          </rPr>
          <t>Summers:</t>
        </r>
        <r>
          <rPr>
            <sz val="9"/>
            <color indexed="81"/>
            <rFont val="Tahoma"/>
            <family val="2"/>
          </rPr>
          <t xml:space="preserve">
There is no split on closings in 2011.  Everything is 100% tax depr at the 20 yr rate.
However, costs were incurred before 2011, so there will be a split into allocation buckets based on when costs were incurred.</t>
        </r>
      </text>
    </comment>
    <comment ref="CV4" authorId="1">
      <text>
        <r>
          <rPr>
            <b/>
            <sz val="9"/>
            <color indexed="81"/>
            <rFont val="Tahoma"/>
            <family val="2"/>
          </rPr>
          <t>Austin Summers: 6/19/12</t>
        </r>
        <r>
          <rPr>
            <sz val="9"/>
            <color indexed="81"/>
            <rFont val="Tahoma"/>
            <family val="2"/>
          </rPr>
          <t xml:space="preserve">
No closing buckets because nothing closed in 2012 will get 100% bonus depreciation.</t>
        </r>
      </text>
    </comment>
  </commentList>
</comments>
</file>

<file path=xl/sharedStrings.xml><?xml version="1.0" encoding="utf-8"?>
<sst xmlns="http://schemas.openxmlformats.org/spreadsheetml/2006/main" count="733" uniqueCount="379">
  <si>
    <t>Project</t>
  </si>
  <si>
    <t>2007-06-30</t>
  </si>
  <si>
    <t>2007-05-31</t>
  </si>
  <si>
    <t>2007-07-31</t>
  </si>
  <si>
    <t>2007-10-31</t>
  </si>
  <si>
    <t>2007-12-31</t>
  </si>
  <si>
    <t>2007-11-30</t>
  </si>
  <si>
    <t>2008-01-31</t>
  </si>
  <si>
    <t>2008-02-29</t>
  </si>
  <si>
    <t>2008-03-31</t>
  </si>
  <si>
    <t>2010-06-30</t>
  </si>
  <si>
    <t>2008-07-31</t>
  </si>
  <si>
    <t>01006822</t>
  </si>
  <si>
    <t>2008-06-30</t>
  </si>
  <si>
    <t>2008-08-31</t>
  </si>
  <si>
    <t>2008-12-31</t>
  </si>
  <si>
    <t>2008-11-30</t>
  </si>
  <si>
    <t>2009-09-30</t>
  </si>
  <si>
    <t>2009-10-31</t>
  </si>
  <si>
    <t>2009-05-31</t>
  </si>
  <si>
    <t>2009-03-31</t>
  </si>
  <si>
    <t>2007-04-30</t>
  </si>
  <si>
    <t>2007-09-30</t>
  </si>
  <si>
    <t>2008-04-30</t>
  </si>
  <si>
    <t>2008-05-31</t>
  </si>
  <si>
    <t>2009-02-28</t>
  </si>
  <si>
    <t>2009-11-30</t>
  </si>
  <si>
    <t>2008-10-31</t>
  </si>
  <si>
    <t>2008-09-30</t>
  </si>
  <si>
    <t>2009-07-31</t>
  </si>
  <si>
    <t>2011-02-28</t>
  </si>
  <si>
    <t>01006824</t>
  </si>
  <si>
    <t>2009-01-31</t>
  </si>
  <si>
    <t>2009-12-31</t>
  </si>
  <si>
    <t>2009-04-30</t>
  </si>
  <si>
    <t>2007-08-31</t>
  </si>
  <si>
    <t>01007067</t>
  </si>
  <si>
    <t>2010-07-31</t>
  </si>
  <si>
    <t>2010-05-31</t>
  </si>
  <si>
    <t>2010-08-31</t>
  </si>
  <si>
    <t>2010-11-30</t>
  </si>
  <si>
    <t>2010-12-31</t>
  </si>
  <si>
    <t>2010-10-31</t>
  </si>
  <si>
    <t>2009-08-31</t>
  </si>
  <si>
    <t>2010-02-28</t>
  </si>
  <si>
    <t>2010-01-31</t>
  </si>
  <si>
    <t>2011-03-31</t>
  </si>
  <si>
    <t>2011-04-30</t>
  </si>
  <si>
    <t>2011-07-31</t>
  </si>
  <si>
    <t>2011-08-31</t>
  </si>
  <si>
    <t>2011-06-30</t>
  </si>
  <si>
    <t>2011-05-31</t>
  </si>
  <si>
    <t>2009-06-30</t>
  </si>
  <si>
    <t>2010-09-30</t>
  </si>
  <si>
    <t>2010-03-31</t>
  </si>
  <si>
    <t>2010-04-30</t>
  </si>
  <si>
    <t>2011-01-31</t>
  </si>
  <si>
    <t>01008213</t>
  </si>
  <si>
    <t>01009341</t>
  </si>
  <si>
    <t>01009359</t>
  </si>
  <si>
    <t>01009441</t>
  </si>
  <si>
    <t>01009497</t>
  </si>
  <si>
    <t>2007-03-31</t>
  </si>
  <si>
    <t>Grand Total</t>
  </si>
  <si>
    <t>Closed Prior to Tracker</t>
  </si>
  <si>
    <t>Amounts Closed</t>
  </si>
  <si>
    <t>Costs Incurred</t>
  </si>
  <si>
    <t>Tracker eligible costs</t>
  </si>
  <si>
    <t>prior costs not closed</t>
  </si>
  <si>
    <t>time frame</t>
  </si>
  <si>
    <t>Bonus Depreciation rate</t>
  </si>
  <si>
    <t>Depreciation schedule</t>
  </si>
  <si>
    <t>15 yr</t>
  </si>
  <si>
    <t>current yr costs</t>
  </si>
  <si>
    <t>20 yr</t>
  </si>
  <si>
    <t>Costs incurred as of 12/31/2009</t>
  </si>
  <si>
    <t>Cost Buckets</t>
  </si>
  <si>
    <t>Closing Buckets</t>
  </si>
  <si>
    <t>Total Closed</t>
  </si>
  <si>
    <t>Total Costs</t>
  </si>
  <si>
    <t>Closed</t>
  </si>
  <si>
    <t>closed 50% pd</t>
  </si>
  <si>
    <t>incurred 50% pd</t>
  </si>
  <si>
    <t>closed 100% pd</t>
  </si>
  <si>
    <t>incurred 100% pd</t>
  </si>
  <si>
    <t>2010 Bucket Allocations</t>
  </si>
  <si>
    <t>107 balance check</t>
  </si>
  <si>
    <t>Current Year Costs</t>
  </si>
  <si>
    <t>Total</t>
  </si>
  <si>
    <t>2011 Bucket Allocations</t>
  </si>
  <si>
    <t>Closed 100% pd</t>
  </si>
  <si>
    <t>RATES</t>
  </si>
  <si>
    <t>100% Bonus Deferred Tax Rate</t>
  </si>
  <si>
    <t>50% Bonus Deferred Tax Rate (15 yr)</t>
  </si>
  <si>
    <t>50% Bouns Deferred Tax Rate (20 yr)</t>
  </si>
  <si>
    <t>2010 Buckets</t>
  </si>
  <si>
    <t>Closed 50% pd, incurred 50% pd</t>
  </si>
  <si>
    <t>Closed 100% pd, incurred 100% pd</t>
  </si>
  <si>
    <t>Closed 100% pd, incurred 50 % pd</t>
  </si>
  <si>
    <t>Already in Rates</t>
  </si>
  <si>
    <t>Total In bucket</t>
  </si>
  <si>
    <t>2011 Buckets</t>
  </si>
  <si>
    <t>Closed 100% pd, incurred 50% pd</t>
  </si>
  <si>
    <t>Yr1</t>
  </si>
  <si>
    <t>Yr2</t>
  </si>
  <si>
    <t>Yr3</t>
  </si>
  <si>
    <t>Yr4</t>
  </si>
  <si>
    <t>Yr5</t>
  </si>
  <si>
    <t>Yr6</t>
  </si>
  <si>
    <t>Yr7</t>
  </si>
  <si>
    <t>Yr8</t>
  </si>
  <si>
    <t>Yr9</t>
  </si>
  <si>
    <t>Yr10</t>
  </si>
  <si>
    <t>Yr11</t>
  </si>
  <si>
    <t>Yr12</t>
  </si>
  <si>
    <t>Yr13</t>
  </si>
  <si>
    <t>Yr14</t>
  </si>
  <si>
    <t>Yr15</t>
  </si>
  <si>
    <t>Yr16</t>
  </si>
  <si>
    <t>Yr17</t>
  </si>
  <si>
    <t>Yr18</t>
  </si>
  <si>
    <t>Yr19</t>
  </si>
  <si>
    <t>Yr20</t>
  </si>
  <si>
    <t>Yr21</t>
  </si>
  <si>
    <t>Tax Depreciation Calculations</t>
  </si>
  <si>
    <t>Description</t>
  </si>
  <si>
    <t>FL 4 Install 28,000' of 24"</t>
  </si>
  <si>
    <t>FL11 Install 55,780' of 24"</t>
  </si>
  <si>
    <t xml:space="preserve">FL19 Install 8",12" and 20"  </t>
  </si>
  <si>
    <t>Total Net Investment (101)</t>
  </si>
  <si>
    <t>Already in rates</t>
  </si>
  <si>
    <t>Total investment not in rates</t>
  </si>
  <si>
    <t>Cumulative Plant Balances</t>
  </si>
  <si>
    <t>Cumulative Plant Balances (Less $10.1 Mil)</t>
  </si>
  <si>
    <t>Book Depreciation Rate per Month</t>
  </si>
  <si>
    <t>Book Depreciation</t>
  </si>
  <si>
    <t>Accumulated Depreciation</t>
  </si>
  <si>
    <t>Questar 13 Month Avg (Accum Depr)</t>
  </si>
  <si>
    <t>Questar 13 Month Avg (Plant Additions)</t>
  </si>
  <si>
    <t>Less $10.1 Million</t>
  </si>
  <si>
    <t>Questar 13 Mo Avg Not in Rates</t>
  </si>
  <si>
    <t>FL12 Install 7300' of 24"</t>
  </si>
  <si>
    <t>FL17 Install 12" and 6"</t>
  </si>
  <si>
    <t>FL13 Included in FL12</t>
  </si>
  <si>
    <t>Use 50% Bonus</t>
  </si>
  <si>
    <t>Use 100% Bonus</t>
  </si>
  <si>
    <t>Use 50% bonus</t>
  </si>
  <si>
    <t>Use 100% bonus</t>
  </si>
  <si>
    <t>FL12 Retirement</t>
  </si>
  <si>
    <t>FL17 Retirement</t>
  </si>
  <si>
    <t>FL18 Retirement</t>
  </si>
  <si>
    <t>Temporary Difference (Book/Tax Depr)</t>
  </si>
  <si>
    <t>ADIT</t>
  </si>
  <si>
    <t>Calculation of Revenue Requirement</t>
  </si>
  <si>
    <t>Revenue</t>
  </si>
  <si>
    <t>Requirement</t>
  </si>
  <si>
    <t>Total Net Investment</t>
  </si>
  <si>
    <t>1/</t>
  </si>
  <si>
    <t>Less: Amount currently in rates</t>
  </si>
  <si>
    <t>2/</t>
  </si>
  <si>
    <t xml:space="preserve">     Replacement Infrastructure in Tracker</t>
  </si>
  <si>
    <t xml:space="preserve">              Less:  Accumulated Depreciation</t>
  </si>
  <si>
    <t>3/</t>
  </si>
  <si>
    <t xml:space="preserve">                        Accumulated Deferred Income Tax</t>
  </si>
  <si>
    <t>4/</t>
  </si>
  <si>
    <t xml:space="preserve">     Net Rate Base</t>
  </si>
  <si>
    <t xml:space="preserve">     Current Commission-Allowed Pre-Tax Rate of Return</t>
  </si>
  <si>
    <t xml:space="preserve">     Allowed Pre-Tax Return (Line 6 x Line 7)</t>
  </si>
  <si>
    <t xml:space="preserve">               Plus:  Net Depreciation Expense</t>
  </si>
  <si>
    <t xml:space="preserve">                        Net Taxes Other Than Income (1.2% x Line 6)</t>
  </si>
  <si>
    <t xml:space="preserve">     Total Revenue Requirement (Lines 8 through 10)</t>
  </si>
  <si>
    <t xml:space="preserve">    rate of 2.1% by the net investment amount on line 3.</t>
  </si>
  <si>
    <t>Cost of Service Allocation</t>
  </si>
  <si>
    <t>A</t>
  </si>
  <si>
    <t>B</t>
  </si>
  <si>
    <t>C</t>
  </si>
  <si>
    <t>Commission Ordered</t>
  </si>
  <si>
    <t>09-057-16</t>
  </si>
  <si>
    <t xml:space="preserve">Percent </t>
  </si>
  <si>
    <t>Tariff</t>
  </si>
  <si>
    <t>Revenue Requirement</t>
  </si>
  <si>
    <t>of Total</t>
  </si>
  <si>
    <t>GS</t>
  </si>
  <si>
    <t>FS</t>
  </si>
  <si>
    <t>NGV</t>
  </si>
  <si>
    <t>IS</t>
  </si>
  <si>
    <t>TS</t>
  </si>
  <si>
    <t>MT</t>
  </si>
  <si>
    <t>FT-1</t>
  </si>
  <si>
    <t>Totals</t>
  </si>
  <si>
    <t>1/ Per Docket 09-057-16, Settlement Stipulation exhibit 1, page 2, column F</t>
  </si>
  <si>
    <t>Rate Calculation</t>
  </si>
  <si>
    <t xml:space="preserve">D </t>
  </si>
  <si>
    <t>E</t>
  </si>
  <si>
    <t>F</t>
  </si>
  <si>
    <t>G</t>
  </si>
  <si>
    <t>H</t>
  </si>
  <si>
    <t>I</t>
  </si>
  <si>
    <t>J</t>
  </si>
  <si>
    <t>K</t>
  </si>
  <si>
    <t>Utah GS</t>
  </si>
  <si>
    <t xml:space="preserve">Current Rates </t>
  </si>
  <si>
    <t>Infrastructure</t>
  </si>
  <si>
    <t>Current Rates</t>
  </si>
  <si>
    <t>(I - J)</t>
  </si>
  <si>
    <t>Replacement</t>
  </si>
  <si>
    <t xml:space="preserve">Percentage </t>
  </si>
  <si>
    <t>Difference</t>
  </si>
  <si>
    <t>Volumetric Rates</t>
  </si>
  <si>
    <t>Dth</t>
  </si>
  <si>
    <t>Curr. Rate</t>
  </si>
  <si>
    <t>Revenues</t>
  </si>
  <si>
    <t>Increase</t>
  </si>
  <si>
    <t>Rate</t>
  </si>
  <si>
    <t>Winter</t>
  </si>
  <si>
    <t>Block 1</t>
  </si>
  <si>
    <t>First</t>
  </si>
  <si>
    <t>Block 2</t>
  </si>
  <si>
    <t>Next</t>
  </si>
  <si>
    <t>Summer</t>
  </si>
  <si>
    <t>Total Volumetric Charges</t>
  </si>
  <si>
    <t>Fixed Charges</t>
  </si>
  <si>
    <t>Utah NGV</t>
  </si>
  <si>
    <t>Percentage</t>
  </si>
  <si>
    <t>All Usage</t>
  </si>
  <si>
    <t>All Over</t>
  </si>
  <si>
    <t>Utah FS</t>
  </si>
  <si>
    <t>Block 3</t>
  </si>
  <si>
    <t>Total Winter</t>
  </si>
  <si>
    <t>Utah IS</t>
  </si>
  <si>
    <t>Utah FT-1</t>
  </si>
  <si>
    <t>Block 4</t>
  </si>
  <si>
    <t>Utah TS</t>
  </si>
  <si>
    <t xml:space="preserve">Annual Demand Charges per Dth of </t>
  </si>
  <si>
    <t>Contract Firm Transportation</t>
  </si>
  <si>
    <t>Utah MT</t>
  </si>
  <si>
    <t>EFFECT ON GS TYPICAL CUSTOMER</t>
  </si>
  <si>
    <t>80 DTHS -  ANNUAL CONSUMPTION</t>
  </si>
  <si>
    <t>(A)</t>
  </si>
  <si>
    <t>(B)</t>
  </si>
  <si>
    <t xml:space="preserve">(C)   </t>
  </si>
  <si>
    <t xml:space="preserve">    (D)</t>
  </si>
  <si>
    <t xml:space="preserve">   (E)</t>
  </si>
  <si>
    <t xml:space="preserve">    (F)</t>
  </si>
  <si>
    <t xml:space="preserve">   Billed at Current</t>
  </si>
  <si>
    <t xml:space="preserve">   Billed at</t>
  </si>
  <si>
    <t>Usage</t>
  </si>
  <si>
    <t xml:space="preserve">   Rate Effective</t>
  </si>
  <si>
    <t xml:space="preserve">   Proposed</t>
  </si>
  <si>
    <t>Schedule</t>
  </si>
  <si>
    <t>Month</t>
  </si>
  <si>
    <t>In Dth</t>
  </si>
  <si>
    <t xml:space="preserve">   Rate</t>
  </si>
  <si>
    <t>Change</t>
  </si>
  <si>
    <t>Jan</t>
  </si>
  <si>
    <t>Feb</t>
  </si>
  <si>
    <t>Mar</t>
  </si>
  <si>
    <t>Apr</t>
  </si>
  <si>
    <t>May</t>
  </si>
  <si>
    <t>Jun</t>
  </si>
  <si>
    <t>Jul</t>
  </si>
  <si>
    <t>Aug</t>
  </si>
  <si>
    <t>Sep</t>
  </si>
  <si>
    <t>Oct</t>
  </si>
  <si>
    <t>Nov</t>
  </si>
  <si>
    <t>Dec</t>
  </si>
  <si>
    <t xml:space="preserve"> </t>
  </si>
  <si>
    <t>Percent Change:</t>
  </si>
  <si>
    <t>%</t>
  </si>
  <si>
    <t>BSF</t>
  </si>
  <si>
    <t>1st Block</t>
  </si>
  <si>
    <t>Proposed</t>
  </si>
  <si>
    <t>Current</t>
  </si>
  <si>
    <t>Tax Depreciation</t>
  </si>
  <si>
    <t>DIT</t>
  </si>
  <si>
    <t>1/ Per the Settlement Stipulation, paragraph 16 in Docket 09-057-16.</t>
  </si>
  <si>
    <t>D</t>
  </si>
  <si>
    <t>L</t>
  </si>
  <si>
    <t>M</t>
  </si>
  <si>
    <t>N</t>
  </si>
  <si>
    <t>O</t>
  </si>
  <si>
    <t>P</t>
  </si>
  <si>
    <t>Q</t>
  </si>
  <si>
    <t>R</t>
  </si>
  <si>
    <t>S</t>
  </si>
  <si>
    <t>T</t>
  </si>
  <si>
    <t>U</t>
  </si>
  <si>
    <t>V</t>
  </si>
  <si>
    <t>W</t>
  </si>
  <si>
    <t>X</t>
  </si>
  <si>
    <t>Y</t>
  </si>
  <si>
    <t>Z</t>
  </si>
  <si>
    <t>QGC Infrastructure Replacement Project Summary</t>
  </si>
  <si>
    <t>1/ ADIT is calculated using a 13 month average covering the test period.</t>
  </si>
  <si>
    <t>5/</t>
  </si>
  <si>
    <t>4/ Current Commission allowed pretax return as shown in Section 2.07 of the Company's tariff</t>
  </si>
  <si>
    <t xml:space="preserve">5/ Depreciation expense and accumulated depreciation calculated by multiplying the depreciation </t>
  </si>
  <si>
    <t>Removal Costs (108)</t>
  </si>
  <si>
    <t>Temporary Difference</t>
  </si>
  <si>
    <t>Tax Rate</t>
  </si>
  <si>
    <t>Deferred taxes</t>
  </si>
  <si>
    <t>2011-09-30</t>
  </si>
  <si>
    <t>2011-10-31</t>
  </si>
  <si>
    <t>2011-11-30</t>
  </si>
  <si>
    <t>2011-12-31</t>
  </si>
  <si>
    <t>01009253</t>
  </si>
  <si>
    <t>01009372</t>
  </si>
  <si>
    <t>01009725</t>
  </si>
  <si>
    <t>01009612</t>
  </si>
  <si>
    <t>FL46 - Inst 12" buried block valve</t>
  </si>
  <si>
    <t>FL10 - Inst Valve Assembly</t>
  </si>
  <si>
    <t>01009666</t>
  </si>
  <si>
    <t>FL25 - Repl 65,500' of 12"</t>
  </si>
  <si>
    <t>FL16 - Inst 100' of 4"</t>
  </si>
  <si>
    <t>FL12 Install 20,835' of 24"</t>
  </si>
  <si>
    <t>FL34 Install 289' of 20"</t>
  </si>
  <si>
    <t>FL18 Install 12" &amp; 8"</t>
  </si>
  <si>
    <t>Bonus Depreciation Overcollection</t>
  </si>
  <si>
    <t>Proration Adjustment</t>
  </si>
  <si>
    <t>Total Revenue Requirement</t>
  </si>
  <si>
    <t>FL25 Retirement</t>
  </si>
  <si>
    <t>FL19 Retirement</t>
  </si>
  <si>
    <t>Adjustments to Revenue Requirement:</t>
  </si>
  <si>
    <t>2012</t>
  </si>
  <si>
    <t>Prior costs not closed</t>
  </si>
  <si>
    <t>107 Balance Check</t>
  </si>
  <si>
    <t>Closed 100% pd, incurred any pd</t>
  </si>
  <si>
    <t>01040078</t>
  </si>
  <si>
    <t>01040064</t>
  </si>
  <si>
    <t>01040177</t>
  </si>
  <si>
    <t>01009120</t>
  </si>
  <si>
    <t>01010132</t>
  </si>
  <si>
    <t>01009182</t>
  </si>
  <si>
    <t>01009716</t>
  </si>
  <si>
    <t>01009896</t>
  </si>
  <si>
    <t>01010098</t>
  </si>
  <si>
    <t>01040196</t>
  </si>
  <si>
    <t>01040330</t>
  </si>
  <si>
    <t>01040492</t>
  </si>
  <si>
    <t>01040857</t>
  </si>
  <si>
    <t>01040858</t>
  </si>
  <si>
    <t>01041006</t>
  </si>
  <si>
    <t>01041007</t>
  </si>
  <si>
    <t>FL23-INST 130' OF 12"</t>
  </si>
  <si>
    <t xml:space="preserve"> FL6-INST 150' OF 12"</t>
  </si>
  <si>
    <t>FL7-INST 400' OF 4"</t>
  </si>
  <si>
    <t>FL68-INST 8X8" DUAL BLOCK VLV</t>
  </si>
  <si>
    <t>FL6-INST 20' OF 12" FBE ST HP</t>
  </si>
  <si>
    <t>FL26-INST BLOCK VLV ASSEMBLY</t>
  </si>
  <si>
    <t>FL24-INST 12" BLOCK VALVE</t>
  </si>
  <si>
    <t>FL71-INST 400' OF 8" &amp; BLK VLV</t>
  </si>
  <si>
    <t>FL71-INST PIPE &amp; 8" BL VALVE</t>
  </si>
  <si>
    <t>FL41-INST 15' OF 16" FBE PIPE</t>
  </si>
  <si>
    <t>FL41-REPL 15' OF FBE ST HP PI</t>
  </si>
  <si>
    <t>FL42-REPL PIPE @ TIE W/FL26</t>
  </si>
  <si>
    <t>FL26-REPL PIPE @ TIE W/FL42</t>
  </si>
  <si>
    <t>FL71 - CONCEP ENG RIP-RAP</t>
  </si>
  <si>
    <t>AA</t>
  </si>
  <si>
    <t>AB</t>
  </si>
  <si>
    <t>AC</t>
  </si>
  <si>
    <t>AD</t>
  </si>
  <si>
    <t>Questar 13 Month Avg (ADIT) 1/</t>
  </si>
  <si>
    <t>Plant Balance Date</t>
  </si>
  <si>
    <t>Test Period Beginning</t>
  </si>
  <si>
    <t>01009410</t>
  </si>
  <si>
    <t>01040465</t>
  </si>
  <si>
    <t>FL23 - Repl FL, Logan</t>
  </si>
  <si>
    <t>FL24 - INST 1650' of 6"</t>
  </si>
  <si>
    <t>FL26-INST 10' OF 20" &amp; BLOCK V</t>
  </si>
  <si>
    <t>FL44-INST 10' OF 8" WR</t>
  </si>
  <si>
    <t>FL23 Retirement</t>
  </si>
  <si>
    <t>FL6 Retirement</t>
  </si>
  <si>
    <t>FL44 Retirement</t>
  </si>
  <si>
    <t>FL41 Retirement</t>
  </si>
  <si>
    <t>FL46 Retirement</t>
  </si>
  <si>
    <t>2/1/12</t>
  </si>
  <si>
    <t>2/ See Exhibit 1.1 line 44</t>
  </si>
  <si>
    <t>3/ Depreciation for tax purposes is calculated using the average ADIT for the test period.  See exhibit 1.1 line 52</t>
  </si>
  <si>
    <t>2/ Total calculated surcharge amount from Exhibit 1.1 page 4, line 15</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</si>
</sst>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409]mmmm\-yy;@"/>
    <numFmt numFmtId="165" formatCode="_(* #,##0_);_(* \(#,##0\);_(* &quot;-&quot;??_);_(@_)"/>
    <numFmt numFmtId="166" formatCode="0.000%"/>
    <numFmt numFmtId="167" formatCode="0.0000%"/>
    <numFmt numFmtId="168" formatCode="_(&quot;$&quot;* #,##0_);_(&quot;$&quot;* \(#,##0\);_(&quot;$&quot;* &quot;-&quot;??_);_(@_)"/>
    <numFmt numFmtId="169" formatCode="#,##0.00000_);\(#,##0.00000\)"/>
    <numFmt numFmtId="170" formatCode="0.0000000_)"/>
    <numFmt numFmtId="171" formatCode="#,##0.00000"/>
    <numFmt numFmtId="172" formatCode="&quot;$&quot;#,##0.00000_);\(&quot;$&quot;#,##0.00000\)"/>
    <numFmt numFmtId="173" formatCode="#,##0.0"/>
    <numFmt numFmtId="174" formatCode="#,##0.0_);\(#,##0.0\)"/>
    <numFmt numFmtId="175" formatCode="0.00_);\(0.00\)"/>
    <numFmt numFmtId="176" formatCode="[$-409]d\-mmm\-yy;@"/>
    <numFmt numFmtId="177" formatCode="0.00000"/>
  </numFmts>
  <fonts count="18">
    <font>
      <sz val="10"/>
      <name val="MS Sans Serif"/>
    </font>
    <font>
      <b/>
      <sz val="10"/>
      <name val="MS Sans Serif"/>
      <family val="2"/>
    </font>
    <font>
      <sz val="10"/>
      <name val="MS Sans Serif"/>
      <family val="2"/>
    </font>
    <font>
      <sz val="10"/>
      <name val="MS Sans Serif"/>
      <family val="2"/>
    </font>
    <font>
      <b/>
      <sz val="10"/>
      <name val="MS Sans Serif"/>
      <family val="2"/>
    </font>
    <font>
      <sz val="9"/>
      <color indexed="81"/>
      <name val="Tahoma"/>
      <family val="2"/>
    </font>
    <font>
      <b/>
      <sz val="9"/>
      <color indexed="81"/>
      <name val="Tahoma"/>
      <family val="2"/>
    </font>
    <font>
      <i/>
      <sz val="10"/>
      <name val="MS Sans Serif"/>
      <family val="2"/>
    </font>
    <font>
      <sz val="10"/>
      <name val="Arial"/>
      <family val="2"/>
    </font>
    <font>
      <sz val="10"/>
      <color theme="1"/>
      <name val="Arial"/>
      <family val="2"/>
    </font>
    <font>
      <b/>
      <sz val="10"/>
      <name val="Arial"/>
      <family val="2"/>
    </font>
    <font>
      <b/>
      <sz val="12"/>
      <name val="Arial"/>
      <family val="2"/>
    </font>
    <font>
      <sz val="10"/>
      <color indexed="8"/>
      <name val="Arial"/>
      <family val="2"/>
    </font>
    <font>
      <b/>
      <sz val="10"/>
      <color indexed="8"/>
      <name val="Arial"/>
      <family val="2"/>
    </font>
    <font>
      <sz val="10"/>
      <color indexed="10"/>
      <name val="Arial"/>
      <family val="2"/>
    </font>
    <font>
      <sz val="8"/>
      <name val="LinePrinter"/>
    </font>
    <font>
      <b/>
      <sz val="10"/>
      <color indexed="12"/>
      <name val="Arial"/>
      <family val="2"/>
    </font>
    <font>
      <b/>
      <sz val="12"/>
      <name val="MS Sans Serif"/>
      <family val="2"/>
    </font>
  </fonts>
  <fills count="7">
    <fill>
      <patternFill patternType="none"/>
    </fill>
    <fill>
      <patternFill patternType="gray125"/>
    </fill>
    <fill>
      <patternFill patternType="mediumGray">
        <fgColor indexed="22"/>
      </patternFill>
    </fill>
    <fill>
      <patternFill patternType="solid">
        <fgColor theme="1"/>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FF0000"/>
        <bgColor indexed="64"/>
      </patternFill>
    </fill>
  </fills>
  <borders count="7">
    <border>
      <left/>
      <right/>
      <top/>
      <bottom/>
      <diagonal/>
    </border>
    <border>
      <left/>
      <right/>
      <top/>
      <bottom style="medium">
        <color indexed="64"/>
      </bottom>
      <diagonal/>
    </border>
    <border>
      <left/>
      <right/>
      <top style="thin">
        <color indexed="64"/>
      </top>
      <bottom/>
      <diagonal/>
    </border>
    <border>
      <left/>
      <right/>
      <top style="thin">
        <color indexed="64"/>
      </top>
      <bottom style="double">
        <color indexed="64"/>
      </bottom>
      <diagonal/>
    </border>
    <border>
      <left/>
      <right/>
      <top/>
      <bottom style="thin">
        <color indexed="64"/>
      </bottom>
      <diagonal/>
    </border>
    <border>
      <left/>
      <right/>
      <top style="medium">
        <color indexed="64"/>
      </top>
      <bottom style="thin">
        <color indexed="64"/>
      </bottom>
      <diagonal/>
    </border>
    <border>
      <left/>
      <right/>
      <top/>
      <bottom style="double">
        <color indexed="64"/>
      </bottom>
      <diagonal/>
    </border>
  </borders>
  <cellStyleXfs count="15">
    <xf numFmtId="164" fontId="0" fillId="0" borderId="0"/>
    <xf numFmtId="164" fontId="2" fillId="0" borderId="0" applyNumberFormat="0" applyFont="0" applyFill="0" applyBorder="0" applyAlignment="0" applyProtection="0">
      <alignment horizontal="left"/>
    </xf>
    <xf numFmtId="15" fontId="2" fillId="0" borderId="0" applyFont="0" applyFill="0" applyBorder="0" applyAlignment="0" applyProtection="0"/>
    <xf numFmtId="4" fontId="2" fillId="0" borderId="0" applyFont="0" applyFill="0" applyBorder="0" applyAlignment="0" applyProtection="0"/>
    <xf numFmtId="164" fontId="1" fillId="0" borderId="1">
      <alignment horizontal="center"/>
    </xf>
    <xf numFmtId="3" fontId="2" fillId="0" borderId="0" applyFont="0" applyFill="0" applyBorder="0" applyAlignment="0" applyProtection="0"/>
    <xf numFmtId="164" fontId="2" fillId="2" borderId="0" applyNumberFormat="0" applyFont="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8" fillId="0" borderId="0"/>
    <xf numFmtId="44" fontId="8" fillId="0" borderId="0" applyFont="0" applyFill="0" applyBorder="0" applyAlignment="0" applyProtection="0"/>
    <xf numFmtId="43" fontId="8" fillId="0" borderId="0" applyFont="0" applyFill="0" applyBorder="0" applyProtection="0"/>
    <xf numFmtId="0" fontId="8" fillId="0" borderId="0"/>
    <xf numFmtId="9" fontId="8" fillId="0" borderId="0" applyFont="0" applyFill="0" applyBorder="0" applyAlignment="0" applyProtection="0"/>
    <xf numFmtId="0" fontId="15" fillId="0" borderId="0"/>
  </cellStyleXfs>
  <cellXfs count="262">
    <xf numFmtId="164" fontId="0" fillId="0" borderId="0" xfId="0"/>
    <xf numFmtId="38" fontId="0" fillId="0" borderId="0" xfId="0" applyNumberFormat="1"/>
    <xf numFmtId="164" fontId="3" fillId="0" borderId="0" xfId="0" applyFont="1"/>
    <xf numFmtId="164" fontId="4" fillId="0" borderId="0" xfId="0" applyFont="1"/>
    <xf numFmtId="164" fontId="0" fillId="0" borderId="0" xfId="0" applyBorder="1"/>
    <xf numFmtId="164" fontId="0" fillId="0" borderId="0" xfId="0" applyFill="1"/>
    <xf numFmtId="164" fontId="3" fillId="0" borderId="0" xfId="0" applyFont="1" applyAlignment="1">
      <alignment wrapText="1"/>
    </xf>
    <xf numFmtId="43" fontId="0" fillId="0" borderId="0" xfId="7" applyFont="1" applyFill="1"/>
    <xf numFmtId="43" fontId="0" fillId="0" borderId="2" xfId="7" applyFont="1" applyBorder="1"/>
    <xf numFmtId="43" fontId="0" fillId="0" borderId="0" xfId="7" applyFont="1"/>
    <xf numFmtId="164" fontId="0" fillId="0" borderId="0" xfId="0" quotePrefix="1"/>
    <xf numFmtId="43" fontId="3" fillId="0" borderId="0" xfId="7" applyFont="1"/>
    <xf numFmtId="43" fontId="3" fillId="0" borderId="0" xfId="7" applyFont="1" applyAlignment="1">
      <alignment wrapText="1"/>
    </xf>
    <xf numFmtId="9" fontId="3" fillId="0" borderId="0" xfId="7" applyNumberFormat="1" applyFont="1" applyAlignment="1">
      <alignment horizontal="center" wrapText="1"/>
    </xf>
    <xf numFmtId="9" fontId="0" fillId="0" borderId="0" xfId="7" applyNumberFormat="1" applyFont="1" applyAlignment="1">
      <alignment horizontal="center"/>
    </xf>
    <xf numFmtId="43" fontId="3" fillId="0" borderId="0" xfId="7" applyFont="1" applyAlignment="1">
      <alignment horizontal="center" wrapText="1"/>
    </xf>
    <xf numFmtId="43" fontId="3" fillId="0" borderId="0" xfId="7" applyFont="1" applyAlignment="1">
      <alignment horizontal="center"/>
    </xf>
    <xf numFmtId="2" fontId="0" fillId="0" borderId="0" xfId="0" applyNumberFormat="1"/>
    <xf numFmtId="0" fontId="3" fillId="0" borderId="0" xfId="7" applyNumberFormat="1" applyFont="1" applyAlignment="1">
      <alignment horizontal="center"/>
    </xf>
    <xf numFmtId="1" fontId="0" fillId="0" borderId="0" xfId="0" applyNumberFormat="1"/>
    <xf numFmtId="165" fontId="0" fillId="0" borderId="0" xfId="7" applyNumberFormat="1" applyFont="1"/>
    <xf numFmtId="164" fontId="0" fillId="3" borderId="0" xfId="0" applyFill="1"/>
    <xf numFmtId="43" fontId="0" fillId="3" borderId="0" xfId="7" applyFont="1" applyFill="1"/>
    <xf numFmtId="164" fontId="3" fillId="0" borderId="0" xfId="0" applyFont="1" applyAlignment="1">
      <alignment horizontal="center"/>
    </xf>
    <xf numFmtId="0" fontId="4" fillId="0" borderId="0" xfId="0" applyNumberFormat="1" applyFont="1" applyAlignment="1">
      <alignment horizontal="center"/>
    </xf>
    <xf numFmtId="166" fontId="0" fillId="0" borderId="0" xfId="8" applyNumberFormat="1" applyFont="1"/>
    <xf numFmtId="167" fontId="0" fillId="0" borderId="0" xfId="8" applyNumberFormat="1" applyFont="1"/>
    <xf numFmtId="43" fontId="0" fillId="0" borderId="0" xfId="7" applyFont="1" applyAlignment="1">
      <alignment horizontal="right"/>
    </xf>
    <xf numFmtId="43" fontId="4" fillId="0" borderId="2" xfId="7" applyFont="1" applyBorder="1"/>
    <xf numFmtId="164" fontId="3" fillId="4" borderId="0" xfId="0" applyFont="1" applyFill="1" applyAlignment="1">
      <alignment wrapText="1"/>
    </xf>
    <xf numFmtId="164" fontId="3" fillId="4" borderId="0" xfId="0" applyFont="1" applyFill="1"/>
    <xf numFmtId="164" fontId="0" fillId="4" borderId="0" xfId="0" applyFill="1"/>
    <xf numFmtId="165" fontId="0" fillId="4" borderId="0" xfId="7" applyNumberFormat="1" applyFont="1" applyFill="1"/>
    <xf numFmtId="43" fontId="0" fillId="4" borderId="2" xfId="7" applyNumberFormat="1" applyFont="1" applyFill="1" applyBorder="1"/>
    <xf numFmtId="43" fontId="4" fillId="4" borderId="2" xfId="7" applyNumberFormat="1" applyFont="1" applyFill="1" applyBorder="1"/>
    <xf numFmtId="43" fontId="4" fillId="4" borderId="2" xfId="7" applyFont="1" applyFill="1" applyBorder="1"/>
    <xf numFmtId="43" fontId="0" fillId="4" borderId="0" xfId="7" applyFont="1" applyFill="1"/>
    <xf numFmtId="164" fontId="3" fillId="4" borderId="0" xfId="0" applyFont="1" applyFill="1" applyAlignment="1">
      <alignment horizontal="center"/>
    </xf>
    <xf numFmtId="9" fontId="0" fillId="4" borderId="0" xfId="7" applyNumberFormat="1" applyFont="1" applyFill="1" applyAlignment="1">
      <alignment horizontal="center"/>
    </xf>
    <xf numFmtId="164" fontId="0" fillId="0" borderId="0" xfId="0" applyAlignment="1">
      <alignment horizontal="left" indent="1"/>
    </xf>
    <xf numFmtId="164" fontId="0" fillId="0" borderId="0" xfId="0" applyFont="1" applyAlignment="1">
      <alignment horizontal="left" indent="1"/>
    </xf>
    <xf numFmtId="164" fontId="0" fillId="0" borderId="0" xfId="0" applyFont="1" applyAlignment="1">
      <alignment horizontal="left"/>
    </xf>
    <xf numFmtId="164" fontId="4" fillId="0" borderId="0" xfId="8" applyNumberFormat="1" applyFont="1"/>
    <xf numFmtId="164" fontId="0" fillId="0" borderId="0" xfId="7" applyNumberFormat="1" applyFont="1" applyAlignment="1">
      <alignment horizontal="center"/>
    </xf>
    <xf numFmtId="38" fontId="0" fillId="0" borderId="0" xfId="7" applyNumberFormat="1" applyFont="1"/>
    <xf numFmtId="164" fontId="7" fillId="4" borderId="0" xfId="0" applyFont="1" applyFill="1"/>
    <xf numFmtId="43" fontId="7" fillId="4" borderId="0" xfId="7" applyFont="1" applyFill="1" applyAlignment="1">
      <alignment horizontal="center"/>
    </xf>
    <xf numFmtId="43" fontId="3" fillId="0" borderId="0" xfId="7" applyFont="1" applyFill="1" applyAlignment="1">
      <alignment horizontal="center" wrapText="1"/>
    </xf>
    <xf numFmtId="164" fontId="3" fillId="0" borderId="0" xfId="0" applyFont="1" applyFill="1" applyAlignment="1">
      <alignment horizontal="center"/>
    </xf>
    <xf numFmtId="9" fontId="0" fillId="0" borderId="0" xfId="7" applyNumberFormat="1" applyFont="1" applyFill="1" applyAlignment="1">
      <alignment horizontal="center"/>
    </xf>
    <xf numFmtId="43" fontId="3" fillId="0" borderId="0" xfId="7" applyFont="1" applyFill="1" applyAlignment="1">
      <alignment horizontal="center"/>
    </xf>
    <xf numFmtId="43" fontId="0" fillId="0" borderId="2" xfId="7" applyFont="1" applyFill="1" applyBorder="1"/>
    <xf numFmtId="165" fontId="0" fillId="0" borderId="3" xfId="7" applyNumberFormat="1" applyFont="1" applyBorder="1"/>
    <xf numFmtId="164" fontId="4" fillId="0" borderId="0" xfId="0" applyFont="1" applyAlignment="1">
      <alignment horizontal="center"/>
    </xf>
    <xf numFmtId="164" fontId="9" fillId="0" borderId="0" xfId="0" applyFont="1"/>
    <xf numFmtId="164" fontId="9" fillId="0" borderId="0" xfId="0" applyFont="1" applyAlignment="1">
      <alignment horizontal="center"/>
    </xf>
    <xf numFmtId="164" fontId="9" fillId="0" borderId="0" xfId="0" applyFont="1" applyAlignment="1"/>
    <xf numFmtId="164" fontId="9" fillId="0" borderId="4" xfId="0" applyFont="1" applyBorder="1" applyAlignment="1">
      <alignment horizontal="center"/>
    </xf>
    <xf numFmtId="164" fontId="9" fillId="0" borderId="0" xfId="0" applyFont="1" applyBorder="1" applyAlignment="1">
      <alignment horizontal="left" vertical="top"/>
    </xf>
    <xf numFmtId="6" fontId="9" fillId="0" borderId="0" xfId="0" applyNumberFormat="1" applyFont="1"/>
    <xf numFmtId="5" fontId="9" fillId="0" borderId="0" xfId="0" applyNumberFormat="1" applyFont="1"/>
    <xf numFmtId="6" fontId="9" fillId="0" borderId="4" xfId="0" applyNumberFormat="1" applyFont="1" applyBorder="1"/>
    <xf numFmtId="10" fontId="9" fillId="0" borderId="0" xfId="8" applyNumberFormat="1" applyFont="1"/>
    <xf numFmtId="6" fontId="9" fillId="0" borderId="3" xfId="0" applyNumberFormat="1" applyFont="1" applyBorder="1"/>
    <xf numFmtId="164" fontId="9" fillId="0" borderId="0" xfId="0" applyFont="1" applyBorder="1" applyAlignment="1"/>
    <xf numFmtId="6" fontId="0" fillId="0" borderId="0" xfId="0" applyNumberFormat="1" applyFill="1" applyBorder="1"/>
    <xf numFmtId="6" fontId="0" fillId="0" borderId="0" xfId="0" applyNumberFormat="1" applyBorder="1"/>
    <xf numFmtId="5" fontId="0" fillId="0" borderId="0" xfId="0" applyNumberFormat="1" applyBorder="1"/>
    <xf numFmtId="0" fontId="9" fillId="0" borderId="0" xfId="0" applyNumberFormat="1" applyFont="1"/>
    <xf numFmtId="0" fontId="0" fillId="0" borderId="0" xfId="0" applyNumberFormat="1"/>
    <xf numFmtId="164" fontId="0" fillId="0" borderId="0" xfId="0" quotePrefix="1" applyFill="1"/>
    <xf numFmtId="0" fontId="8" fillId="0" borderId="0" xfId="9"/>
    <xf numFmtId="5" fontId="8" fillId="0" borderId="0" xfId="9" applyNumberFormat="1" applyFont="1"/>
    <xf numFmtId="0" fontId="8" fillId="0" borderId="0" xfId="9" applyFont="1"/>
    <xf numFmtId="0" fontId="8" fillId="0" borderId="0" xfId="9" applyFont="1" applyAlignment="1">
      <alignment horizontal="center"/>
    </xf>
    <xf numFmtId="0" fontId="8" fillId="0" borderId="0" xfId="9" applyFont="1" applyAlignment="1">
      <alignment horizontal="center" vertical="center"/>
    </xf>
    <xf numFmtId="0" fontId="8" fillId="0" borderId="0" xfId="9" quotePrefix="1" applyFont="1" applyAlignment="1">
      <alignment horizontal="center" vertical="center"/>
    </xf>
    <xf numFmtId="0" fontId="8" fillId="0" borderId="0" xfId="9" applyFont="1" applyBorder="1" applyAlignment="1">
      <alignment horizontal="center" vertical="center"/>
    </xf>
    <xf numFmtId="0" fontId="8" fillId="0" borderId="0" xfId="9" applyFont="1" applyBorder="1" applyAlignment="1">
      <alignment horizontal="center"/>
    </xf>
    <xf numFmtId="0" fontId="8" fillId="0" borderId="0" xfId="9" quotePrefix="1" applyFont="1" applyAlignment="1">
      <alignment horizontal="center"/>
    </xf>
    <xf numFmtId="0" fontId="8" fillId="0" borderId="4" xfId="9" applyFont="1" applyBorder="1"/>
    <xf numFmtId="0" fontId="8" fillId="0" borderId="4" xfId="9" applyFont="1" applyFill="1" applyBorder="1" applyAlignment="1">
      <alignment horizontal="center"/>
    </xf>
    <xf numFmtId="0" fontId="8" fillId="0" borderId="0" xfId="9" applyAlignment="1">
      <alignment horizontal="center"/>
    </xf>
    <xf numFmtId="168" fontId="9" fillId="0" borderId="2" xfId="10" applyNumberFormat="1" applyFont="1" applyBorder="1"/>
    <xf numFmtId="168" fontId="9" fillId="0" borderId="0" xfId="10" applyNumberFormat="1" applyFont="1" applyBorder="1"/>
    <xf numFmtId="10" fontId="9" fillId="0" borderId="0" xfId="8" applyNumberFormat="1" applyFont="1" applyBorder="1"/>
    <xf numFmtId="165" fontId="9" fillId="0" borderId="0" xfId="11" applyNumberFormat="1" applyFont="1"/>
    <xf numFmtId="165" fontId="9" fillId="0" borderId="0" xfId="11" applyNumberFormat="1" applyFont="1" applyBorder="1"/>
    <xf numFmtId="165" fontId="9" fillId="0" borderId="4" xfId="11" applyNumberFormat="1" applyFont="1" applyBorder="1"/>
    <xf numFmtId="10" fontId="9" fillId="0" borderId="4" xfId="8" applyNumberFormat="1" applyFont="1" applyBorder="1"/>
    <xf numFmtId="168" fontId="9" fillId="0" borderId="4" xfId="10" applyNumberFormat="1" applyFont="1" applyBorder="1"/>
    <xf numFmtId="168" fontId="9" fillId="0" borderId="0" xfId="10" applyNumberFormat="1" applyFont="1"/>
    <xf numFmtId="9" fontId="9" fillId="0" borderId="0" xfId="8" applyFont="1"/>
    <xf numFmtId="0" fontId="10" fillId="0" borderId="0" xfId="12" applyFont="1" applyFill="1" applyAlignment="1">
      <alignment horizontal="center"/>
    </xf>
    <xf numFmtId="0" fontId="8" fillId="0" borderId="0" xfId="12" applyFont="1" applyFill="1"/>
    <xf numFmtId="0" fontId="8" fillId="0" borderId="0" xfId="12" applyFont="1" applyFill="1" applyAlignment="1"/>
    <xf numFmtId="3" fontId="8" fillId="0" borderId="0" xfId="12" applyNumberFormat="1" applyFont="1" applyFill="1" applyAlignment="1">
      <alignment horizontal="center"/>
    </xf>
    <xf numFmtId="0" fontId="8" fillId="0" borderId="0" xfId="12" applyFont="1" applyFill="1" applyBorder="1" applyAlignment="1"/>
    <xf numFmtId="0" fontId="10" fillId="0" borderId="0" xfId="12" applyFont="1" applyFill="1" applyBorder="1" applyAlignment="1">
      <alignment horizontal="center"/>
    </xf>
    <xf numFmtId="0" fontId="10" fillId="0" borderId="0" xfId="12" quotePrefix="1" applyFont="1" applyFill="1" applyBorder="1" applyAlignment="1" applyProtection="1">
      <alignment horizontal="left"/>
    </xf>
    <xf numFmtId="0" fontId="8" fillId="0" borderId="0" xfId="12" applyFont="1" applyFill="1" applyBorder="1" applyAlignment="1" applyProtection="1"/>
    <xf numFmtId="3" fontId="8" fillId="0" borderId="0" xfId="12" applyNumberFormat="1" applyFont="1" applyFill="1" applyBorder="1" applyAlignment="1" applyProtection="1">
      <alignment horizontal="center"/>
    </xf>
    <xf numFmtId="0" fontId="10" fillId="0" borderId="0" xfId="12" applyFont="1" applyFill="1" applyAlignment="1" applyProtection="1">
      <alignment horizontal="center"/>
    </xf>
    <xf numFmtId="0" fontId="10" fillId="0" borderId="0" xfId="12" applyFont="1" applyFill="1" applyAlignment="1" applyProtection="1"/>
    <xf numFmtId="0" fontId="10" fillId="0" borderId="1" xfId="12" applyFont="1" applyFill="1" applyBorder="1" applyAlignment="1"/>
    <xf numFmtId="0" fontId="10" fillId="0" borderId="1" xfId="12" applyFont="1" applyFill="1" applyBorder="1" applyAlignment="1" applyProtection="1"/>
    <xf numFmtId="3" fontId="10" fillId="0" borderId="1" xfId="12" applyNumberFormat="1" applyFont="1" applyFill="1" applyBorder="1" applyAlignment="1" applyProtection="1">
      <alignment horizontal="center"/>
    </xf>
    <xf numFmtId="3" fontId="10" fillId="0" borderId="0" xfId="12" applyNumberFormat="1" applyFont="1" applyFill="1" applyBorder="1" applyAlignment="1" applyProtection="1">
      <alignment horizontal="center"/>
    </xf>
    <xf numFmtId="0" fontId="10" fillId="0" borderId="1" xfId="12" applyFont="1" applyFill="1" applyBorder="1" applyAlignment="1" applyProtection="1">
      <alignment horizontal="center"/>
    </xf>
    <xf numFmtId="0" fontId="10" fillId="0" borderId="1" xfId="12" quotePrefix="1" applyFont="1" applyFill="1" applyBorder="1" applyAlignment="1" applyProtection="1">
      <alignment horizontal="center"/>
    </xf>
    <xf numFmtId="0" fontId="12" fillId="0" borderId="0" xfId="12" quotePrefix="1" applyFont="1" applyFill="1" applyBorder="1" applyAlignment="1" applyProtection="1">
      <alignment horizontal="left"/>
    </xf>
    <xf numFmtId="37" fontId="12" fillId="0" borderId="0" xfId="12" quotePrefix="1" applyNumberFormat="1" applyFont="1" applyFill="1" applyBorder="1" applyAlignment="1" applyProtection="1">
      <alignment horizontal="center"/>
    </xf>
    <xf numFmtId="37" fontId="12" fillId="0" borderId="0" xfId="12" applyNumberFormat="1" applyFont="1" applyFill="1" applyAlignment="1"/>
    <xf numFmtId="169" fontId="12" fillId="0" borderId="0" xfId="12" applyNumberFormat="1" applyFont="1" applyFill="1" applyAlignment="1"/>
    <xf numFmtId="37" fontId="12" fillId="0" borderId="0" xfId="12" applyNumberFormat="1" applyFont="1" applyFill="1" applyAlignment="1" applyProtection="1"/>
    <xf numFmtId="4" fontId="8" fillId="0" borderId="0" xfId="12" applyNumberFormat="1" applyFont="1" applyFill="1" applyBorder="1" applyAlignment="1" applyProtection="1"/>
    <xf numFmtId="10" fontId="12" fillId="0" borderId="0" xfId="13" applyNumberFormat="1" applyFont="1" applyFill="1" applyAlignment="1"/>
    <xf numFmtId="169" fontId="12" fillId="0" borderId="0" xfId="12" applyNumberFormat="1" applyFont="1" applyFill="1" applyAlignment="1" applyProtection="1"/>
    <xf numFmtId="170" fontId="8" fillId="0" borderId="0" xfId="12" applyNumberFormat="1" applyFont="1" applyFill="1" applyBorder="1" applyAlignment="1" applyProtection="1"/>
    <xf numFmtId="0" fontId="12" fillId="0" borderId="0" xfId="12" applyFont="1" applyFill="1" applyAlignment="1"/>
    <xf numFmtId="3" fontId="12" fillId="0" borderId="0" xfId="12" quotePrefix="1" applyNumberFormat="1" applyFont="1" applyFill="1" applyBorder="1" applyAlignment="1" applyProtection="1">
      <alignment horizontal="center"/>
    </xf>
    <xf numFmtId="0" fontId="12" fillId="0" borderId="0" xfId="12" applyFont="1" applyFill="1" applyBorder="1" applyAlignment="1" applyProtection="1"/>
    <xf numFmtId="0" fontId="13" fillId="0" borderId="0" xfId="12" quotePrefix="1" applyFont="1" applyFill="1" applyBorder="1" applyAlignment="1" applyProtection="1">
      <alignment horizontal="left"/>
    </xf>
    <xf numFmtId="37" fontId="12" fillId="0" borderId="3" xfId="12" applyNumberFormat="1" applyFont="1" applyFill="1" applyBorder="1" applyAlignment="1"/>
    <xf numFmtId="169" fontId="12" fillId="0" borderId="3" xfId="12" applyNumberFormat="1" applyFont="1" applyFill="1" applyBorder="1" applyAlignment="1"/>
    <xf numFmtId="171" fontId="8" fillId="0" borderId="0" xfId="12" applyNumberFormat="1" applyFont="1" applyFill="1" applyBorder="1" applyAlignment="1" applyProtection="1"/>
    <xf numFmtId="10" fontId="12" fillId="0" borderId="3" xfId="13" applyNumberFormat="1" applyFont="1" applyFill="1" applyBorder="1" applyAlignment="1"/>
    <xf numFmtId="0" fontId="8" fillId="0" borderId="0" xfId="12" quotePrefix="1" applyFont="1" applyFill="1" applyBorder="1" applyAlignment="1" applyProtection="1">
      <alignment horizontal="left"/>
    </xf>
    <xf numFmtId="3" fontId="8" fillId="0" borderId="0" xfId="12" quotePrefix="1" applyNumberFormat="1" applyFont="1" applyFill="1" applyBorder="1" applyAlignment="1" applyProtection="1">
      <alignment horizontal="center"/>
    </xf>
    <xf numFmtId="37" fontId="8" fillId="0" borderId="0" xfId="12" applyNumberFormat="1" applyFont="1" applyFill="1" applyAlignment="1"/>
    <xf numFmtId="172" fontId="8" fillId="0" borderId="0" xfId="12" applyNumberFormat="1" applyFont="1" applyFill="1" applyAlignment="1"/>
    <xf numFmtId="37" fontId="8" fillId="0" borderId="0" xfId="12" applyNumberFormat="1" applyFont="1" applyFill="1" applyAlignment="1" applyProtection="1"/>
    <xf numFmtId="0" fontId="8" fillId="0" borderId="1" xfId="12" applyFont="1" applyFill="1" applyBorder="1" applyAlignment="1" applyProtection="1"/>
    <xf numFmtId="3" fontId="8" fillId="0" borderId="1" xfId="12" applyNumberFormat="1" applyFont="1" applyFill="1" applyBorder="1" applyAlignment="1" applyProtection="1">
      <alignment horizontal="center"/>
    </xf>
    <xf numFmtId="37" fontId="8" fillId="0" borderId="1" xfId="12" applyNumberFormat="1" applyFont="1" applyFill="1" applyBorder="1" applyAlignment="1" applyProtection="1"/>
    <xf numFmtId="37" fontId="8" fillId="0" borderId="0" xfId="12" applyNumberFormat="1" applyFont="1" applyFill="1" applyBorder="1" applyAlignment="1" applyProtection="1"/>
    <xf numFmtId="0" fontId="12" fillId="0" borderId="0" xfId="12" applyFont="1" applyFill="1" applyBorder="1" applyAlignment="1" applyProtection="1">
      <alignment horizontal="left"/>
    </xf>
    <xf numFmtId="10" fontId="12" fillId="0" borderId="2" xfId="13" applyNumberFormat="1" applyFont="1" applyFill="1" applyBorder="1" applyAlignment="1"/>
    <xf numFmtId="10" fontId="12" fillId="0" borderId="0" xfId="13" applyNumberFormat="1" applyFont="1" applyFill="1" applyBorder="1" applyAlignment="1"/>
    <xf numFmtId="5" fontId="12" fillId="0" borderId="1" xfId="12" applyNumberFormat="1" applyFont="1" applyFill="1" applyBorder="1" applyAlignment="1" applyProtection="1"/>
    <xf numFmtId="5" fontId="8" fillId="0" borderId="1" xfId="12" applyNumberFormat="1" applyFont="1" applyFill="1" applyBorder="1" applyAlignment="1" applyProtection="1"/>
    <xf numFmtId="5" fontId="12" fillId="0" borderId="0" xfId="12" applyNumberFormat="1" applyFont="1" applyFill="1" applyBorder="1" applyAlignment="1" applyProtection="1"/>
    <xf numFmtId="5" fontId="8" fillId="0" borderId="0" xfId="12" applyNumberFormat="1" applyFont="1" applyFill="1" applyBorder="1" applyAlignment="1" applyProtection="1"/>
    <xf numFmtId="10" fontId="12" fillId="0" borderId="0" xfId="13" applyNumberFormat="1" applyFont="1" applyFill="1" applyAlignment="1" applyProtection="1"/>
    <xf numFmtId="172" fontId="12" fillId="0" borderId="0" xfId="12" applyNumberFormat="1" applyFont="1" applyFill="1" applyAlignment="1"/>
    <xf numFmtId="37" fontId="12" fillId="0" borderId="2" xfId="12" applyNumberFormat="1" applyFont="1" applyFill="1" applyBorder="1" applyAlignment="1"/>
    <xf numFmtId="172" fontId="12" fillId="0" borderId="2" xfId="12" applyNumberFormat="1" applyFont="1" applyFill="1" applyBorder="1" applyAlignment="1"/>
    <xf numFmtId="37" fontId="12" fillId="0" borderId="0" xfId="12" applyNumberFormat="1" applyFont="1" applyFill="1" applyBorder="1" applyAlignment="1"/>
    <xf numFmtId="172" fontId="12" fillId="0" borderId="0" xfId="12" applyNumberFormat="1" applyFont="1" applyFill="1" applyBorder="1" applyAlignment="1"/>
    <xf numFmtId="37" fontId="12" fillId="0" borderId="0" xfId="12" applyNumberFormat="1" applyFont="1" applyFill="1" applyAlignment="1">
      <alignment horizontal="center"/>
    </xf>
    <xf numFmtId="37" fontId="12" fillId="0" borderId="0" xfId="12" applyNumberFormat="1" applyFont="1" applyFill="1" applyBorder="1" applyAlignment="1">
      <alignment horizontal="center"/>
    </xf>
    <xf numFmtId="0" fontId="14" fillId="0" borderId="1" xfId="12" applyFont="1" applyFill="1" applyBorder="1" applyAlignment="1" applyProtection="1"/>
    <xf numFmtId="0" fontId="8" fillId="0" borderId="1" xfId="12" quotePrefix="1" applyFont="1" applyFill="1" applyBorder="1" applyAlignment="1" applyProtection="1">
      <alignment horizontal="left"/>
    </xf>
    <xf numFmtId="3" fontId="8" fillId="0" borderId="1" xfId="12" quotePrefix="1" applyNumberFormat="1" applyFont="1" applyFill="1" applyBorder="1" applyAlignment="1" applyProtection="1">
      <alignment horizontal="center"/>
    </xf>
    <xf numFmtId="37" fontId="8" fillId="0" borderId="1" xfId="12" applyNumberFormat="1" applyFont="1" applyFill="1" applyBorder="1" applyAlignment="1"/>
    <xf numFmtId="172" fontId="8" fillId="0" borderId="1" xfId="12" applyNumberFormat="1" applyFont="1" applyFill="1" applyBorder="1" applyAlignment="1"/>
    <xf numFmtId="0" fontId="14" fillId="0" borderId="0" xfId="12" applyFont="1" applyFill="1" applyBorder="1" applyAlignment="1" applyProtection="1"/>
    <xf numFmtId="37" fontId="8" fillId="0" borderId="0" xfId="12" applyNumberFormat="1" applyFont="1" applyFill="1" applyBorder="1" applyAlignment="1"/>
    <xf numFmtId="172" fontId="8" fillId="0" borderId="0" xfId="12" applyNumberFormat="1" applyFont="1" applyFill="1" applyBorder="1" applyAlignment="1"/>
    <xf numFmtId="3" fontId="14" fillId="0" borderId="0" xfId="12" applyNumberFormat="1" applyFont="1" applyFill="1" applyBorder="1" applyAlignment="1" applyProtection="1">
      <alignment horizontal="center"/>
    </xf>
    <xf numFmtId="10" fontId="8" fillId="0" borderId="0" xfId="13" applyNumberFormat="1" applyFont="1" applyFill="1" applyBorder="1" applyAlignment="1" applyProtection="1"/>
    <xf numFmtId="169" fontId="12" fillId="0" borderId="0" xfId="12" applyNumberFormat="1" applyFont="1" applyFill="1" applyBorder="1" applyAlignment="1"/>
    <xf numFmtId="0" fontId="8" fillId="0" borderId="0" xfId="12" applyFont="1" applyFill="1" applyBorder="1" applyAlignment="1">
      <alignment horizontal="left"/>
    </xf>
    <xf numFmtId="37" fontId="12" fillId="0" borderId="4" xfId="12" applyNumberFormat="1" applyFont="1" applyFill="1" applyBorder="1" applyAlignment="1"/>
    <xf numFmtId="10" fontId="8" fillId="0" borderId="4" xfId="13" applyNumberFormat="1" applyFont="1" applyFill="1" applyBorder="1" applyAlignment="1" applyProtection="1"/>
    <xf numFmtId="169" fontId="12" fillId="0" borderId="4" xfId="12" applyNumberFormat="1" applyFont="1" applyFill="1" applyBorder="1" applyAlignment="1"/>
    <xf numFmtId="7" fontId="8" fillId="0" borderId="0" xfId="12" applyNumberFormat="1" applyFont="1" applyFill="1" applyBorder="1" applyAlignment="1" applyProtection="1"/>
    <xf numFmtId="0" fontId="12" fillId="0" borderId="1" xfId="12" applyFont="1" applyFill="1" applyBorder="1" applyAlignment="1" applyProtection="1"/>
    <xf numFmtId="3" fontId="14" fillId="0" borderId="1" xfId="12" applyNumberFormat="1" applyFont="1" applyFill="1" applyBorder="1" applyAlignment="1" applyProtection="1">
      <alignment horizontal="center"/>
    </xf>
    <xf numFmtId="37" fontId="12" fillId="0" borderId="1" xfId="12" applyNumberFormat="1" applyFont="1" applyFill="1" applyBorder="1" applyAlignment="1"/>
    <xf numFmtId="7" fontId="8" fillId="0" borderId="1" xfId="12" applyNumberFormat="1" applyFont="1" applyFill="1" applyBorder="1" applyAlignment="1" applyProtection="1"/>
    <xf numFmtId="3" fontId="12" fillId="0" borderId="5" xfId="12" quotePrefix="1" applyNumberFormat="1" applyFont="1" applyFill="1" applyBorder="1" applyAlignment="1" applyProtection="1">
      <alignment horizontal="center"/>
    </xf>
    <xf numFmtId="172" fontId="12" fillId="0" borderId="0" xfId="12" applyNumberFormat="1" applyFont="1" applyFill="1" applyBorder="1" applyAlignment="1">
      <alignment horizontal="center"/>
    </xf>
    <xf numFmtId="0" fontId="8" fillId="0" borderId="0" xfId="12" applyFont="1" applyFill="1" applyAlignment="1">
      <alignment horizontal="right"/>
    </xf>
    <xf numFmtId="5" fontId="10" fillId="0" borderId="6" xfId="12" applyNumberFormat="1" applyFont="1" applyFill="1" applyBorder="1" applyAlignment="1"/>
    <xf numFmtId="0" fontId="8" fillId="0" borderId="0" xfId="14" applyFont="1" applyFill="1" applyProtection="1"/>
    <xf numFmtId="0" fontId="10" fillId="0" borderId="0" xfId="14" applyFont="1" applyFill="1" applyAlignment="1" applyProtection="1">
      <alignment horizontal="center"/>
    </xf>
    <xf numFmtId="0" fontId="8" fillId="0" borderId="0" xfId="14" applyFont="1" applyFill="1" applyAlignment="1" applyProtection="1">
      <alignment horizontal="center"/>
    </xf>
    <xf numFmtId="0" fontId="8" fillId="0" borderId="0" xfId="14" quotePrefix="1" applyFont="1" applyFill="1" applyAlignment="1" applyProtection="1">
      <alignment horizontal="center"/>
    </xf>
    <xf numFmtId="0" fontId="8" fillId="0" borderId="0" xfId="14" quotePrefix="1" applyFont="1" applyFill="1" applyAlignment="1" applyProtection="1">
      <alignment horizontal="right"/>
    </xf>
    <xf numFmtId="0" fontId="10" fillId="0" borderId="0" xfId="14" applyFont="1" applyFill="1" applyProtection="1"/>
    <xf numFmtId="0" fontId="8" fillId="0" borderId="0" xfId="14" applyFont="1" applyFill="1" applyAlignment="1" applyProtection="1">
      <alignment vertical="center"/>
    </xf>
    <xf numFmtId="0" fontId="10" fillId="0" borderId="0" xfId="14" applyFont="1" applyFill="1" applyAlignment="1" applyProtection="1">
      <alignment horizontal="center" vertical="center"/>
    </xf>
    <xf numFmtId="0" fontId="10" fillId="0" borderId="0" xfId="14" quotePrefix="1" applyFont="1" applyFill="1" applyAlignment="1" applyProtection="1">
      <alignment horizontal="right" vertical="center"/>
    </xf>
    <xf numFmtId="0" fontId="10" fillId="0" borderId="0" xfId="14" applyFont="1" applyFill="1" applyAlignment="1" applyProtection="1">
      <alignment vertical="center"/>
    </xf>
    <xf numFmtId="0" fontId="8" fillId="0" borderId="0" xfId="14" applyFont="1" applyFill="1" applyAlignment="1" applyProtection="1">
      <alignment vertical="top"/>
    </xf>
    <xf numFmtId="0" fontId="10" fillId="0" borderId="1" xfId="14" applyFont="1" applyFill="1" applyBorder="1" applyAlignment="1" applyProtection="1">
      <alignment horizontal="center" vertical="top"/>
    </xf>
    <xf numFmtId="0" fontId="10" fillId="0" borderId="1" xfId="14" quotePrefix="1" applyFont="1" applyFill="1" applyBorder="1" applyAlignment="1" applyProtection="1">
      <alignment horizontal="right" vertical="top"/>
    </xf>
    <xf numFmtId="0" fontId="10" fillId="0" borderId="1" xfId="14" applyFont="1" applyFill="1" applyBorder="1" applyAlignment="1" applyProtection="1">
      <alignment horizontal="right" vertical="top"/>
    </xf>
    <xf numFmtId="173" fontId="12" fillId="0" borderId="0" xfId="9" applyNumberFormat="1" applyFont="1" applyAlignment="1" applyProtection="1">
      <alignment horizontal="right"/>
    </xf>
    <xf numFmtId="7" fontId="8" fillId="0" borderId="0" xfId="14" applyNumberFormat="1" applyFont="1" applyFill="1" applyAlignment="1" applyProtection="1">
      <alignment horizontal="right"/>
    </xf>
    <xf numFmtId="39" fontId="8" fillId="0" borderId="0" xfId="14" applyNumberFormat="1" applyFont="1" applyFill="1" applyAlignment="1" applyProtection="1">
      <alignment horizontal="right"/>
    </xf>
    <xf numFmtId="174" fontId="8" fillId="0" borderId="6" xfId="14" applyNumberFormat="1" applyFont="1" applyFill="1" applyBorder="1" applyAlignment="1" applyProtection="1">
      <alignment horizontal="center"/>
    </xf>
    <xf numFmtId="7" fontId="8" fillId="0" borderId="6" xfId="14" applyNumberFormat="1" applyFont="1" applyFill="1" applyBorder="1" applyAlignment="1" applyProtection="1">
      <alignment horizontal="center"/>
    </xf>
    <xf numFmtId="39" fontId="8" fillId="0" borderId="6" xfId="14" applyNumberFormat="1" applyFont="1" applyFill="1" applyBorder="1" applyAlignment="1" applyProtection="1">
      <alignment horizontal="center"/>
    </xf>
    <xf numFmtId="39" fontId="8" fillId="0" borderId="0" xfId="14" applyNumberFormat="1" applyFont="1" applyFill="1" applyBorder="1" applyAlignment="1" applyProtection="1">
      <alignment horizontal="center"/>
    </xf>
    <xf numFmtId="174" fontId="8" fillId="0" borderId="0" xfId="14" applyNumberFormat="1" applyFont="1" applyFill="1" applyAlignment="1" applyProtection="1">
      <alignment horizontal="center"/>
    </xf>
    <xf numFmtId="7" fontId="8" fillId="0" borderId="0" xfId="14" applyNumberFormat="1" applyFont="1" applyFill="1" applyAlignment="1" applyProtection="1">
      <alignment horizontal="center"/>
    </xf>
    <xf numFmtId="174" fontId="8" fillId="0" borderId="0" xfId="14" applyNumberFormat="1" applyFont="1" applyFill="1" applyAlignment="1">
      <alignment horizontal="center"/>
    </xf>
    <xf numFmtId="174" fontId="8" fillId="0" borderId="0" xfId="14" applyNumberFormat="1" applyFont="1" applyFill="1" applyAlignment="1" applyProtection="1">
      <alignment horizontal="right"/>
    </xf>
    <xf numFmtId="7" fontId="8" fillId="0" borderId="0" xfId="14" applyNumberFormat="1" applyFont="1" applyFill="1" applyProtection="1"/>
    <xf numFmtId="0" fontId="8" fillId="0" borderId="0" xfId="14" applyFont="1" applyFill="1" applyAlignment="1" applyProtection="1">
      <alignment horizontal="right"/>
    </xf>
    <xf numFmtId="175" fontId="8" fillId="0" borderId="0" xfId="13" applyNumberFormat="1" applyFont="1" applyFill="1" applyAlignment="1" applyProtection="1">
      <alignment horizontal="right"/>
    </xf>
    <xf numFmtId="0" fontId="8" fillId="0" borderId="0" xfId="14" quotePrefix="1" applyFont="1" applyFill="1" applyAlignment="1" applyProtection="1">
      <alignment horizontal="left"/>
    </xf>
    <xf numFmtId="176" fontId="8" fillId="0" borderId="0" xfId="9" applyNumberFormat="1" applyBorder="1"/>
    <xf numFmtId="0" fontId="8" fillId="0" borderId="0" xfId="9" applyBorder="1"/>
    <xf numFmtId="0" fontId="8" fillId="0" borderId="1" xfId="9" applyFont="1" applyBorder="1"/>
    <xf numFmtId="0" fontId="8" fillId="0" borderId="1" xfId="9" quotePrefix="1" applyFont="1" applyBorder="1" applyAlignment="1">
      <alignment horizontal="center"/>
    </xf>
    <xf numFmtId="0" fontId="8" fillId="0" borderId="0" xfId="9" applyFont="1" applyBorder="1"/>
    <xf numFmtId="2" fontId="8" fillId="0" borderId="0" xfId="9" applyNumberFormat="1" applyBorder="1"/>
    <xf numFmtId="177" fontId="8" fillId="0" borderId="0" xfId="9" applyNumberFormat="1" applyBorder="1"/>
    <xf numFmtId="0" fontId="8" fillId="0" borderId="0" xfId="9" quotePrefix="1" applyFont="1" applyBorder="1" applyAlignment="1">
      <alignment horizontal="center"/>
    </xf>
    <xf numFmtId="14" fontId="16" fillId="0" borderId="0" xfId="14" quotePrefix="1" applyNumberFormat="1" applyFont="1" applyFill="1" applyBorder="1" applyAlignment="1" applyProtection="1">
      <alignment horizontal="center" vertical="top"/>
    </xf>
    <xf numFmtId="177" fontId="8" fillId="0" borderId="0" xfId="9" applyNumberFormat="1" applyFont="1" applyBorder="1"/>
    <xf numFmtId="164" fontId="4" fillId="0" borderId="0" xfId="0" applyFont="1" applyAlignment="1"/>
    <xf numFmtId="164" fontId="2" fillId="0" borderId="0" xfId="0" applyFont="1"/>
    <xf numFmtId="165" fontId="0" fillId="0" borderId="0" xfId="7" applyNumberFormat="1" applyFont="1" applyFill="1"/>
    <xf numFmtId="164" fontId="1" fillId="0" borderId="0" xfId="0" applyFont="1" applyAlignment="1">
      <alignment horizontal="left"/>
    </xf>
    <xf numFmtId="6" fontId="9" fillId="0" borderId="0" xfId="0" applyNumberFormat="1" applyFont="1" applyBorder="1"/>
    <xf numFmtId="164" fontId="8" fillId="0" borderId="0" xfId="0" applyFont="1" applyAlignment="1">
      <alignment horizontal="left" indent="1"/>
    </xf>
    <xf numFmtId="165" fontId="8" fillId="0" borderId="0" xfId="7" applyNumberFormat="1" applyFont="1"/>
    <xf numFmtId="164" fontId="9" fillId="0" borderId="0" xfId="0" applyFont="1" applyFill="1" applyBorder="1" applyAlignment="1">
      <alignment horizontal="left" vertical="top" indent="1"/>
    </xf>
    <xf numFmtId="164" fontId="9" fillId="0" borderId="0" xfId="0" applyFont="1" applyFill="1" applyBorder="1" applyAlignment="1">
      <alignment horizontal="left" vertical="top"/>
    </xf>
    <xf numFmtId="165" fontId="8" fillId="0" borderId="3" xfId="7" applyNumberFormat="1" applyFont="1" applyBorder="1"/>
    <xf numFmtId="3" fontId="10" fillId="0" borderId="0" xfId="12" applyNumberFormat="1" applyFont="1" applyFill="1" applyAlignment="1">
      <alignment horizontal="center"/>
    </xf>
    <xf numFmtId="164" fontId="0" fillId="5" borderId="0" xfId="0" applyFill="1"/>
    <xf numFmtId="164" fontId="0" fillId="0" borderId="0" xfId="0" quotePrefix="1" applyFont="1" applyAlignment="1">
      <alignment horizontal="left" indent="1"/>
    </xf>
    <xf numFmtId="164" fontId="0" fillId="0" borderId="0" xfId="0" quotePrefix="1" applyFont="1" applyAlignment="1">
      <alignment horizontal="left"/>
    </xf>
    <xf numFmtId="43" fontId="0" fillId="0" borderId="0" xfId="7" applyFont="1" applyAlignment="1">
      <alignment horizontal="center" wrapText="1"/>
    </xf>
    <xf numFmtId="0" fontId="4" fillId="0" borderId="0" xfId="0" applyNumberFormat="1" applyFont="1" applyAlignment="1"/>
    <xf numFmtId="43" fontId="0" fillId="0" borderId="0" xfId="7" applyFont="1" applyAlignment="1">
      <alignment horizontal="center"/>
    </xf>
    <xf numFmtId="43" fontId="0" fillId="0" borderId="3" xfId="7" applyFont="1" applyBorder="1"/>
    <xf numFmtId="164" fontId="0" fillId="6" borderId="0" xfId="0" applyFill="1"/>
    <xf numFmtId="3" fontId="10" fillId="0" borderId="0" xfId="12" applyNumberFormat="1" applyFont="1" applyFill="1" applyAlignment="1">
      <alignment horizontal="center"/>
    </xf>
    <xf numFmtId="164" fontId="2" fillId="0" borderId="0" xfId="0" applyFont="1" applyFill="1"/>
    <xf numFmtId="164" fontId="3" fillId="0" borderId="0" xfId="0" applyFont="1" applyFill="1"/>
    <xf numFmtId="5" fontId="9" fillId="0" borderId="0" xfId="0" applyNumberFormat="1" applyFont="1" applyFill="1"/>
    <xf numFmtId="165" fontId="9" fillId="0" borderId="4" xfId="0" applyNumberFormat="1" applyFont="1" applyFill="1" applyBorder="1"/>
    <xf numFmtId="0" fontId="0" fillId="0" borderId="0" xfId="0" applyNumberFormat="1" applyFill="1"/>
    <xf numFmtId="7" fontId="8" fillId="0" borderId="4" xfId="12" applyNumberFormat="1" applyFont="1" applyFill="1" applyBorder="1" applyAlignment="1" applyProtection="1"/>
    <xf numFmtId="169" fontId="12" fillId="0" borderId="5" xfId="12" applyNumberFormat="1" applyFont="1" applyFill="1" applyBorder="1" applyAlignment="1"/>
    <xf numFmtId="0" fontId="4" fillId="0" borderId="0" xfId="0" applyNumberFormat="1" applyFont="1" applyAlignment="1">
      <alignment horizontal="center"/>
    </xf>
    <xf numFmtId="43" fontId="3" fillId="0" borderId="0" xfId="7" applyFont="1" applyAlignment="1">
      <alignment horizontal="center" wrapText="1"/>
    </xf>
    <xf numFmtId="164" fontId="3" fillId="4" borderId="0" xfId="0" applyFont="1" applyFill="1" applyAlignment="1">
      <alignment horizontal="center"/>
    </xf>
    <xf numFmtId="164" fontId="3" fillId="0" borderId="0" xfId="0" applyFont="1" applyAlignment="1">
      <alignment horizontal="center"/>
    </xf>
    <xf numFmtId="0" fontId="4" fillId="0" borderId="0" xfId="7" applyNumberFormat="1" applyFont="1" applyAlignment="1">
      <alignment horizontal="center"/>
    </xf>
    <xf numFmtId="0" fontId="3" fillId="0" borderId="0" xfId="7" applyNumberFormat="1" applyFont="1" applyAlignment="1">
      <alignment horizontal="center"/>
    </xf>
    <xf numFmtId="164" fontId="17" fillId="0" borderId="0" xfId="0" applyFont="1" applyAlignment="1">
      <alignment horizontal="center"/>
    </xf>
    <xf numFmtId="164" fontId="4" fillId="0" borderId="0" xfId="0" applyFont="1" applyAlignment="1">
      <alignment horizontal="center"/>
    </xf>
    <xf numFmtId="5" fontId="10" fillId="0" borderId="0" xfId="9" applyNumberFormat="1" applyFont="1" applyAlignment="1">
      <alignment horizontal="center"/>
    </xf>
    <xf numFmtId="3" fontId="10" fillId="0" borderId="0" xfId="12" applyNumberFormat="1" applyFont="1" applyFill="1" applyAlignment="1">
      <alignment horizontal="center"/>
    </xf>
    <xf numFmtId="0" fontId="11" fillId="0" borderId="0" xfId="12" applyFont="1" applyFill="1" applyAlignment="1">
      <alignment horizontal="center"/>
    </xf>
    <xf numFmtId="0" fontId="10" fillId="0" borderId="0" xfId="14" quotePrefix="1" applyFont="1" applyFill="1" applyAlignment="1" applyProtection="1">
      <alignment horizontal="center" vertical="center"/>
    </xf>
    <xf numFmtId="0" fontId="10" fillId="0" borderId="0" xfId="14" applyFont="1" applyFill="1" applyAlignment="1" applyProtection="1">
      <alignment horizontal="center" vertical="center"/>
    </xf>
    <xf numFmtId="0" fontId="10" fillId="0" borderId="0" xfId="14" quotePrefix="1" applyFont="1" applyFill="1" applyAlignment="1">
      <alignment horizontal="center" vertical="center"/>
    </xf>
    <xf numFmtId="0" fontId="10" fillId="0" borderId="0" xfId="14" applyFont="1" applyFill="1" applyAlignment="1">
      <alignment horizontal="center" vertical="center"/>
    </xf>
    <xf numFmtId="14" fontId="10" fillId="0" borderId="1" xfId="14" quotePrefix="1" applyNumberFormat="1" applyFont="1" applyFill="1" applyBorder="1" applyAlignment="1" applyProtection="1">
      <alignment horizontal="left" vertical="top" indent="4"/>
    </xf>
    <xf numFmtId="0" fontId="10" fillId="0" borderId="1" xfId="14" quotePrefix="1" applyFont="1" applyFill="1" applyBorder="1" applyAlignment="1" applyProtection="1">
      <alignment horizontal="center" vertical="top"/>
    </xf>
    <xf numFmtId="0" fontId="10" fillId="0" borderId="1" xfId="14" applyFont="1" applyFill="1" applyBorder="1" applyAlignment="1" applyProtection="1">
      <alignment horizontal="center" vertical="top"/>
    </xf>
    <xf numFmtId="0" fontId="10" fillId="0" borderId="0" xfId="14" quotePrefix="1" applyFont="1" applyFill="1" applyAlignment="1" applyProtection="1">
      <alignment horizontal="center"/>
    </xf>
    <xf numFmtId="0" fontId="10" fillId="0" borderId="0" xfId="14" applyFont="1" applyFill="1" applyAlignment="1" applyProtection="1">
      <alignment horizontal="center"/>
    </xf>
    <xf numFmtId="0" fontId="8" fillId="0" borderId="0" xfId="14" quotePrefix="1" applyFont="1" applyFill="1" applyAlignment="1" applyProtection="1">
      <alignment horizontal="center"/>
    </xf>
  </cellXfs>
  <cellStyles count="15">
    <cellStyle name="Comma" xfId="7" builtinId="3"/>
    <cellStyle name="Comma 2" xfId="11"/>
    <cellStyle name="Currency 2" xfId="10"/>
    <cellStyle name="Normal" xfId="0" builtinId="0"/>
    <cellStyle name="Normal 3" xfId="9"/>
    <cellStyle name="Normal 4 2" xfId="12"/>
    <cellStyle name="Normal_Pass-Through Model 11_2007 - 10_2008" xfId="14"/>
    <cellStyle name="Percent" xfId="8" builtinId="5"/>
    <cellStyle name="Percent 2" xfId="13"/>
    <cellStyle name="PSChar" xfId="1"/>
    <cellStyle name="PSDate" xfId="2"/>
    <cellStyle name="PSDec" xfId="3"/>
    <cellStyle name="PSHeading" xfId="4"/>
    <cellStyle name="PSInt" xfId="5"/>
    <cellStyle name="PSSpacer" xfId="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DZ112"/>
  <sheetViews>
    <sheetView zoomScale="70" zoomScaleNormal="70" workbookViewId="0">
      <pane xSplit="1" ySplit="7" topLeftCell="CG23" activePane="bottomRight" state="frozen"/>
      <selection pane="topRight" activeCell="B1" sqref="B1"/>
      <selection pane="bottomLeft" activeCell="A8" sqref="A8"/>
      <selection pane="bottomRight" activeCell="B8" sqref="B8"/>
    </sheetView>
  </sheetViews>
  <sheetFormatPr defaultRowHeight="12.75"/>
  <cols>
    <col min="1" max="1" width="37" bestFit="1" customWidth="1"/>
    <col min="2" max="8" width="15.42578125" customWidth="1"/>
    <col min="9" max="37" width="16" bestFit="1" customWidth="1"/>
    <col min="38" max="38" width="13.42578125" bestFit="1" customWidth="1"/>
    <col min="39" max="39" width="13.5703125" bestFit="1" customWidth="1"/>
    <col min="40" max="40" width="13" bestFit="1" customWidth="1"/>
    <col min="41" max="41" width="13.5703125" bestFit="1" customWidth="1"/>
    <col min="42" max="42" width="14.28515625" bestFit="1" customWidth="1"/>
    <col min="43" max="43" width="13.42578125" bestFit="1" customWidth="1"/>
    <col min="44" max="44" width="13.5703125" bestFit="1" customWidth="1"/>
    <col min="45" max="45" width="13.28515625" bestFit="1" customWidth="1"/>
    <col min="46" max="46" width="15.85546875" bestFit="1" customWidth="1"/>
    <col min="47" max="47" width="13.5703125" bestFit="1" customWidth="1"/>
    <col min="48" max="48" width="15.42578125" bestFit="1" customWidth="1"/>
    <col min="49" max="49" width="15.28515625" bestFit="1" customWidth="1"/>
    <col min="50" max="50" width="12.85546875" bestFit="1" customWidth="1"/>
    <col min="51" max="51" width="13.5703125" bestFit="1" customWidth="1"/>
    <col min="52" max="52" width="13" bestFit="1" customWidth="1"/>
    <col min="53" max="53" width="13.42578125" bestFit="1" customWidth="1"/>
    <col min="54" max="54" width="13.28515625" bestFit="1" customWidth="1"/>
    <col min="55" max="55" width="15.140625" customWidth="1"/>
    <col min="56" max="58" width="14.140625" customWidth="1"/>
    <col min="59" max="59" width="15.140625" customWidth="1"/>
    <col min="60" max="71" width="14.140625" customWidth="1"/>
    <col min="72" max="72" width="16" customWidth="1"/>
    <col min="74" max="74" width="21.5703125" style="9" customWidth="1"/>
    <col min="75" max="75" width="20.85546875" style="9" bestFit="1" customWidth="1"/>
    <col min="76" max="76" width="20.85546875" style="9" customWidth="1"/>
    <col min="77" max="77" width="23.140625" style="9" bestFit="1" customWidth="1"/>
    <col min="78" max="81" width="13.7109375" style="9" customWidth="1"/>
    <col min="82" max="83" width="14.28515625" style="9" customWidth="1"/>
    <col min="84" max="84" width="14.42578125" style="9" customWidth="1"/>
    <col min="85" max="85" width="16.85546875" bestFit="1" customWidth="1"/>
    <col min="86" max="86" width="16.85546875" customWidth="1"/>
    <col min="87" max="87" width="15.85546875" customWidth="1"/>
    <col min="88" max="88" width="1.85546875" customWidth="1"/>
    <col min="89" max="89" width="14.140625" customWidth="1"/>
    <col min="90" max="90" width="13.7109375" customWidth="1"/>
    <col min="91" max="91" width="13.85546875" customWidth="1"/>
    <col min="92" max="92" width="14" customWidth="1"/>
    <col min="93" max="93" width="14.28515625" customWidth="1"/>
    <col min="94" max="94" width="18" customWidth="1"/>
    <col min="95" max="95" width="17.5703125" customWidth="1"/>
    <col min="96" max="96" width="1.85546875" customWidth="1"/>
    <col min="97" max="98" width="14.85546875" style="9" customWidth="1"/>
    <col min="99" max="99" width="14.140625" style="9" customWidth="1"/>
    <col min="100" max="100" width="15.5703125" style="9" customWidth="1"/>
    <col min="101" max="130" width="9.140625" style="9"/>
  </cols>
  <sheetData>
    <row r="1" spans="1:130">
      <c r="CJ1" s="21"/>
      <c r="CR1" s="21"/>
    </row>
    <row r="2" spans="1:130">
      <c r="BZ2" s="245">
        <v>2010</v>
      </c>
      <c r="CA2" s="245"/>
      <c r="CB2" s="245"/>
      <c r="CC2" s="245"/>
      <c r="CD2" s="245"/>
      <c r="CE2" s="245"/>
      <c r="CF2" s="245"/>
      <c r="CG2" s="245"/>
      <c r="CH2" s="245"/>
      <c r="CI2" s="245"/>
      <c r="CJ2" s="21"/>
      <c r="CK2" s="241">
        <v>2011</v>
      </c>
      <c r="CL2" s="241"/>
      <c r="CM2" s="241"/>
      <c r="CN2" s="241"/>
      <c r="CO2" s="241"/>
      <c r="CP2" s="241"/>
      <c r="CQ2" s="241"/>
      <c r="CR2" s="21"/>
      <c r="CS2" s="241">
        <v>2012</v>
      </c>
      <c r="CT2" s="241"/>
      <c r="CU2" s="241"/>
      <c r="CV2" s="241"/>
      <c r="CW2" s="229"/>
      <c r="CX2" s="229"/>
      <c r="CY2" s="229"/>
    </row>
    <row r="3" spans="1:130">
      <c r="BZ3" s="246" t="s">
        <v>76</v>
      </c>
      <c r="CA3" s="246"/>
      <c r="CB3" s="246"/>
      <c r="CC3" s="18"/>
      <c r="CD3" s="18"/>
      <c r="CE3" s="246" t="s">
        <v>77</v>
      </c>
      <c r="CF3" s="246"/>
      <c r="CG3" s="243" t="s">
        <v>85</v>
      </c>
      <c r="CH3" s="243"/>
      <c r="CI3" s="243"/>
      <c r="CJ3" s="21"/>
      <c r="CK3" s="244" t="s">
        <v>76</v>
      </c>
      <c r="CL3" s="244"/>
      <c r="CM3" s="244"/>
      <c r="CP3" s="243" t="s">
        <v>89</v>
      </c>
      <c r="CQ3" s="243"/>
      <c r="CR3" s="21"/>
    </row>
    <row r="4" spans="1:130" ht="25.5">
      <c r="B4" s="19">
        <f>YEAR(B7)</f>
        <v>2007</v>
      </c>
      <c r="C4" s="19">
        <f t="shared" ref="C4:BN4" si="0">YEAR(C7)</f>
        <v>2007</v>
      </c>
      <c r="D4" s="19">
        <f t="shared" si="0"/>
        <v>2007</v>
      </c>
      <c r="E4" s="19">
        <f t="shared" si="0"/>
        <v>2007</v>
      </c>
      <c r="F4" s="19">
        <f t="shared" si="0"/>
        <v>2007</v>
      </c>
      <c r="G4" s="19">
        <f t="shared" si="0"/>
        <v>2007</v>
      </c>
      <c r="H4" s="19">
        <f>YEAR(H7)</f>
        <v>2007</v>
      </c>
      <c r="I4" s="19">
        <f t="shared" si="0"/>
        <v>2007</v>
      </c>
      <c r="J4" s="19">
        <f t="shared" si="0"/>
        <v>2007</v>
      </c>
      <c r="K4" s="19">
        <f t="shared" si="0"/>
        <v>2007</v>
      </c>
      <c r="L4" s="19">
        <f t="shared" si="0"/>
        <v>2008</v>
      </c>
      <c r="M4" s="19">
        <f t="shared" si="0"/>
        <v>2008</v>
      </c>
      <c r="N4" s="19">
        <f t="shared" si="0"/>
        <v>2008</v>
      </c>
      <c r="O4" s="19">
        <f t="shared" si="0"/>
        <v>2008</v>
      </c>
      <c r="P4" s="19">
        <f t="shared" si="0"/>
        <v>2008</v>
      </c>
      <c r="Q4" s="19">
        <f t="shared" si="0"/>
        <v>2008</v>
      </c>
      <c r="R4" s="19">
        <f t="shared" si="0"/>
        <v>2008</v>
      </c>
      <c r="S4" s="19">
        <f t="shared" si="0"/>
        <v>2008</v>
      </c>
      <c r="T4" s="19">
        <f t="shared" si="0"/>
        <v>2008</v>
      </c>
      <c r="U4" s="19">
        <f t="shared" si="0"/>
        <v>2008</v>
      </c>
      <c r="V4" s="19">
        <f t="shared" si="0"/>
        <v>2008</v>
      </c>
      <c r="W4" s="19">
        <f t="shared" si="0"/>
        <v>2008</v>
      </c>
      <c r="X4" s="19">
        <f t="shared" si="0"/>
        <v>2009</v>
      </c>
      <c r="Y4" s="19">
        <f t="shared" si="0"/>
        <v>2009</v>
      </c>
      <c r="Z4" s="19">
        <f t="shared" si="0"/>
        <v>2009</v>
      </c>
      <c r="AA4" s="19">
        <f t="shared" si="0"/>
        <v>2009</v>
      </c>
      <c r="AB4" s="19">
        <f t="shared" si="0"/>
        <v>2009</v>
      </c>
      <c r="AC4" s="19">
        <f t="shared" si="0"/>
        <v>2009</v>
      </c>
      <c r="AD4" s="19">
        <f t="shared" si="0"/>
        <v>2009</v>
      </c>
      <c r="AE4" s="19">
        <f t="shared" si="0"/>
        <v>2009</v>
      </c>
      <c r="AF4" s="19">
        <f t="shared" si="0"/>
        <v>2009</v>
      </c>
      <c r="AG4" s="19">
        <f t="shared" si="0"/>
        <v>2009</v>
      </c>
      <c r="AH4" s="19">
        <f t="shared" si="0"/>
        <v>2009</v>
      </c>
      <c r="AI4" s="19">
        <f t="shared" si="0"/>
        <v>2009</v>
      </c>
      <c r="AJ4" s="19">
        <f t="shared" si="0"/>
        <v>2010</v>
      </c>
      <c r="AK4" s="19">
        <f t="shared" si="0"/>
        <v>2010</v>
      </c>
      <c r="AL4" s="19">
        <f t="shared" si="0"/>
        <v>2010</v>
      </c>
      <c r="AM4" s="19">
        <f t="shared" si="0"/>
        <v>2010</v>
      </c>
      <c r="AN4" s="19">
        <f t="shared" si="0"/>
        <v>2010</v>
      </c>
      <c r="AO4" s="19">
        <f t="shared" si="0"/>
        <v>2010</v>
      </c>
      <c r="AP4" s="19">
        <f t="shared" si="0"/>
        <v>2010</v>
      </c>
      <c r="AQ4" s="19">
        <f t="shared" si="0"/>
        <v>2010</v>
      </c>
      <c r="AR4" s="19">
        <f t="shared" si="0"/>
        <v>2010</v>
      </c>
      <c r="AS4" s="19">
        <f t="shared" si="0"/>
        <v>2010</v>
      </c>
      <c r="AT4" s="19">
        <f t="shared" si="0"/>
        <v>2010</v>
      </c>
      <c r="AU4" s="19">
        <f t="shared" si="0"/>
        <v>2010</v>
      </c>
      <c r="AV4" s="19">
        <f t="shared" si="0"/>
        <v>2011</v>
      </c>
      <c r="AW4" s="19">
        <f t="shared" si="0"/>
        <v>2011</v>
      </c>
      <c r="AX4" s="19">
        <f t="shared" si="0"/>
        <v>2011</v>
      </c>
      <c r="AY4" s="19">
        <f t="shared" si="0"/>
        <v>2011</v>
      </c>
      <c r="AZ4" s="19">
        <f t="shared" si="0"/>
        <v>2011</v>
      </c>
      <c r="BA4" s="19">
        <f t="shared" si="0"/>
        <v>2011</v>
      </c>
      <c r="BB4" s="19">
        <f t="shared" si="0"/>
        <v>2011</v>
      </c>
      <c r="BC4" s="19">
        <f t="shared" si="0"/>
        <v>2011</v>
      </c>
      <c r="BD4" s="19">
        <f t="shared" si="0"/>
        <v>2011</v>
      </c>
      <c r="BE4" s="19">
        <f t="shared" si="0"/>
        <v>2011</v>
      </c>
      <c r="BF4" s="19">
        <f t="shared" si="0"/>
        <v>2011</v>
      </c>
      <c r="BG4" s="19">
        <f t="shared" si="0"/>
        <v>2011</v>
      </c>
      <c r="BH4" s="19">
        <f t="shared" si="0"/>
        <v>2012</v>
      </c>
      <c r="BI4" s="19">
        <f t="shared" si="0"/>
        <v>2012</v>
      </c>
      <c r="BJ4" s="19">
        <f t="shared" si="0"/>
        <v>2012</v>
      </c>
      <c r="BK4" s="19">
        <f t="shared" si="0"/>
        <v>2012</v>
      </c>
      <c r="BL4" s="19">
        <f t="shared" si="0"/>
        <v>2012</v>
      </c>
      <c r="BM4" s="19">
        <f t="shared" si="0"/>
        <v>2012</v>
      </c>
      <c r="BN4" s="19">
        <f t="shared" si="0"/>
        <v>2012</v>
      </c>
      <c r="BO4" s="19">
        <f t="shared" ref="BO4:BS4" si="1">YEAR(BO7)</f>
        <v>2012</v>
      </c>
      <c r="BP4" s="19">
        <f t="shared" si="1"/>
        <v>2012</v>
      </c>
      <c r="BQ4" s="19">
        <f t="shared" si="1"/>
        <v>2012</v>
      </c>
      <c r="BR4" s="19">
        <f t="shared" si="1"/>
        <v>2012</v>
      </c>
      <c r="BS4" s="19">
        <f t="shared" si="1"/>
        <v>2012</v>
      </c>
      <c r="BY4" s="12" t="s">
        <v>69</v>
      </c>
      <c r="BZ4" s="12" t="s">
        <v>68</v>
      </c>
      <c r="CA4" s="242" t="s">
        <v>73</v>
      </c>
      <c r="CB4" s="242"/>
      <c r="CC4" s="47" t="s">
        <v>79</v>
      </c>
      <c r="CD4" s="47" t="s">
        <v>78</v>
      </c>
      <c r="CE4" s="15" t="s">
        <v>80</v>
      </c>
      <c r="CF4" s="15" t="s">
        <v>80</v>
      </c>
      <c r="CG4" s="29" t="s">
        <v>81</v>
      </c>
      <c r="CH4" s="29" t="s">
        <v>83</v>
      </c>
      <c r="CI4" s="30" t="s">
        <v>83</v>
      </c>
      <c r="CJ4" s="21"/>
      <c r="CK4" s="242" t="s">
        <v>68</v>
      </c>
      <c r="CL4" s="242"/>
      <c r="CM4" s="6" t="s">
        <v>87</v>
      </c>
      <c r="CN4" s="47" t="s">
        <v>79</v>
      </c>
      <c r="CO4" s="48" t="s">
        <v>78</v>
      </c>
      <c r="CP4" s="37" t="s">
        <v>90</v>
      </c>
      <c r="CQ4" s="37" t="s">
        <v>90</v>
      </c>
      <c r="CR4" s="21"/>
      <c r="CS4" s="228" t="s">
        <v>324</v>
      </c>
      <c r="CT4" s="228" t="s">
        <v>87</v>
      </c>
      <c r="CU4" s="9" t="s">
        <v>79</v>
      </c>
      <c r="CV4" s="9" t="s">
        <v>78</v>
      </c>
    </row>
    <row r="5" spans="1:130">
      <c r="B5" s="17">
        <v>0.5</v>
      </c>
      <c r="C5" s="17">
        <v>0.5</v>
      </c>
      <c r="D5" s="17">
        <v>0.5</v>
      </c>
      <c r="E5" s="17">
        <v>0.5</v>
      </c>
      <c r="F5" s="17">
        <v>0.5</v>
      </c>
      <c r="G5" s="17">
        <v>0.5</v>
      </c>
      <c r="H5" s="17">
        <v>0.5</v>
      </c>
      <c r="I5" s="17">
        <v>0.5</v>
      </c>
      <c r="J5" s="17">
        <v>0.5</v>
      </c>
      <c r="K5" s="17">
        <v>0.5</v>
      </c>
      <c r="L5" s="17">
        <v>0.5</v>
      </c>
      <c r="M5" s="17">
        <v>0.5</v>
      </c>
      <c r="N5" s="17">
        <v>0.5</v>
      </c>
      <c r="O5" s="17">
        <v>0.5</v>
      </c>
      <c r="P5" s="17">
        <v>0.5</v>
      </c>
      <c r="Q5" s="17">
        <v>0.5</v>
      </c>
      <c r="R5" s="17">
        <v>0.5</v>
      </c>
      <c r="S5" s="17">
        <v>0.5</v>
      </c>
      <c r="T5" s="17">
        <v>0.5</v>
      </c>
      <c r="U5" s="17">
        <v>0.5</v>
      </c>
      <c r="V5" s="17">
        <v>0.5</v>
      </c>
      <c r="W5" s="17">
        <v>0.5</v>
      </c>
      <c r="X5" s="17">
        <v>0.5</v>
      </c>
      <c r="Y5" s="17">
        <v>0.5</v>
      </c>
      <c r="Z5" s="17">
        <v>0.5</v>
      </c>
      <c r="AA5" s="17">
        <v>0.5</v>
      </c>
      <c r="AB5" s="17">
        <v>0.5</v>
      </c>
      <c r="AC5" s="17">
        <v>0.5</v>
      </c>
      <c r="AD5" s="17">
        <v>0.5</v>
      </c>
      <c r="AE5" s="17">
        <v>0.5</v>
      </c>
      <c r="AF5" s="17">
        <v>0.5</v>
      </c>
      <c r="AG5" s="17">
        <v>0.5</v>
      </c>
      <c r="AH5" s="17">
        <v>0.5</v>
      </c>
      <c r="AI5" s="17">
        <v>0.5</v>
      </c>
      <c r="AJ5" s="17">
        <v>0.5</v>
      </c>
      <c r="AK5" s="17">
        <v>0.5</v>
      </c>
      <c r="AL5" s="17">
        <v>0.5</v>
      </c>
      <c r="AM5" s="17">
        <v>0.5</v>
      </c>
      <c r="AN5" s="17">
        <v>0.5</v>
      </c>
      <c r="AO5" s="17">
        <v>0.5</v>
      </c>
      <c r="AP5" s="17">
        <v>0.5</v>
      </c>
      <c r="AQ5" s="17">
        <v>0.5</v>
      </c>
      <c r="AR5" s="17">
        <v>0.5</v>
      </c>
      <c r="AS5" s="17">
        <v>1</v>
      </c>
      <c r="AT5" s="17">
        <v>1</v>
      </c>
      <c r="AU5" s="17">
        <v>1</v>
      </c>
      <c r="AV5" s="17">
        <v>1</v>
      </c>
      <c r="AW5" s="17">
        <v>1</v>
      </c>
      <c r="AX5" s="17">
        <v>1</v>
      </c>
      <c r="AY5" s="17">
        <v>1</v>
      </c>
      <c r="AZ5" s="17">
        <v>1</v>
      </c>
      <c r="BA5" s="17">
        <v>1</v>
      </c>
      <c r="BB5" s="17">
        <v>1</v>
      </c>
      <c r="BC5" s="17">
        <v>1</v>
      </c>
      <c r="BD5" s="17">
        <v>1</v>
      </c>
      <c r="BE5" s="17">
        <v>1</v>
      </c>
      <c r="BF5" s="17">
        <v>1</v>
      </c>
      <c r="BG5" s="17">
        <v>1</v>
      </c>
      <c r="BH5" s="17">
        <v>0.5</v>
      </c>
      <c r="BI5" s="17">
        <v>0.5</v>
      </c>
      <c r="BJ5" s="17">
        <v>0.5</v>
      </c>
      <c r="BK5" s="17">
        <v>0.5</v>
      </c>
      <c r="BL5" s="17">
        <v>0.5</v>
      </c>
      <c r="BM5" s="17">
        <v>0.5</v>
      </c>
      <c r="BN5" s="17">
        <v>0.5</v>
      </c>
      <c r="BO5" s="17">
        <v>0.5</v>
      </c>
      <c r="BP5" s="17">
        <v>0.5</v>
      </c>
      <c r="BQ5" s="17">
        <v>0.5</v>
      </c>
      <c r="BR5" s="17">
        <v>0.5</v>
      </c>
      <c r="BS5" s="17">
        <v>0.5</v>
      </c>
      <c r="BY5" s="11" t="s">
        <v>70</v>
      </c>
      <c r="BZ5" s="13">
        <v>0.5</v>
      </c>
      <c r="CA5" s="14">
        <v>0.5</v>
      </c>
      <c r="CB5" s="14">
        <v>1</v>
      </c>
      <c r="CC5" s="49"/>
      <c r="CD5" s="49"/>
      <c r="CE5" s="14">
        <v>0.5</v>
      </c>
      <c r="CF5" s="14">
        <v>1</v>
      </c>
      <c r="CG5" s="30" t="s">
        <v>82</v>
      </c>
      <c r="CH5" s="30" t="s">
        <v>82</v>
      </c>
      <c r="CI5" s="30" t="s">
        <v>84</v>
      </c>
      <c r="CJ5" s="21"/>
      <c r="CK5" s="13">
        <v>0.5</v>
      </c>
      <c r="CL5" s="13">
        <v>1</v>
      </c>
      <c r="CM5" s="13">
        <v>1</v>
      </c>
      <c r="CN5" s="49"/>
      <c r="CO5" s="5"/>
      <c r="CP5" s="38" t="s">
        <v>82</v>
      </c>
      <c r="CQ5" s="38" t="s">
        <v>84</v>
      </c>
      <c r="CR5" s="21"/>
    </row>
    <row r="6" spans="1:130">
      <c r="A6" s="3" t="s">
        <v>65</v>
      </c>
      <c r="B6" s="2" t="s">
        <v>72</v>
      </c>
      <c r="C6" s="2" t="s">
        <v>72</v>
      </c>
      <c r="D6" s="2" t="s">
        <v>72</v>
      </c>
      <c r="E6" s="2" t="s">
        <v>72</v>
      </c>
      <c r="F6" s="2" t="s">
        <v>72</v>
      </c>
      <c r="G6" s="2" t="s">
        <v>72</v>
      </c>
      <c r="H6" s="2" t="s">
        <v>72</v>
      </c>
      <c r="I6" s="2" t="s">
        <v>72</v>
      </c>
      <c r="J6" s="2" t="s">
        <v>72</v>
      </c>
      <c r="K6" s="2" t="s">
        <v>72</v>
      </c>
      <c r="L6" s="2" t="s">
        <v>72</v>
      </c>
      <c r="M6" s="2" t="s">
        <v>72</v>
      </c>
      <c r="N6" s="2" t="s">
        <v>72</v>
      </c>
      <c r="O6" s="2" t="s">
        <v>72</v>
      </c>
      <c r="P6" s="2" t="s">
        <v>72</v>
      </c>
      <c r="Q6" s="2" t="s">
        <v>72</v>
      </c>
      <c r="R6" s="2" t="s">
        <v>72</v>
      </c>
      <c r="S6" s="2" t="s">
        <v>72</v>
      </c>
      <c r="T6" s="2" t="s">
        <v>72</v>
      </c>
      <c r="U6" s="2" t="s">
        <v>72</v>
      </c>
      <c r="V6" s="2" t="s">
        <v>72</v>
      </c>
      <c r="W6" s="2" t="s">
        <v>72</v>
      </c>
      <c r="X6" s="2" t="s">
        <v>72</v>
      </c>
      <c r="Y6" s="2" t="s">
        <v>72</v>
      </c>
      <c r="Z6" s="2" t="s">
        <v>72</v>
      </c>
      <c r="AA6" s="2" t="s">
        <v>72</v>
      </c>
      <c r="AB6" s="2" t="s">
        <v>72</v>
      </c>
      <c r="AC6" s="2" t="s">
        <v>72</v>
      </c>
      <c r="AD6" s="2" t="s">
        <v>72</v>
      </c>
      <c r="AE6" s="2" t="s">
        <v>72</v>
      </c>
      <c r="AF6" s="2" t="s">
        <v>72</v>
      </c>
      <c r="AG6" s="2" t="s">
        <v>72</v>
      </c>
      <c r="AH6" s="2" t="s">
        <v>72</v>
      </c>
      <c r="AI6" s="2" t="s">
        <v>72</v>
      </c>
      <c r="AJ6" s="2" t="s">
        <v>72</v>
      </c>
      <c r="AK6" s="2" t="s">
        <v>72</v>
      </c>
      <c r="AL6" s="2" t="s">
        <v>72</v>
      </c>
      <c r="AM6" s="2" t="s">
        <v>72</v>
      </c>
      <c r="AN6" s="2" t="s">
        <v>72</v>
      </c>
      <c r="AO6" s="2" t="s">
        <v>72</v>
      </c>
      <c r="AP6" s="2" t="s">
        <v>72</v>
      </c>
      <c r="AQ6" s="2" t="s">
        <v>72</v>
      </c>
      <c r="AR6" s="2" t="s">
        <v>72</v>
      </c>
      <c r="AS6" s="2" t="s">
        <v>72</v>
      </c>
      <c r="AT6" s="2" t="s">
        <v>72</v>
      </c>
      <c r="AU6" s="2" t="s">
        <v>72</v>
      </c>
      <c r="AV6" s="2" t="s">
        <v>74</v>
      </c>
      <c r="AW6" s="2" t="s">
        <v>74</v>
      </c>
      <c r="AX6" s="2" t="s">
        <v>74</v>
      </c>
      <c r="AY6" s="2" t="s">
        <v>74</v>
      </c>
      <c r="AZ6" s="2" t="s">
        <v>74</v>
      </c>
      <c r="BA6" s="2" t="s">
        <v>74</v>
      </c>
      <c r="BB6" s="2" t="s">
        <v>74</v>
      </c>
      <c r="BC6" s="2" t="s">
        <v>74</v>
      </c>
      <c r="BD6" s="2"/>
      <c r="BE6" s="2"/>
      <c r="BF6" s="2"/>
      <c r="BG6" s="2"/>
      <c r="BH6" s="2"/>
      <c r="BI6" s="2"/>
      <c r="BJ6" s="2"/>
      <c r="BK6" s="2"/>
      <c r="BL6" s="2"/>
      <c r="BM6" s="2"/>
      <c r="BN6" s="2"/>
      <c r="BO6" s="2"/>
      <c r="BP6" s="2"/>
      <c r="BQ6" s="2"/>
      <c r="BR6" s="2"/>
      <c r="BS6" s="2"/>
      <c r="BY6" s="11" t="s">
        <v>71</v>
      </c>
      <c r="BZ6" s="15" t="s">
        <v>72</v>
      </c>
      <c r="CA6" s="16" t="s">
        <v>72</v>
      </c>
      <c r="CB6" s="16" t="s">
        <v>72</v>
      </c>
      <c r="CC6" s="50"/>
      <c r="CD6" s="50"/>
      <c r="CE6" s="16" t="s">
        <v>72</v>
      </c>
      <c r="CF6" s="16" t="s">
        <v>72</v>
      </c>
      <c r="CG6" s="45" t="s">
        <v>144</v>
      </c>
      <c r="CH6" s="45" t="s">
        <v>144</v>
      </c>
      <c r="CI6" s="45" t="s">
        <v>145</v>
      </c>
      <c r="CJ6" s="21"/>
      <c r="CK6" s="15" t="s">
        <v>72</v>
      </c>
      <c r="CL6" s="15" t="s">
        <v>72</v>
      </c>
      <c r="CM6" s="23" t="s">
        <v>74</v>
      </c>
      <c r="CN6" s="50"/>
      <c r="CO6" s="5"/>
      <c r="CP6" s="46" t="s">
        <v>146</v>
      </c>
      <c r="CQ6" s="46" t="s">
        <v>147</v>
      </c>
      <c r="CR6" s="21"/>
    </row>
    <row r="7" spans="1:130">
      <c r="A7" t="s">
        <v>0</v>
      </c>
      <c r="B7" t="s">
        <v>62</v>
      </c>
      <c r="C7" t="s">
        <v>21</v>
      </c>
      <c r="D7" t="s">
        <v>2</v>
      </c>
      <c r="E7" t="s">
        <v>1</v>
      </c>
      <c r="F7" t="s">
        <v>3</v>
      </c>
      <c r="G7" t="s">
        <v>35</v>
      </c>
      <c r="H7" t="s">
        <v>22</v>
      </c>
      <c r="I7" t="s">
        <v>4</v>
      </c>
      <c r="J7" t="s">
        <v>6</v>
      </c>
      <c r="K7" t="s">
        <v>5</v>
      </c>
      <c r="L7" t="s">
        <v>7</v>
      </c>
      <c r="M7" t="s">
        <v>8</v>
      </c>
      <c r="N7" t="s">
        <v>9</v>
      </c>
      <c r="O7" t="s">
        <v>23</v>
      </c>
      <c r="P7" t="s">
        <v>24</v>
      </c>
      <c r="Q7" t="s">
        <v>13</v>
      </c>
      <c r="R7" t="s">
        <v>11</v>
      </c>
      <c r="S7" t="s">
        <v>14</v>
      </c>
      <c r="T7" t="s">
        <v>28</v>
      </c>
      <c r="U7" t="s">
        <v>27</v>
      </c>
      <c r="V7" t="s">
        <v>16</v>
      </c>
      <c r="W7" t="s">
        <v>15</v>
      </c>
      <c r="X7" t="s">
        <v>32</v>
      </c>
      <c r="Y7" t="s">
        <v>25</v>
      </c>
      <c r="Z7" t="s">
        <v>20</v>
      </c>
      <c r="AA7" t="s">
        <v>34</v>
      </c>
      <c r="AB7" t="s">
        <v>19</v>
      </c>
      <c r="AC7" t="s">
        <v>52</v>
      </c>
      <c r="AD7" t="s">
        <v>29</v>
      </c>
      <c r="AE7" t="s">
        <v>43</v>
      </c>
      <c r="AF7" t="s">
        <v>17</v>
      </c>
      <c r="AG7" t="s">
        <v>18</v>
      </c>
      <c r="AH7" t="s">
        <v>26</v>
      </c>
      <c r="AI7" t="s">
        <v>33</v>
      </c>
      <c r="AJ7" t="s">
        <v>45</v>
      </c>
      <c r="AK7" t="s">
        <v>44</v>
      </c>
      <c r="AL7" t="s">
        <v>54</v>
      </c>
      <c r="AM7" t="s">
        <v>55</v>
      </c>
      <c r="AN7" t="s">
        <v>38</v>
      </c>
      <c r="AO7" t="s">
        <v>10</v>
      </c>
      <c r="AP7" t="s">
        <v>37</v>
      </c>
      <c r="AQ7" t="s">
        <v>39</v>
      </c>
      <c r="AR7" t="s">
        <v>53</v>
      </c>
      <c r="AS7" t="s">
        <v>42</v>
      </c>
      <c r="AT7" t="s">
        <v>40</v>
      </c>
      <c r="AU7" t="s">
        <v>41</v>
      </c>
      <c r="AV7" t="s">
        <v>56</v>
      </c>
      <c r="AW7" t="s">
        <v>30</v>
      </c>
      <c r="AX7" t="s">
        <v>46</v>
      </c>
      <c r="AY7" t="s">
        <v>47</v>
      </c>
      <c r="AZ7" t="s">
        <v>51</v>
      </c>
      <c r="BA7" t="s">
        <v>50</v>
      </c>
      <c r="BB7" t="s">
        <v>48</v>
      </c>
      <c r="BC7" t="s">
        <v>49</v>
      </c>
      <c r="BD7" t="s">
        <v>301</v>
      </c>
      <c r="BE7" t="s">
        <v>302</v>
      </c>
      <c r="BF7" t="s">
        <v>303</v>
      </c>
      <c r="BG7" t="s">
        <v>304</v>
      </c>
      <c r="BH7" s="225">
        <v>40939</v>
      </c>
      <c r="BI7" s="225">
        <v>40967</v>
      </c>
      <c r="BJ7" s="225">
        <v>40999</v>
      </c>
      <c r="BK7" s="225">
        <v>41029</v>
      </c>
      <c r="BL7" s="225">
        <v>41060</v>
      </c>
      <c r="BM7" s="225">
        <v>41090</v>
      </c>
      <c r="BN7" s="225">
        <v>41121</v>
      </c>
      <c r="BO7" s="225">
        <v>41152</v>
      </c>
      <c r="BP7" s="225">
        <v>41182</v>
      </c>
      <c r="BQ7" s="225">
        <v>41213</v>
      </c>
      <c r="BR7" s="225">
        <v>41243</v>
      </c>
      <c r="BS7" s="225">
        <v>41274</v>
      </c>
      <c r="BT7" t="s">
        <v>63</v>
      </c>
      <c r="BV7" s="9" t="s">
        <v>64</v>
      </c>
      <c r="BW7" s="11" t="s">
        <v>67</v>
      </c>
      <c r="BX7" s="11"/>
      <c r="CC7" s="7"/>
      <c r="CD7" s="7"/>
      <c r="CG7" s="31"/>
      <c r="CH7" s="30"/>
      <c r="CI7" s="31"/>
      <c r="CJ7" s="21"/>
      <c r="CN7" s="7"/>
      <c r="CO7" s="5"/>
      <c r="CP7" s="31"/>
      <c r="CQ7" s="31"/>
      <c r="CR7" s="21"/>
    </row>
    <row r="8" spans="1:130">
      <c r="A8" t="s">
        <v>12</v>
      </c>
      <c r="B8" s="9"/>
      <c r="C8" s="9"/>
      <c r="D8" s="9"/>
      <c r="E8" s="9"/>
      <c r="F8" s="9"/>
      <c r="G8" s="9"/>
      <c r="H8" s="9"/>
      <c r="I8" s="9"/>
      <c r="J8" s="9"/>
      <c r="K8" s="9"/>
      <c r="L8" s="9"/>
      <c r="M8" s="9"/>
      <c r="N8" s="9"/>
      <c r="O8" s="9"/>
      <c r="P8" s="9"/>
      <c r="Q8" s="9">
        <v>-9560240</v>
      </c>
      <c r="R8" s="9"/>
      <c r="S8" s="9"/>
      <c r="T8" s="9"/>
      <c r="U8" s="9">
        <v>-8730962.870000001</v>
      </c>
      <c r="V8" s="9">
        <v>-918502.88</v>
      </c>
      <c r="W8" s="9">
        <v>-50851.18</v>
      </c>
      <c r="X8" s="9">
        <v>-399118.37</v>
      </c>
      <c r="Y8" s="9">
        <v>13073.4</v>
      </c>
      <c r="Z8" s="9">
        <v>109373.57</v>
      </c>
      <c r="AA8" s="9">
        <v>10089.459999999999</v>
      </c>
      <c r="AB8" s="9"/>
      <c r="AC8" s="9">
        <v>-255466.56</v>
      </c>
      <c r="AD8" s="9">
        <v>-35049.26</v>
      </c>
      <c r="AE8" s="9"/>
      <c r="AF8" s="9"/>
      <c r="AG8" s="9"/>
      <c r="AH8" s="9"/>
      <c r="AI8" s="9"/>
      <c r="AJ8" s="9"/>
      <c r="AK8" s="9"/>
      <c r="AL8" s="9"/>
      <c r="AM8" s="9"/>
      <c r="AN8" s="9"/>
      <c r="AO8" s="9"/>
      <c r="AP8" s="9"/>
      <c r="AQ8" s="9"/>
      <c r="AR8" s="9"/>
      <c r="AS8" s="9">
        <v>-670027.01</v>
      </c>
      <c r="AT8" s="9"/>
      <c r="AU8" s="9"/>
      <c r="AV8" s="9"/>
      <c r="AW8" s="9"/>
      <c r="AX8" s="9"/>
      <c r="AY8" s="9"/>
      <c r="AZ8" s="9">
        <v>-18838.41</v>
      </c>
      <c r="BA8" s="9"/>
      <c r="BB8" s="9"/>
      <c r="BC8" s="9"/>
      <c r="BD8" s="9"/>
      <c r="BE8" s="9"/>
      <c r="BF8" s="9"/>
      <c r="BG8" s="9"/>
      <c r="BH8" s="9"/>
      <c r="BI8" s="9"/>
      <c r="BJ8" s="9"/>
      <c r="BK8" s="9"/>
      <c r="BL8" s="9"/>
      <c r="BM8" s="9"/>
      <c r="BN8" s="9"/>
      <c r="BO8" s="9"/>
      <c r="BP8" s="9"/>
      <c r="BQ8" s="9"/>
      <c r="BR8" s="9"/>
      <c r="BS8" s="9"/>
      <c r="BT8" s="9">
        <f>SUM(B8:BS8)</f>
        <v>-20506520.110000003</v>
      </c>
      <c r="BV8" s="9">
        <f>SUM(B8:AI8)</f>
        <v>-19817654.690000001</v>
      </c>
      <c r="BW8" s="9">
        <f>BT8-BV8</f>
        <v>-688865.42000000179</v>
      </c>
      <c r="BZ8" s="9">
        <f>BX46+BV8</f>
        <v>-5412.8900000080466</v>
      </c>
      <c r="CA8" s="9">
        <f>SUM(AJ46:AR46)</f>
        <v>675439.89999999991</v>
      </c>
      <c r="CB8" s="9">
        <f>SUM(AS46:AU46)</f>
        <v>791.91</v>
      </c>
      <c r="CC8" s="7">
        <f>SUM(BZ8:CB8)</f>
        <v>670818.91999999189</v>
      </c>
      <c r="CD8" s="7">
        <f>SUM(AJ8:AU8)</f>
        <v>-670027.01</v>
      </c>
      <c r="CE8" s="9">
        <f>SUMIFS($B8:$BC8,$B$4:$BC$4,$BZ$2,$B$5:$BC$5,CE$5)</f>
        <v>0</v>
      </c>
      <c r="CF8" s="9">
        <f>SUMIFS($B8:$BC8,$B$4:$BC$4,$BZ$2,$B$5:$BC$5,CF$5)</f>
        <v>-670027.01</v>
      </c>
      <c r="CG8" s="32">
        <f>IF(BZ8&gt;=-CE8,MIN(BZ8,-CE8),IF(SUM(BZ8:CA8)&gt;=-CE8,MIN(SUM(BZ8:CA8),-CE8),0))</f>
        <v>0</v>
      </c>
      <c r="CH8" s="32">
        <f t="shared" ref="CH8" si="2">IF(CD8=0,0,SUM(BZ8:CA8)-CG8)</f>
        <v>670027.00999999186</v>
      </c>
      <c r="CI8" s="32">
        <f t="shared" ref="CI8" si="3">-SUM(CG8:CH8)-CD8</f>
        <v>8.149072527885437E-9</v>
      </c>
      <c r="CJ8" s="22"/>
      <c r="CK8" s="9">
        <f>SUM(BZ8:CA8)-SUM(CG8:CH8)</f>
        <v>0</v>
      </c>
      <c r="CL8" s="9">
        <f>CB8-CI8</f>
        <v>791.9099999918509</v>
      </c>
      <c r="CM8" s="9">
        <f>SUM(AV46:BG46)</f>
        <v>18046.5</v>
      </c>
      <c r="CN8" s="7">
        <f>SUM(CK8:CM8)</f>
        <v>18838.409999991851</v>
      </c>
      <c r="CO8" s="7">
        <f>SUM(AV8:BG8)</f>
        <v>-18838.41</v>
      </c>
      <c r="CP8" s="32">
        <f>IF(CK8&lt;-CO8,CK8,0)</f>
        <v>0</v>
      </c>
      <c r="CQ8" s="32">
        <f>-CO8-CP8</f>
        <v>18838.41</v>
      </c>
      <c r="CR8" s="21"/>
      <c r="CS8" s="9">
        <f>SUM(CN8:CO8)</f>
        <v>-8.149072527885437E-9</v>
      </c>
      <c r="CT8" s="9">
        <f>SUM(BH46:BS46)</f>
        <v>0</v>
      </c>
      <c r="CU8" s="9">
        <f>SUM(CS8:CT8)</f>
        <v>-8.149072527885437E-9</v>
      </c>
      <c r="CV8" s="9">
        <f t="shared" ref="CV8" si="4">-SUM(BH8:BS8)</f>
        <v>0</v>
      </c>
    </row>
    <row r="9" spans="1:130">
      <c r="A9" t="s">
        <v>31</v>
      </c>
      <c r="B9" s="9"/>
      <c r="C9" s="9"/>
      <c r="D9" s="9"/>
      <c r="E9" s="9"/>
      <c r="F9" s="9"/>
      <c r="G9" s="9"/>
      <c r="H9" s="9"/>
      <c r="I9" s="9"/>
      <c r="J9" s="9"/>
      <c r="K9" s="9"/>
      <c r="L9" s="9"/>
      <c r="M9" s="9"/>
      <c r="N9" s="9"/>
      <c r="O9" s="9"/>
      <c r="P9" s="9"/>
      <c r="Q9" s="9">
        <v>-4187682</v>
      </c>
      <c r="R9" s="9"/>
      <c r="S9" s="9"/>
      <c r="T9" s="9"/>
      <c r="U9" s="9">
        <v>-5268871.05</v>
      </c>
      <c r="V9" s="9">
        <v>-16482707.93</v>
      </c>
      <c r="W9" s="9">
        <v>-2611900.1</v>
      </c>
      <c r="X9" s="9">
        <v>-1698569.12</v>
      </c>
      <c r="Y9" s="9">
        <v>-64643.25</v>
      </c>
      <c r="Z9" s="9">
        <v>110173.21</v>
      </c>
      <c r="AA9" s="9">
        <v>-366704.34</v>
      </c>
      <c r="AB9" s="9"/>
      <c r="AC9" s="9">
        <v>113313.69</v>
      </c>
      <c r="AD9" s="9">
        <v>-29886.78</v>
      </c>
      <c r="AE9" s="9"/>
      <c r="AF9" s="9">
        <v>-154089.76</v>
      </c>
      <c r="AG9" s="9">
        <v>-246508.34</v>
      </c>
      <c r="AH9" s="9">
        <v>-31553.17</v>
      </c>
      <c r="AI9" s="9">
        <v>-5620.35</v>
      </c>
      <c r="AJ9" s="9">
        <v>-4128.67</v>
      </c>
      <c r="AK9" s="9">
        <v>-208.45</v>
      </c>
      <c r="AL9" s="9"/>
      <c r="AM9" s="9">
        <v>-31520.5</v>
      </c>
      <c r="AN9" s="9">
        <v>-2206.83</v>
      </c>
      <c r="AO9" s="9">
        <v>-4074.87</v>
      </c>
      <c r="AP9" s="9">
        <v>-11204.41</v>
      </c>
      <c r="AQ9" s="9"/>
      <c r="AR9" s="9">
        <v>-330037.25</v>
      </c>
      <c r="AS9" s="9">
        <v>-52900.19</v>
      </c>
      <c r="AT9" s="9"/>
      <c r="AU9" s="9">
        <v>-54606.11</v>
      </c>
      <c r="AV9" s="9">
        <v>49598.2</v>
      </c>
      <c r="AW9" s="9"/>
      <c r="AX9" s="9"/>
      <c r="AY9" s="9">
        <v>3250.77</v>
      </c>
      <c r="AZ9" s="9"/>
      <c r="BA9" s="9"/>
      <c r="BB9" s="9"/>
      <c r="BC9" s="9"/>
      <c r="BD9" s="9"/>
      <c r="BE9" s="9"/>
      <c r="BF9" s="9"/>
      <c r="BG9" s="9"/>
      <c r="BH9" s="9"/>
      <c r="BI9" s="9"/>
      <c r="BJ9" s="9"/>
      <c r="BK9" s="9"/>
      <c r="BL9" s="9"/>
      <c r="BM9" s="9">
        <v>5125.34</v>
      </c>
      <c r="BN9" s="9"/>
      <c r="BO9" s="9"/>
      <c r="BP9" s="9"/>
      <c r="BQ9" s="9"/>
      <c r="BR9" s="9"/>
      <c r="BS9" s="9"/>
      <c r="BT9" s="9">
        <f t="shared" ref="BT9:BT38" si="5">SUM(B9:BS9)</f>
        <v>-31358162.260000009</v>
      </c>
      <c r="BV9" s="9">
        <f t="shared" ref="BV9:BV38" si="6">SUM(B9:AI9)</f>
        <v>-30925249.290000007</v>
      </c>
      <c r="BW9" s="9">
        <f t="shared" ref="BW9:BW38" si="7">BT9-BV9</f>
        <v>-432912.97000000253</v>
      </c>
      <c r="BZ9" s="9">
        <f t="shared" ref="BZ9:BZ38" si="8">BX47+BV9</f>
        <v>4128.6699999943376</v>
      </c>
      <c r="CA9" s="9">
        <f t="shared" ref="CA9:CA38" si="9">SUM(AJ47:AR47)</f>
        <v>432152.5</v>
      </c>
      <c r="CB9" s="9">
        <f t="shared" ref="CB9:CB38" si="10">SUM(AS47:AU47)</f>
        <v>5007.91</v>
      </c>
      <c r="CC9" s="7">
        <f t="shared" ref="CC9:CC38" si="11">SUM(BZ9:CB9)</f>
        <v>441289.07999999431</v>
      </c>
      <c r="CD9" s="7">
        <f t="shared" ref="CD9:CD38" si="12">SUM(AJ9:AU9)</f>
        <v>-490887.27999999997</v>
      </c>
      <c r="CE9" s="9">
        <f t="shared" ref="CE9:CF38" si="13">SUMIFS($B9:$BC9,$B$4:$BC$4,$BZ$2,$B$5:$BC$5,CE$5)</f>
        <v>-383380.98</v>
      </c>
      <c r="CF9" s="9">
        <f t="shared" si="13"/>
        <v>-107506.3</v>
      </c>
      <c r="CG9" s="32">
        <f t="shared" ref="CG9:CG38" si="14">IF(BZ9&gt;=-CE9,MIN(BZ9,-CE9),IF(SUM(BZ9:CA9)&gt;=-CE9,MIN(SUM(BZ9:CA9),-CE9),0))</f>
        <v>383380.98</v>
      </c>
      <c r="CH9" s="32">
        <f t="shared" ref="CH9:CH38" si="15">IF(CD9=0,0,SUM(BZ9:CA9)-CG9)</f>
        <v>52900.189999994356</v>
      </c>
      <c r="CI9" s="32">
        <f t="shared" ref="CI9:CI38" si="16">-SUM(CG9:CH9)-CD9</f>
        <v>54606.110000005632</v>
      </c>
      <c r="CJ9" s="22"/>
      <c r="CK9" s="9">
        <f t="shared" ref="CK9:CK38" si="17">SUM(BZ9:CA9)-SUM(CG9:CH9)</f>
        <v>0</v>
      </c>
      <c r="CL9" s="9">
        <f t="shared" ref="CL9:CL38" si="18">CB9-CI9</f>
        <v>-49598.200000005629</v>
      </c>
      <c r="CM9" s="9">
        <f t="shared" ref="CM9:CM38" si="19">SUM(AV47:BG47)</f>
        <v>-3250.77</v>
      </c>
      <c r="CN9" s="7">
        <f t="shared" ref="CN9:CN38" si="20">SUM(CK9:CM9)</f>
        <v>-52848.970000005625</v>
      </c>
      <c r="CO9" s="7">
        <f t="shared" ref="CO9:CO38" si="21">SUM(AV9:BG9)</f>
        <v>52848.969999999994</v>
      </c>
      <c r="CP9" s="32">
        <f t="shared" ref="CP9:CP38" si="22">IF(CK9&lt;-CO9,CK9,0)</f>
        <v>0</v>
      </c>
      <c r="CQ9" s="32">
        <f t="shared" ref="CQ9:CQ38" si="23">-CO9-CP9</f>
        <v>-52848.969999999994</v>
      </c>
      <c r="CR9" s="21"/>
      <c r="CS9" s="9">
        <f t="shared" ref="CS9:CS38" si="24">SUM(CN9:CO9)</f>
        <v>-5.6315911933779716E-9</v>
      </c>
      <c r="CT9" s="9">
        <f t="shared" ref="CT9:CT38" si="25">SUM(BH47:BS47)</f>
        <v>-5125.34</v>
      </c>
      <c r="CU9" s="9">
        <f t="shared" ref="CU9:CU38" si="26">SUM(CS9:CT9)</f>
        <v>-5125.3400000056317</v>
      </c>
      <c r="CV9" s="9">
        <f t="shared" ref="CV9:CV38" si="27">-SUM(BH9:BS9)</f>
        <v>-5125.34</v>
      </c>
    </row>
    <row r="10" spans="1:130" s="5" customFormat="1">
      <c r="A10" s="5" t="s">
        <v>36</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v>-5817529.0499999998</v>
      </c>
      <c r="AF10" s="7"/>
      <c r="AG10" s="7"/>
      <c r="AH10" s="7"/>
      <c r="AI10" s="7"/>
      <c r="AJ10" s="7"/>
      <c r="AK10" s="7"/>
      <c r="AL10" s="7"/>
      <c r="AM10" s="7"/>
      <c r="AN10" s="7"/>
      <c r="AO10" s="7"/>
      <c r="AP10" s="7">
        <v>-10750282.300000001</v>
      </c>
      <c r="AQ10" s="7"/>
      <c r="AR10" s="7"/>
      <c r="AS10" s="7">
        <v>-3856680.37</v>
      </c>
      <c r="AT10" s="7">
        <v>-20371763.529999997</v>
      </c>
      <c r="AU10" s="7"/>
      <c r="AV10" s="7"/>
      <c r="AW10" s="7"/>
      <c r="AX10" s="7"/>
      <c r="AY10" s="7"/>
      <c r="AZ10" s="7">
        <v>-890810.94</v>
      </c>
      <c r="BA10" s="7"/>
      <c r="BB10" s="7"/>
      <c r="BC10" s="7"/>
      <c r="BD10" s="7">
        <v>-300939.62</v>
      </c>
      <c r="BE10" s="7"/>
      <c r="BF10" s="7">
        <v>-19045.150000000001</v>
      </c>
      <c r="BG10" s="7">
        <v>-4750.3999999999996</v>
      </c>
      <c r="BH10" s="7">
        <v>-17893.23</v>
      </c>
      <c r="BI10" s="7">
        <v>-78998.58</v>
      </c>
      <c r="BJ10" s="7">
        <v>-24731.79</v>
      </c>
      <c r="BK10" s="7">
        <v>47635.62</v>
      </c>
      <c r="BL10" s="7"/>
      <c r="BM10" s="7">
        <v>68743.839999999997</v>
      </c>
      <c r="BN10" s="7">
        <v>-11121.86</v>
      </c>
      <c r="BO10" s="7"/>
      <c r="BP10" s="7"/>
      <c r="BQ10" s="7"/>
      <c r="BR10" s="7"/>
      <c r="BS10" s="7"/>
      <c r="BT10" s="9">
        <f t="shared" si="5"/>
        <v>-42028167.359999985</v>
      </c>
      <c r="BV10" s="9">
        <f t="shared" si="6"/>
        <v>-5817529.0499999998</v>
      </c>
      <c r="BW10" s="7">
        <f t="shared" si="7"/>
        <v>-36210638.309999987</v>
      </c>
      <c r="BX10" s="7"/>
      <c r="BY10" s="7"/>
      <c r="BZ10" s="9">
        <f t="shared" si="8"/>
        <v>10246422.18</v>
      </c>
      <c r="CA10" s="9">
        <f t="shared" si="9"/>
        <v>21047460.850000001</v>
      </c>
      <c r="CB10" s="9">
        <f t="shared" si="10"/>
        <v>4888682.3399999989</v>
      </c>
      <c r="CC10" s="7">
        <f t="shared" si="11"/>
        <v>36182565.369999997</v>
      </c>
      <c r="CD10" s="7">
        <f t="shared" si="12"/>
        <v>-34978726.200000003</v>
      </c>
      <c r="CE10" s="9">
        <f t="shared" si="13"/>
        <v>-10750282.300000001</v>
      </c>
      <c r="CF10" s="9">
        <f t="shared" si="13"/>
        <v>-24228443.899999999</v>
      </c>
      <c r="CG10" s="32">
        <f t="shared" si="14"/>
        <v>10750282.300000001</v>
      </c>
      <c r="CH10" s="32">
        <f t="shared" si="15"/>
        <v>20543600.73</v>
      </c>
      <c r="CI10" s="32">
        <f t="shared" si="16"/>
        <v>3684843.1700000018</v>
      </c>
      <c r="CJ10" s="22"/>
      <c r="CK10" s="9">
        <f t="shared" si="17"/>
        <v>0</v>
      </c>
      <c r="CL10" s="9">
        <f t="shared" si="18"/>
        <v>1203839.1699999971</v>
      </c>
      <c r="CM10" s="9">
        <f t="shared" si="19"/>
        <v>52629.409999999763</v>
      </c>
      <c r="CN10" s="7">
        <f t="shared" si="20"/>
        <v>1256468.5799999968</v>
      </c>
      <c r="CO10" s="7">
        <f t="shared" si="21"/>
        <v>-1215546.1099999999</v>
      </c>
      <c r="CP10" s="32">
        <f t="shared" si="22"/>
        <v>0</v>
      </c>
      <c r="CQ10" s="32">
        <f t="shared" si="23"/>
        <v>1215546.1099999999</v>
      </c>
      <c r="CR10" s="21"/>
      <c r="CS10" s="9">
        <f t="shared" si="24"/>
        <v>40922.469999996945</v>
      </c>
      <c r="CT10" s="9">
        <f t="shared" si="25"/>
        <v>-37068.079999999994</v>
      </c>
      <c r="CU10" s="9">
        <f t="shared" si="26"/>
        <v>3854.3899999969508</v>
      </c>
      <c r="CV10" s="9">
        <f t="shared" si="27"/>
        <v>16366.000000000015</v>
      </c>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row>
    <row r="11" spans="1:130">
      <c r="A11" s="10" t="s">
        <v>57</v>
      </c>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7">
        <v>-6216955.0899999999</v>
      </c>
      <c r="BD11" s="7">
        <v>-110789.52</v>
      </c>
      <c r="BE11" s="7"/>
      <c r="BF11" s="7">
        <v>-181184.54</v>
      </c>
      <c r="BG11" s="7">
        <v>3824.9</v>
      </c>
      <c r="BH11" s="7"/>
      <c r="BI11" s="7"/>
      <c r="BJ11" s="7">
        <v>-20142.810000000001</v>
      </c>
      <c r="BK11" s="7">
        <v>-201.04</v>
      </c>
      <c r="BL11" s="7"/>
      <c r="BM11" s="7">
        <v>36884.82</v>
      </c>
      <c r="BN11" s="7">
        <v>122287</v>
      </c>
      <c r="BO11" s="7"/>
      <c r="BP11" s="7"/>
      <c r="BQ11" s="7"/>
      <c r="BR11" s="7"/>
      <c r="BS11" s="7"/>
      <c r="BT11" s="9">
        <f t="shared" si="5"/>
        <v>-6366276.2799999984</v>
      </c>
      <c r="BV11" s="9">
        <f t="shared" si="6"/>
        <v>0</v>
      </c>
      <c r="BW11" s="9">
        <f t="shared" si="7"/>
        <v>-6366276.2799999984</v>
      </c>
      <c r="BZ11" s="9">
        <f t="shared" si="8"/>
        <v>35281.440000000002</v>
      </c>
      <c r="CA11" s="9">
        <f t="shared" si="9"/>
        <v>2552104.2899999986</v>
      </c>
      <c r="CB11" s="9">
        <f t="shared" si="10"/>
        <v>1324682.5299999996</v>
      </c>
      <c r="CC11" s="7">
        <f t="shared" si="11"/>
        <v>3912068.2599999979</v>
      </c>
      <c r="CD11" s="7">
        <f t="shared" si="12"/>
        <v>0</v>
      </c>
      <c r="CE11" s="9">
        <f t="shared" si="13"/>
        <v>0</v>
      </c>
      <c r="CF11" s="9">
        <f t="shared" si="13"/>
        <v>0</v>
      </c>
      <c r="CG11" s="32">
        <f t="shared" si="14"/>
        <v>0</v>
      </c>
      <c r="CH11" s="32">
        <f t="shared" si="15"/>
        <v>0</v>
      </c>
      <c r="CI11" s="32">
        <f t="shared" si="16"/>
        <v>0</v>
      </c>
      <c r="CJ11" s="22"/>
      <c r="CK11" s="9">
        <f t="shared" si="17"/>
        <v>2587385.7299999986</v>
      </c>
      <c r="CL11" s="9">
        <f t="shared" si="18"/>
        <v>1324682.5299999996</v>
      </c>
      <c r="CM11" s="9">
        <f t="shared" si="19"/>
        <v>2607563.75</v>
      </c>
      <c r="CN11" s="7">
        <f t="shared" si="20"/>
        <v>6519632.0099999979</v>
      </c>
      <c r="CO11" s="7">
        <f t="shared" si="21"/>
        <v>-6505104.2499999991</v>
      </c>
      <c r="CP11" s="32">
        <f t="shared" si="22"/>
        <v>2587385.7299999986</v>
      </c>
      <c r="CQ11" s="32">
        <f t="shared" si="23"/>
        <v>3917718.5200000005</v>
      </c>
      <c r="CR11" s="21"/>
      <c r="CS11" s="9">
        <f t="shared" si="24"/>
        <v>14527.759999998845</v>
      </c>
      <c r="CT11" s="9">
        <f t="shared" si="25"/>
        <v>-31068.730000000003</v>
      </c>
      <c r="CU11" s="9">
        <f t="shared" si="26"/>
        <v>-16540.970000001158</v>
      </c>
      <c r="CV11" s="9">
        <f t="shared" si="27"/>
        <v>-138827.97</v>
      </c>
    </row>
    <row r="12" spans="1:130">
      <c r="A12" s="70" t="s">
        <v>330</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7"/>
      <c r="BD12" s="7"/>
      <c r="BE12" s="7"/>
      <c r="BF12" s="7"/>
      <c r="BG12" s="7">
        <v>-173142.5</v>
      </c>
      <c r="BH12" s="7"/>
      <c r="BI12" s="7"/>
      <c r="BJ12" s="7">
        <v>-869.8</v>
      </c>
      <c r="BK12" s="7">
        <v>-902.04</v>
      </c>
      <c r="BL12" s="7"/>
      <c r="BM12" s="7"/>
      <c r="BN12" s="7">
        <v>-174914.34</v>
      </c>
      <c r="BO12" s="7"/>
      <c r="BP12" s="7"/>
      <c r="BQ12" s="7"/>
      <c r="BR12" s="7"/>
      <c r="BS12" s="7"/>
      <c r="BT12" s="9">
        <f t="shared" si="5"/>
        <v>-349828.68</v>
      </c>
      <c r="BV12" s="9">
        <f t="shared" si="6"/>
        <v>0</v>
      </c>
      <c r="BW12" s="9">
        <f t="shared" si="7"/>
        <v>-349828.68</v>
      </c>
      <c r="BZ12" s="9">
        <f t="shared" si="8"/>
        <v>0</v>
      </c>
      <c r="CA12" s="9">
        <f t="shared" si="9"/>
        <v>18154.439999999999</v>
      </c>
      <c r="CB12" s="9">
        <f t="shared" si="10"/>
        <v>3967.3700000000003</v>
      </c>
      <c r="CC12" s="7">
        <f t="shared" si="11"/>
        <v>22121.809999999998</v>
      </c>
      <c r="CD12" s="7">
        <f t="shared" si="12"/>
        <v>0</v>
      </c>
      <c r="CE12" s="9">
        <f t="shared" si="13"/>
        <v>0</v>
      </c>
      <c r="CF12" s="9">
        <f t="shared" si="13"/>
        <v>0</v>
      </c>
      <c r="CG12" s="32">
        <f t="shared" si="14"/>
        <v>0</v>
      </c>
      <c r="CH12" s="32">
        <f t="shared" si="15"/>
        <v>0</v>
      </c>
      <c r="CI12" s="32">
        <f t="shared" si="16"/>
        <v>0</v>
      </c>
      <c r="CJ12" s="22"/>
      <c r="CK12" s="9">
        <f t="shared" si="17"/>
        <v>18154.439999999999</v>
      </c>
      <c r="CL12" s="9">
        <f t="shared" si="18"/>
        <v>3967.3700000000003</v>
      </c>
      <c r="CM12" s="9">
        <f t="shared" si="19"/>
        <v>152274.53000000003</v>
      </c>
      <c r="CN12" s="7">
        <f t="shared" si="20"/>
        <v>174396.34000000003</v>
      </c>
      <c r="CO12" s="7">
        <f t="shared" si="21"/>
        <v>-173142.5</v>
      </c>
      <c r="CP12" s="32">
        <f t="shared" si="22"/>
        <v>18154.439999999999</v>
      </c>
      <c r="CQ12" s="32">
        <f t="shared" si="23"/>
        <v>154988.06</v>
      </c>
      <c r="CR12" s="21"/>
      <c r="CS12" s="9">
        <f t="shared" si="24"/>
        <v>1253.8400000000256</v>
      </c>
      <c r="CT12" s="9">
        <f t="shared" si="25"/>
        <v>518</v>
      </c>
      <c r="CU12" s="9">
        <f t="shared" si="26"/>
        <v>1771.8400000000256</v>
      </c>
      <c r="CV12" s="9">
        <f t="shared" si="27"/>
        <v>176686.18</v>
      </c>
    </row>
    <row r="13" spans="1:130">
      <c r="A13" s="70" t="s">
        <v>332</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7"/>
      <c r="BD13" s="7"/>
      <c r="BE13" s="7"/>
      <c r="BF13" s="7"/>
      <c r="BG13" s="7">
        <v>-136901.19</v>
      </c>
      <c r="BH13" s="7"/>
      <c r="BI13" s="7"/>
      <c r="BJ13" s="7">
        <v>-133.83000000000001</v>
      </c>
      <c r="BK13" s="7">
        <v>-726.99</v>
      </c>
      <c r="BL13" s="7"/>
      <c r="BM13" s="7"/>
      <c r="BN13" s="7"/>
      <c r="BO13" s="7"/>
      <c r="BP13" s="7"/>
      <c r="BQ13" s="7"/>
      <c r="BR13" s="7"/>
      <c r="BS13" s="7"/>
      <c r="BT13" s="9">
        <f t="shared" si="5"/>
        <v>-137762.00999999998</v>
      </c>
      <c r="BV13" s="9">
        <f t="shared" si="6"/>
        <v>0</v>
      </c>
      <c r="BW13" s="9">
        <f t="shared" si="7"/>
        <v>-137762.00999999998</v>
      </c>
      <c r="BZ13" s="9">
        <f t="shared" si="8"/>
        <v>0</v>
      </c>
      <c r="CA13" s="9">
        <f t="shared" si="9"/>
        <v>1107.51</v>
      </c>
      <c r="CB13" s="9">
        <f t="shared" si="10"/>
        <v>2552.39</v>
      </c>
      <c r="CC13" s="7">
        <f t="shared" si="11"/>
        <v>3659.8999999999996</v>
      </c>
      <c r="CD13" s="7">
        <f t="shared" si="12"/>
        <v>0</v>
      </c>
      <c r="CE13" s="9">
        <f t="shared" si="13"/>
        <v>0</v>
      </c>
      <c r="CF13" s="9">
        <f t="shared" si="13"/>
        <v>0</v>
      </c>
      <c r="CG13" s="32">
        <f t="shared" si="14"/>
        <v>0</v>
      </c>
      <c r="CH13" s="32">
        <f t="shared" si="15"/>
        <v>0</v>
      </c>
      <c r="CI13" s="32">
        <f t="shared" si="16"/>
        <v>0</v>
      </c>
      <c r="CJ13" s="22"/>
      <c r="CK13" s="9">
        <f t="shared" si="17"/>
        <v>1107.51</v>
      </c>
      <c r="CL13" s="9">
        <f t="shared" si="18"/>
        <v>2552.39</v>
      </c>
      <c r="CM13" s="9">
        <f t="shared" si="19"/>
        <v>133823.81000000003</v>
      </c>
      <c r="CN13" s="7">
        <f t="shared" si="20"/>
        <v>137483.71000000002</v>
      </c>
      <c r="CO13" s="7">
        <f t="shared" si="21"/>
        <v>-136901.19</v>
      </c>
      <c r="CP13" s="32">
        <f t="shared" si="22"/>
        <v>1107.51</v>
      </c>
      <c r="CQ13" s="32">
        <f t="shared" si="23"/>
        <v>135793.68</v>
      </c>
      <c r="CR13" s="21"/>
      <c r="CS13" s="9">
        <f t="shared" si="24"/>
        <v>582.52000000001863</v>
      </c>
      <c r="CT13" s="9">
        <f t="shared" si="25"/>
        <v>278.29999999999995</v>
      </c>
      <c r="CU13" s="9">
        <f t="shared" si="26"/>
        <v>860.82000000001858</v>
      </c>
      <c r="CV13" s="9">
        <f t="shared" si="27"/>
        <v>860.82</v>
      </c>
    </row>
    <row r="14" spans="1:130">
      <c r="A14" s="70" t="s">
        <v>305</v>
      </c>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7"/>
      <c r="BD14" s="7"/>
      <c r="BE14" s="7"/>
      <c r="BF14" s="7">
        <v>-249499.37</v>
      </c>
      <c r="BG14" s="7"/>
      <c r="BH14" s="7"/>
      <c r="BI14" s="7"/>
      <c r="BJ14" s="7">
        <v>2280</v>
      </c>
      <c r="BK14" s="7"/>
      <c r="BL14" s="7"/>
      <c r="BM14" s="7"/>
      <c r="BN14" s="7">
        <v>2280</v>
      </c>
      <c r="BO14" s="7"/>
      <c r="BP14" s="7"/>
      <c r="BQ14" s="7"/>
      <c r="BR14" s="7"/>
      <c r="BS14" s="7"/>
      <c r="BT14" s="9">
        <f t="shared" si="5"/>
        <v>-244939.37</v>
      </c>
      <c r="BV14" s="9">
        <f t="shared" si="6"/>
        <v>0</v>
      </c>
      <c r="BW14" s="9">
        <f t="shared" si="7"/>
        <v>-244939.37</v>
      </c>
      <c r="BZ14" s="9">
        <f t="shared" si="8"/>
        <v>0</v>
      </c>
      <c r="CA14" s="9">
        <f t="shared" si="9"/>
        <v>47885.65</v>
      </c>
      <c r="CB14" s="9">
        <f t="shared" si="10"/>
        <v>192217.74999999994</v>
      </c>
      <c r="CC14" s="7">
        <f t="shared" si="11"/>
        <v>240103.39999999994</v>
      </c>
      <c r="CD14" s="7">
        <f t="shared" si="12"/>
        <v>0</v>
      </c>
      <c r="CE14" s="9">
        <f t="shared" si="13"/>
        <v>0</v>
      </c>
      <c r="CF14" s="9">
        <f t="shared" si="13"/>
        <v>0</v>
      </c>
      <c r="CG14" s="32">
        <f t="shared" si="14"/>
        <v>0</v>
      </c>
      <c r="CH14" s="32">
        <f t="shared" si="15"/>
        <v>0</v>
      </c>
      <c r="CI14" s="32">
        <f t="shared" si="16"/>
        <v>0</v>
      </c>
      <c r="CJ14" s="22"/>
      <c r="CK14" s="9">
        <f t="shared" si="17"/>
        <v>47885.65</v>
      </c>
      <c r="CL14" s="9">
        <f t="shared" si="18"/>
        <v>192217.74999999994</v>
      </c>
      <c r="CM14" s="9">
        <f t="shared" si="19"/>
        <v>9395.9699999999993</v>
      </c>
      <c r="CN14" s="7">
        <f t="shared" si="20"/>
        <v>249499.36999999994</v>
      </c>
      <c r="CO14" s="7">
        <f t="shared" si="21"/>
        <v>-249499.37</v>
      </c>
      <c r="CP14" s="32">
        <f t="shared" si="22"/>
        <v>47885.65</v>
      </c>
      <c r="CQ14" s="32">
        <f t="shared" si="23"/>
        <v>201613.72</v>
      </c>
      <c r="CR14" s="21"/>
      <c r="CS14" s="9">
        <f t="shared" si="24"/>
        <v>0</v>
      </c>
      <c r="CT14" s="9">
        <f t="shared" si="25"/>
        <v>-2280</v>
      </c>
      <c r="CU14" s="9">
        <f t="shared" si="26"/>
        <v>-2280</v>
      </c>
      <c r="CV14" s="9">
        <f t="shared" si="27"/>
        <v>-4560</v>
      </c>
    </row>
    <row r="15" spans="1:130" s="5" customFormat="1">
      <c r="A15" s="70" t="s">
        <v>58</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v>-18991053.130000003</v>
      </c>
      <c r="BD15" s="7">
        <v>-288904.96999999997</v>
      </c>
      <c r="BE15" s="7"/>
      <c r="BF15" s="7">
        <v>-449392.73</v>
      </c>
      <c r="BG15" s="7">
        <v>-12135.93</v>
      </c>
      <c r="BH15" s="7"/>
      <c r="BI15" s="7"/>
      <c r="BJ15" s="7">
        <v>-16810.830000000002</v>
      </c>
      <c r="BK15" s="7">
        <v>83.28</v>
      </c>
      <c r="BL15" s="7">
        <v>-5790.37</v>
      </c>
      <c r="BM15" s="7">
        <v>203351.26</v>
      </c>
      <c r="BN15" s="7">
        <v>168697.41</v>
      </c>
      <c r="BO15" s="7"/>
      <c r="BP15" s="7"/>
      <c r="BQ15" s="7"/>
      <c r="BR15" s="7"/>
      <c r="BS15" s="7"/>
      <c r="BT15" s="9">
        <f t="shared" si="5"/>
        <v>-19391956.009999998</v>
      </c>
      <c r="BV15" s="9">
        <f t="shared" si="6"/>
        <v>0</v>
      </c>
      <c r="BW15" s="9">
        <f t="shared" si="7"/>
        <v>-19391956.009999998</v>
      </c>
      <c r="BX15" s="7"/>
      <c r="BY15" s="7"/>
      <c r="BZ15" s="9">
        <f t="shared" si="8"/>
        <v>0</v>
      </c>
      <c r="CA15" s="9">
        <f t="shared" si="9"/>
        <v>53524.61</v>
      </c>
      <c r="CB15" s="9">
        <f t="shared" si="10"/>
        <v>5209318.4400000004</v>
      </c>
      <c r="CC15" s="7">
        <f t="shared" si="11"/>
        <v>5262843.0500000007</v>
      </c>
      <c r="CD15" s="7">
        <f t="shared" si="12"/>
        <v>0</v>
      </c>
      <c r="CE15" s="9">
        <f t="shared" si="13"/>
        <v>0</v>
      </c>
      <c r="CF15" s="9">
        <f t="shared" si="13"/>
        <v>0</v>
      </c>
      <c r="CG15" s="32">
        <f t="shared" si="14"/>
        <v>0</v>
      </c>
      <c r="CH15" s="32">
        <f t="shared" si="15"/>
        <v>0</v>
      </c>
      <c r="CI15" s="32">
        <f t="shared" si="16"/>
        <v>0</v>
      </c>
      <c r="CJ15" s="22"/>
      <c r="CK15" s="9">
        <f t="shared" si="17"/>
        <v>53524.61</v>
      </c>
      <c r="CL15" s="9">
        <f t="shared" si="18"/>
        <v>5209318.4400000004</v>
      </c>
      <c r="CM15" s="9">
        <f t="shared" si="19"/>
        <v>14498339.740000002</v>
      </c>
      <c r="CN15" s="7">
        <f t="shared" si="20"/>
        <v>19761182.790000003</v>
      </c>
      <c r="CO15" s="7">
        <f t="shared" si="21"/>
        <v>-19741486.760000002</v>
      </c>
      <c r="CP15" s="32">
        <f t="shared" si="22"/>
        <v>53524.61</v>
      </c>
      <c r="CQ15" s="32">
        <f t="shared" si="23"/>
        <v>19687962.150000002</v>
      </c>
      <c r="CR15" s="21"/>
      <c r="CS15" s="9">
        <f t="shared" si="24"/>
        <v>19696.030000001192</v>
      </c>
      <c r="CT15" s="9">
        <f t="shared" si="25"/>
        <v>-200529.37000000002</v>
      </c>
      <c r="CU15" s="9">
        <f t="shared" si="26"/>
        <v>-180833.33999999883</v>
      </c>
      <c r="CV15" s="9">
        <f t="shared" si="27"/>
        <v>-349530.75</v>
      </c>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row>
    <row r="16" spans="1:130">
      <c r="A16" s="10" t="s">
        <v>59</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7">
        <v>-5448678.0799999991</v>
      </c>
      <c r="BD16" s="7">
        <v>-136756.13</v>
      </c>
      <c r="BE16" s="7"/>
      <c r="BF16" s="7">
        <v>-284646.34000000003</v>
      </c>
      <c r="BG16" s="7"/>
      <c r="BH16" s="7"/>
      <c r="BI16" s="7"/>
      <c r="BJ16" s="7">
        <v>-123959.44</v>
      </c>
      <c r="BK16" s="7">
        <v>18919.21</v>
      </c>
      <c r="BL16" s="7">
        <v>-17880.61</v>
      </c>
      <c r="BM16" s="7">
        <v>77304.179999999993</v>
      </c>
      <c r="BN16" s="7">
        <v>-60169.08</v>
      </c>
      <c r="BO16" s="7"/>
      <c r="BP16" s="7"/>
      <c r="BQ16" s="7"/>
      <c r="BR16" s="7"/>
      <c r="BS16" s="7"/>
      <c r="BT16" s="9">
        <f t="shared" si="5"/>
        <v>-5975866.29</v>
      </c>
      <c r="BV16" s="9">
        <f t="shared" si="6"/>
        <v>0</v>
      </c>
      <c r="BW16" s="9">
        <f t="shared" si="7"/>
        <v>-5975866.29</v>
      </c>
      <c r="BZ16" s="9">
        <f t="shared" si="8"/>
        <v>0</v>
      </c>
      <c r="CA16" s="9">
        <f t="shared" si="9"/>
        <v>34565.100000000006</v>
      </c>
      <c r="CB16" s="9">
        <f t="shared" si="10"/>
        <v>80231.23</v>
      </c>
      <c r="CC16" s="7">
        <f t="shared" si="11"/>
        <v>114796.33</v>
      </c>
      <c r="CD16" s="7">
        <f t="shared" si="12"/>
        <v>0</v>
      </c>
      <c r="CE16" s="9">
        <f t="shared" si="13"/>
        <v>0</v>
      </c>
      <c r="CF16" s="9">
        <f t="shared" si="13"/>
        <v>0</v>
      </c>
      <c r="CG16" s="32">
        <f t="shared" si="14"/>
        <v>0</v>
      </c>
      <c r="CH16" s="32">
        <f t="shared" si="15"/>
        <v>0</v>
      </c>
      <c r="CI16" s="32">
        <f t="shared" si="16"/>
        <v>0</v>
      </c>
      <c r="CJ16" s="22"/>
      <c r="CK16" s="9">
        <f t="shared" si="17"/>
        <v>34565.100000000006</v>
      </c>
      <c r="CL16" s="9">
        <f t="shared" si="18"/>
        <v>80231.23</v>
      </c>
      <c r="CM16" s="9">
        <f t="shared" si="19"/>
        <v>5844103.4900000002</v>
      </c>
      <c r="CN16" s="7">
        <f t="shared" si="20"/>
        <v>5958899.8200000003</v>
      </c>
      <c r="CO16" s="7">
        <f t="shared" si="21"/>
        <v>-5870080.5499999989</v>
      </c>
      <c r="CP16" s="32">
        <f t="shared" si="22"/>
        <v>34565.100000000006</v>
      </c>
      <c r="CQ16" s="32">
        <f t="shared" si="23"/>
        <v>5835515.4499999993</v>
      </c>
      <c r="CR16" s="21"/>
      <c r="CS16" s="9">
        <f t="shared" si="24"/>
        <v>88819.270000001416</v>
      </c>
      <c r="CT16" s="9">
        <f t="shared" si="25"/>
        <v>-28650.189999999988</v>
      </c>
      <c r="CU16" s="9">
        <f t="shared" si="26"/>
        <v>60169.080000001428</v>
      </c>
      <c r="CV16" s="9">
        <f t="shared" si="27"/>
        <v>105785.74000000002</v>
      </c>
    </row>
    <row r="17" spans="1:130">
      <c r="A17" s="10" t="s">
        <v>306</v>
      </c>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v>-167105.60000000001</v>
      </c>
      <c r="AY17" s="9">
        <v>-4507.22</v>
      </c>
      <c r="AZ17" s="9"/>
      <c r="BA17" s="9">
        <v>85401.47</v>
      </c>
      <c r="BB17" s="9">
        <v>-85401.47</v>
      </c>
      <c r="BC17" s="7"/>
      <c r="BD17" s="7"/>
      <c r="BE17" s="7"/>
      <c r="BF17" s="7"/>
      <c r="BG17" s="7"/>
      <c r="BH17" s="7"/>
      <c r="BI17" s="7"/>
      <c r="BJ17" s="7"/>
      <c r="BK17" s="7">
        <v>6460.5</v>
      </c>
      <c r="BL17" s="7"/>
      <c r="BM17" s="7">
        <v>-224.13</v>
      </c>
      <c r="BN17" s="7">
        <v>6236.37</v>
      </c>
      <c r="BO17" s="7"/>
      <c r="BP17" s="7"/>
      <c r="BQ17" s="7"/>
      <c r="BR17" s="7"/>
      <c r="BS17" s="7"/>
      <c r="BT17" s="9">
        <f t="shared" si="5"/>
        <v>-159140.08000000002</v>
      </c>
      <c r="BV17" s="9">
        <f t="shared" si="6"/>
        <v>0</v>
      </c>
      <c r="BW17" s="9">
        <f t="shared" si="7"/>
        <v>-159140.08000000002</v>
      </c>
      <c r="BZ17" s="9">
        <f t="shared" si="8"/>
        <v>0</v>
      </c>
      <c r="CA17" s="9">
        <f t="shared" si="9"/>
        <v>19614.530000000002</v>
      </c>
      <c r="CB17" s="9">
        <f t="shared" si="10"/>
        <v>145033.82</v>
      </c>
      <c r="CC17" s="7">
        <f t="shared" si="11"/>
        <v>164648.35</v>
      </c>
      <c r="CD17" s="7">
        <f t="shared" si="12"/>
        <v>0</v>
      </c>
      <c r="CE17" s="9">
        <f t="shared" si="13"/>
        <v>0</v>
      </c>
      <c r="CF17" s="9">
        <f t="shared" si="13"/>
        <v>0</v>
      </c>
      <c r="CG17" s="32">
        <f t="shared" si="14"/>
        <v>0</v>
      </c>
      <c r="CH17" s="32">
        <f t="shared" si="15"/>
        <v>0</v>
      </c>
      <c r="CI17" s="32">
        <f t="shared" si="16"/>
        <v>0</v>
      </c>
      <c r="CJ17" s="22"/>
      <c r="CK17" s="9">
        <f t="shared" si="17"/>
        <v>19614.530000000002</v>
      </c>
      <c r="CL17" s="9">
        <f t="shared" si="18"/>
        <v>145033.82</v>
      </c>
      <c r="CM17" s="9">
        <f t="shared" si="19"/>
        <v>6964.4700000000012</v>
      </c>
      <c r="CN17" s="7">
        <f t="shared" si="20"/>
        <v>171612.82</v>
      </c>
      <c r="CO17" s="7">
        <f t="shared" si="21"/>
        <v>-171612.82</v>
      </c>
      <c r="CP17" s="32">
        <f t="shared" si="22"/>
        <v>19614.530000000002</v>
      </c>
      <c r="CQ17" s="32">
        <f t="shared" si="23"/>
        <v>151998.29</v>
      </c>
      <c r="CR17" s="21"/>
      <c r="CS17" s="9">
        <f t="shared" si="24"/>
        <v>0</v>
      </c>
      <c r="CT17" s="9">
        <f t="shared" si="25"/>
        <v>-6236.3700000000008</v>
      </c>
      <c r="CU17" s="9">
        <f t="shared" si="26"/>
        <v>-6236.3700000000008</v>
      </c>
      <c r="CV17" s="9">
        <f t="shared" si="27"/>
        <v>-12472.74</v>
      </c>
    </row>
    <row r="18" spans="1:130" s="5" customFormat="1">
      <c r="A18" s="70" t="s">
        <v>364</v>
      </c>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v>-92429.05</v>
      </c>
      <c r="BH18" s="7"/>
      <c r="BI18" s="7"/>
      <c r="BJ18" s="7">
        <v>-358.61</v>
      </c>
      <c r="BK18" s="7">
        <v>-1539.94</v>
      </c>
      <c r="BL18" s="7"/>
      <c r="BM18" s="7"/>
      <c r="BN18" s="7"/>
      <c r="BO18" s="7"/>
      <c r="BP18" s="7"/>
      <c r="BQ18" s="7"/>
      <c r="BR18" s="7"/>
      <c r="BS18" s="7"/>
      <c r="BT18" s="7">
        <f t="shared" si="5"/>
        <v>-94327.6</v>
      </c>
      <c r="BV18" s="9">
        <f t="shared" si="6"/>
        <v>0</v>
      </c>
      <c r="BW18" s="7">
        <f t="shared" si="7"/>
        <v>-94327.6</v>
      </c>
      <c r="BX18" s="7"/>
      <c r="BY18" s="7"/>
      <c r="BZ18" s="9">
        <f t="shared" si="8"/>
        <v>0</v>
      </c>
      <c r="CA18" s="9">
        <f t="shared" si="9"/>
        <v>2239.66</v>
      </c>
      <c r="CB18" s="9">
        <f t="shared" si="10"/>
        <v>5900.96</v>
      </c>
      <c r="CC18" s="7">
        <f t="shared" si="11"/>
        <v>8140.62</v>
      </c>
      <c r="CD18" s="7">
        <f t="shared" si="12"/>
        <v>0</v>
      </c>
      <c r="CE18" s="9">
        <f t="shared" si="13"/>
        <v>0</v>
      </c>
      <c r="CF18" s="9">
        <f t="shared" si="13"/>
        <v>0</v>
      </c>
      <c r="CG18" s="32">
        <f t="shared" si="14"/>
        <v>0</v>
      </c>
      <c r="CH18" s="32">
        <f t="shared" si="15"/>
        <v>0</v>
      </c>
      <c r="CI18" s="32">
        <f t="shared" si="16"/>
        <v>0</v>
      </c>
      <c r="CJ18" s="22"/>
      <c r="CK18" s="9">
        <f t="shared" si="17"/>
        <v>2239.66</v>
      </c>
      <c r="CL18" s="9">
        <f t="shared" si="18"/>
        <v>5900.96</v>
      </c>
      <c r="CM18" s="9">
        <f t="shared" si="19"/>
        <v>85667.50999999998</v>
      </c>
      <c r="CN18" s="7">
        <f t="shared" si="20"/>
        <v>93808.129999999976</v>
      </c>
      <c r="CO18" s="7">
        <f t="shared" si="21"/>
        <v>-92429.05</v>
      </c>
      <c r="CP18" s="32">
        <f t="shared" si="22"/>
        <v>2239.66</v>
      </c>
      <c r="CQ18" s="32">
        <f t="shared" si="23"/>
        <v>90189.39</v>
      </c>
      <c r="CR18" s="21"/>
      <c r="CS18" s="9">
        <f t="shared" si="24"/>
        <v>1379.0799999999726</v>
      </c>
      <c r="CT18" s="9">
        <f t="shared" si="25"/>
        <v>519.47</v>
      </c>
      <c r="CU18" s="9">
        <f t="shared" si="26"/>
        <v>1898.5499999999727</v>
      </c>
      <c r="CV18" s="9">
        <f t="shared" si="27"/>
        <v>1898.5500000000002</v>
      </c>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row>
    <row r="19" spans="1:130">
      <c r="A19" s="10" t="s">
        <v>60</v>
      </c>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7">
        <v>-116112.02</v>
      </c>
      <c r="BD19" s="7"/>
      <c r="BE19" s="7"/>
      <c r="BF19" s="7"/>
      <c r="BG19" s="7"/>
      <c r="BH19" s="7"/>
      <c r="BI19" s="7"/>
      <c r="BJ19" s="7"/>
      <c r="BK19" s="7">
        <v>-15868.53</v>
      </c>
      <c r="BL19" s="7"/>
      <c r="BM19" s="7"/>
      <c r="BN19" s="7">
        <v>-15868.55</v>
      </c>
      <c r="BO19" s="7"/>
      <c r="BP19" s="7"/>
      <c r="BQ19" s="7"/>
      <c r="BR19" s="7"/>
      <c r="BS19" s="7"/>
      <c r="BT19" s="9">
        <f t="shared" si="5"/>
        <v>-147849.1</v>
      </c>
      <c r="BV19" s="9">
        <f t="shared" si="6"/>
        <v>0</v>
      </c>
      <c r="BW19" s="9">
        <f t="shared" si="7"/>
        <v>-147849.1</v>
      </c>
      <c r="BZ19" s="9">
        <f t="shared" si="8"/>
        <v>0</v>
      </c>
      <c r="CA19" s="9">
        <f t="shared" si="9"/>
        <v>0</v>
      </c>
      <c r="CB19" s="9">
        <f t="shared" si="10"/>
        <v>0</v>
      </c>
      <c r="CC19" s="7">
        <f t="shared" si="11"/>
        <v>0</v>
      </c>
      <c r="CD19" s="7">
        <f t="shared" si="12"/>
        <v>0</v>
      </c>
      <c r="CE19" s="9">
        <f t="shared" si="13"/>
        <v>0</v>
      </c>
      <c r="CF19" s="9">
        <f t="shared" si="13"/>
        <v>0</v>
      </c>
      <c r="CG19" s="32">
        <f t="shared" si="14"/>
        <v>0</v>
      </c>
      <c r="CH19" s="32">
        <f t="shared" si="15"/>
        <v>0</v>
      </c>
      <c r="CI19" s="32">
        <f t="shared" si="16"/>
        <v>0</v>
      </c>
      <c r="CJ19" s="22"/>
      <c r="CK19" s="9">
        <f t="shared" si="17"/>
        <v>0</v>
      </c>
      <c r="CL19" s="9">
        <f t="shared" si="18"/>
        <v>0</v>
      </c>
      <c r="CM19" s="9">
        <f t="shared" si="19"/>
        <v>131767.12000000002</v>
      </c>
      <c r="CN19" s="7">
        <f t="shared" si="20"/>
        <v>131767.12000000002</v>
      </c>
      <c r="CO19" s="7">
        <f t="shared" si="21"/>
        <v>-116112.02</v>
      </c>
      <c r="CP19" s="32">
        <f t="shared" si="22"/>
        <v>0</v>
      </c>
      <c r="CQ19" s="32">
        <f t="shared" si="23"/>
        <v>116112.02</v>
      </c>
      <c r="CR19" s="21"/>
      <c r="CS19" s="9">
        <f t="shared" si="24"/>
        <v>15655.10000000002</v>
      </c>
      <c r="CT19" s="9">
        <f t="shared" si="25"/>
        <v>213.44999999999681</v>
      </c>
      <c r="CU19" s="9">
        <f t="shared" si="26"/>
        <v>15868.550000000017</v>
      </c>
      <c r="CV19" s="9">
        <f t="shared" si="27"/>
        <v>31737.08</v>
      </c>
    </row>
    <row r="20" spans="1:130">
      <c r="A20" t="s">
        <v>61</v>
      </c>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v>-2379563.4500000002</v>
      </c>
      <c r="BC20" s="9">
        <v>-120467.54999999999</v>
      </c>
      <c r="BD20" s="9">
        <v>-90949.73</v>
      </c>
      <c r="BE20" s="9">
        <v>90949.73</v>
      </c>
      <c r="BF20" s="9">
        <v>-16336.9</v>
      </c>
      <c r="BG20" s="9">
        <v>-361.45</v>
      </c>
      <c r="BH20" s="9"/>
      <c r="BI20" s="9"/>
      <c r="BJ20" s="9">
        <v>-14776.86</v>
      </c>
      <c r="BK20" s="9">
        <v>-331.5</v>
      </c>
      <c r="BL20" s="9"/>
      <c r="BM20" s="9">
        <v>28134.34</v>
      </c>
      <c r="BN20" s="9">
        <v>12664.53</v>
      </c>
      <c r="BO20" s="9"/>
      <c r="BP20" s="9"/>
      <c r="BQ20" s="9"/>
      <c r="BR20" s="9"/>
      <c r="BS20" s="9"/>
      <c r="BT20" s="9">
        <f t="shared" si="5"/>
        <v>-2491038.8400000003</v>
      </c>
      <c r="BV20" s="9">
        <f t="shared" si="6"/>
        <v>0</v>
      </c>
      <c r="BW20" s="9">
        <f t="shared" si="7"/>
        <v>-2491038.8400000003</v>
      </c>
      <c r="BZ20" s="9">
        <f t="shared" si="8"/>
        <v>0</v>
      </c>
      <c r="CA20" s="9">
        <f t="shared" si="9"/>
        <v>5030.0400000000009</v>
      </c>
      <c r="CB20" s="9">
        <f t="shared" si="10"/>
        <v>430350.5500000001</v>
      </c>
      <c r="CC20" s="7">
        <f t="shared" si="11"/>
        <v>435380.59000000008</v>
      </c>
      <c r="CD20" s="7">
        <f t="shared" si="12"/>
        <v>0</v>
      </c>
      <c r="CE20" s="9">
        <f t="shared" si="13"/>
        <v>0</v>
      </c>
      <c r="CF20" s="9">
        <f t="shared" si="13"/>
        <v>0</v>
      </c>
      <c r="CG20" s="32">
        <f t="shared" si="14"/>
        <v>0</v>
      </c>
      <c r="CH20" s="32">
        <f t="shared" si="15"/>
        <v>0</v>
      </c>
      <c r="CI20" s="32">
        <f t="shared" si="16"/>
        <v>0</v>
      </c>
      <c r="CJ20" s="22"/>
      <c r="CK20" s="9">
        <f t="shared" si="17"/>
        <v>5030.0400000000009</v>
      </c>
      <c r="CL20" s="9">
        <f t="shared" si="18"/>
        <v>430350.5500000001</v>
      </c>
      <c r="CM20" s="9">
        <f t="shared" si="19"/>
        <v>2087572.77</v>
      </c>
      <c r="CN20" s="7">
        <f t="shared" si="20"/>
        <v>2522953.3600000003</v>
      </c>
      <c r="CO20" s="7">
        <f t="shared" si="21"/>
        <v>-2516729.35</v>
      </c>
      <c r="CP20" s="32">
        <f t="shared" si="22"/>
        <v>5030.0400000000009</v>
      </c>
      <c r="CQ20" s="32">
        <f t="shared" si="23"/>
        <v>2511699.31</v>
      </c>
      <c r="CR20" s="21"/>
      <c r="CS20" s="9">
        <f t="shared" si="24"/>
        <v>6224.0100000002421</v>
      </c>
      <c r="CT20" s="9">
        <f t="shared" si="25"/>
        <v>-19249.989999999998</v>
      </c>
      <c r="CU20" s="9">
        <f t="shared" si="26"/>
        <v>-13025.979999999756</v>
      </c>
      <c r="CV20" s="9">
        <f t="shared" si="27"/>
        <v>-25690.510000000002</v>
      </c>
    </row>
    <row r="21" spans="1:130">
      <c r="A21" s="10" t="s">
        <v>308</v>
      </c>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v>-153478.67000000001</v>
      </c>
      <c r="BG21" s="9">
        <v>-2788.71</v>
      </c>
      <c r="BH21" s="9"/>
      <c r="BI21" s="9"/>
      <c r="BJ21" s="9"/>
      <c r="BK21" s="9"/>
      <c r="BL21" s="9"/>
      <c r="BM21" s="9"/>
      <c r="BN21" s="9">
        <v>-2788.71</v>
      </c>
      <c r="BO21" s="9"/>
      <c r="BP21" s="9"/>
      <c r="BQ21" s="9"/>
      <c r="BR21" s="9"/>
      <c r="BS21" s="9"/>
      <c r="BT21" s="9">
        <f t="shared" si="5"/>
        <v>-159056.09</v>
      </c>
      <c r="BV21" s="9">
        <f t="shared" si="6"/>
        <v>0</v>
      </c>
      <c r="BW21" s="9">
        <f t="shared" si="7"/>
        <v>-159056.09</v>
      </c>
      <c r="BZ21" s="9">
        <f t="shared" si="8"/>
        <v>0</v>
      </c>
      <c r="CA21" s="9">
        <f t="shared" si="9"/>
        <v>0</v>
      </c>
      <c r="CB21" s="9">
        <f t="shared" si="10"/>
        <v>3239.78</v>
      </c>
      <c r="CC21" s="7">
        <f t="shared" si="11"/>
        <v>3239.78</v>
      </c>
      <c r="CD21" s="7">
        <f t="shared" si="12"/>
        <v>0</v>
      </c>
      <c r="CE21" s="9">
        <f t="shared" si="13"/>
        <v>0</v>
      </c>
      <c r="CF21" s="9">
        <f t="shared" si="13"/>
        <v>0</v>
      </c>
      <c r="CG21" s="32">
        <f t="shared" si="14"/>
        <v>0</v>
      </c>
      <c r="CH21" s="32">
        <f t="shared" si="15"/>
        <v>0</v>
      </c>
      <c r="CI21" s="32">
        <f t="shared" si="16"/>
        <v>0</v>
      </c>
      <c r="CJ21" s="22"/>
      <c r="CK21" s="9">
        <f t="shared" si="17"/>
        <v>0</v>
      </c>
      <c r="CL21" s="9">
        <f t="shared" si="18"/>
        <v>3239.78</v>
      </c>
      <c r="CM21" s="9">
        <f t="shared" si="19"/>
        <v>153058.65999999997</v>
      </c>
      <c r="CN21" s="7">
        <f t="shared" si="20"/>
        <v>156298.43999999997</v>
      </c>
      <c r="CO21" s="7">
        <f t="shared" si="21"/>
        <v>-156267.38</v>
      </c>
      <c r="CP21" s="32">
        <f t="shared" si="22"/>
        <v>0</v>
      </c>
      <c r="CQ21" s="32">
        <f t="shared" si="23"/>
        <v>156267.38</v>
      </c>
      <c r="CR21" s="21"/>
      <c r="CS21" s="9">
        <f t="shared" si="24"/>
        <v>31.059999999968568</v>
      </c>
      <c r="CT21" s="9">
        <f t="shared" si="25"/>
        <v>-31.060000000000002</v>
      </c>
      <c r="CU21" s="9">
        <f t="shared" si="26"/>
        <v>-3.1434410630026832E-11</v>
      </c>
      <c r="CV21" s="9">
        <f t="shared" si="27"/>
        <v>2788.71</v>
      </c>
    </row>
    <row r="22" spans="1:130">
      <c r="A22" s="10" t="s">
        <v>311</v>
      </c>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7">
        <v>-20459885.140000001</v>
      </c>
      <c r="BH22" s="7"/>
      <c r="BI22" s="7"/>
      <c r="BJ22" s="7"/>
      <c r="BK22" s="7"/>
      <c r="BL22" s="7"/>
      <c r="BM22" s="7"/>
      <c r="BN22" s="7">
        <v>-11929083.49</v>
      </c>
      <c r="BO22" s="7"/>
      <c r="BP22" s="7"/>
      <c r="BQ22" s="7"/>
      <c r="BR22" s="7"/>
      <c r="BS22" s="7"/>
      <c r="BT22" s="9">
        <f t="shared" si="5"/>
        <v>-32388968.630000003</v>
      </c>
      <c r="BV22" s="9">
        <f t="shared" si="6"/>
        <v>0</v>
      </c>
      <c r="BW22" s="9">
        <f t="shared" si="7"/>
        <v>-32388968.630000003</v>
      </c>
      <c r="BZ22" s="9">
        <f t="shared" si="8"/>
        <v>0</v>
      </c>
      <c r="CA22" s="9">
        <f t="shared" si="9"/>
        <v>0</v>
      </c>
      <c r="CB22" s="9">
        <f t="shared" si="10"/>
        <v>2711638.47</v>
      </c>
      <c r="CC22" s="7">
        <f t="shared" si="11"/>
        <v>2711638.47</v>
      </c>
      <c r="CD22" s="7">
        <f t="shared" si="12"/>
        <v>0</v>
      </c>
      <c r="CE22" s="9">
        <f t="shared" si="13"/>
        <v>0</v>
      </c>
      <c r="CF22" s="9">
        <f t="shared" si="13"/>
        <v>0</v>
      </c>
      <c r="CG22" s="32">
        <f t="shared" si="14"/>
        <v>0</v>
      </c>
      <c r="CH22" s="32">
        <f t="shared" si="15"/>
        <v>0</v>
      </c>
      <c r="CI22" s="32">
        <f t="shared" si="16"/>
        <v>0</v>
      </c>
      <c r="CJ22" s="22"/>
      <c r="CK22" s="9">
        <f t="shared" si="17"/>
        <v>0</v>
      </c>
      <c r="CL22" s="9">
        <f t="shared" si="18"/>
        <v>2711638.47</v>
      </c>
      <c r="CM22" s="9">
        <f t="shared" si="19"/>
        <v>23919063.199999996</v>
      </c>
      <c r="CN22" s="7">
        <f t="shared" si="20"/>
        <v>26630701.669999994</v>
      </c>
      <c r="CO22" s="7">
        <f t="shared" si="21"/>
        <v>-20459885.140000001</v>
      </c>
      <c r="CP22" s="32">
        <f t="shared" si="22"/>
        <v>0</v>
      </c>
      <c r="CQ22" s="32">
        <f t="shared" si="23"/>
        <v>20459885.140000001</v>
      </c>
      <c r="CR22" s="21"/>
      <c r="CS22" s="9">
        <f t="shared" si="24"/>
        <v>6170816.5299999937</v>
      </c>
      <c r="CT22" s="9">
        <f t="shared" si="25"/>
        <v>5747985.0599999996</v>
      </c>
      <c r="CU22" s="9">
        <f t="shared" si="26"/>
        <v>11918801.589999992</v>
      </c>
      <c r="CV22" s="9">
        <f t="shared" si="27"/>
        <v>11929083.49</v>
      </c>
    </row>
    <row r="23" spans="1:130">
      <c r="A23" s="10" t="s">
        <v>333</v>
      </c>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7"/>
      <c r="BH23" s="7"/>
      <c r="BI23" s="7"/>
      <c r="BJ23" s="7"/>
      <c r="BK23" s="7">
        <v>-15124.6</v>
      </c>
      <c r="BL23" s="7"/>
      <c r="BM23" s="7"/>
      <c r="BN23" s="7"/>
      <c r="BO23" s="7"/>
      <c r="BP23" s="7"/>
      <c r="BQ23" s="7"/>
      <c r="BR23" s="7"/>
      <c r="BS23" s="7"/>
      <c r="BT23" s="9">
        <f t="shared" si="5"/>
        <v>-15124.6</v>
      </c>
      <c r="BV23" s="9">
        <f t="shared" si="6"/>
        <v>0</v>
      </c>
      <c r="BW23" s="9">
        <f t="shared" si="7"/>
        <v>-15124.6</v>
      </c>
      <c r="BZ23" s="9">
        <f t="shared" si="8"/>
        <v>0</v>
      </c>
      <c r="CA23" s="9">
        <f t="shared" si="9"/>
        <v>0</v>
      </c>
      <c r="CB23" s="9">
        <f t="shared" si="10"/>
        <v>0</v>
      </c>
      <c r="CC23" s="7">
        <f t="shared" si="11"/>
        <v>0</v>
      </c>
      <c r="CD23" s="7">
        <f t="shared" si="12"/>
        <v>0</v>
      </c>
      <c r="CE23" s="9">
        <f t="shared" si="13"/>
        <v>0</v>
      </c>
      <c r="CF23" s="9">
        <f t="shared" si="13"/>
        <v>0</v>
      </c>
      <c r="CG23" s="32">
        <f t="shared" si="14"/>
        <v>0</v>
      </c>
      <c r="CH23" s="32">
        <f t="shared" si="15"/>
        <v>0</v>
      </c>
      <c r="CI23" s="32">
        <f t="shared" si="16"/>
        <v>0</v>
      </c>
      <c r="CJ23" s="22"/>
      <c r="CK23" s="9">
        <f t="shared" si="17"/>
        <v>0</v>
      </c>
      <c r="CL23" s="9">
        <f t="shared" si="18"/>
        <v>0</v>
      </c>
      <c r="CM23" s="9">
        <f t="shared" si="19"/>
        <v>13107.18</v>
      </c>
      <c r="CN23" s="7">
        <f t="shared" si="20"/>
        <v>13107.18</v>
      </c>
      <c r="CO23" s="7">
        <f t="shared" si="21"/>
        <v>0</v>
      </c>
      <c r="CP23" s="32">
        <f t="shared" si="22"/>
        <v>0</v>
      </c>
      <c r="CQ23" s="32">
        <f t="shared" si="23"/>
        <v>0</v>
      </c>
      <c r="CR23" s="21"/>
      <c r="CS23" s="9">
        <f t="shared" si="24"/>
        <v>13107.18</v>
      </c>
      <c r="CT23" s="9">
        <f t="shared" si="25"/>
        <v>2017.4199999999996</v>
      </c>
      <c r="CU23" s="9">
        <f t="shared" si="26"/>
        <v>15124.6</v>
      </c>
      <c r="CV23" s="9">
        <f t="shared" si="27"/>
        <v>15124.6</v>
      </c>
    </row>
    <row r="24" spans="1:130">
      <c r="A24" s="10" t="s">
        <v>307</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v>-207640.65</v>
      </c>
      <c r="BG24" s="9">
        <v>-4406.6400000000003</v>
      </c>
      <c r="BH24" s="9"/>
      <c r="BI24" s="9"/>
      <c r="BJ24" s="9">
        <v>-277.22000000000003</v>
      </c>
      <c r="BK24" s="9">
        <v>-531.61</v>
      </c>
      <c r="BL24" s="9"/>
      <c r="BM24" s="9"/>
      <c r="BN24" s="9">
        <v>-5215.47</v>
      </c>
      <c r="BO24" s="9"/>
      <c r="BP24" s="9"/>
      <c r="BQ24" s="9"/>
      <c r="BR24" s="9"/>
      <c r="BS24" s="9"/>
      <c r="BT24" s="9">
        <f t="shared" si="5"/>
        <v>-218071.59</v>
      </c>
      <c r="BV24" s="9">
        <f t="shared" si="6"/>
        <v>0</v>
      </c>
      <c r="BW24" s="9">
        <f t="shared" si="7"/>
        <v>-218071.59</v>
      </c>
      <c r="BZ24" s="9">
        <f t="shared" si="8"/>
        <v>0</v>
      </c>
      <c r="CA24" s="9">
        <f t="shared" si="9"/>
        <v>0</v>
      </c>
      <c r="CB24" s="9">
        <f t="shared" si="10"/>
        <v>9151.630000000001</v>
      </c>
      <c r="CC24" s="7">
        <f t="shared" si="11"/>
        <v>9151.630000000001</v>
      </c>
      <c r="CD24" s="7">
        <f t="shared" si="12"/>
        <v>0</v>
      </c>
      <c r="CE24" s="9">
        <f t="shared" si="13"/>
        <v>0</v>
      </c>
      <c r="CF24" s="9">
        <f t="shared" si="13"/>
        <v>0</v>
      </c>
      <c r="CG24" s="32">
        <f t="shared" si="14"/>
        <v>0</v>
      </c>
      <c r="CH24" s="32">
        <f t="shared" si="15"/>
        <v>0</v>
      </c>
      <c r="CI24" s="32">
        <f t="shared" si="16"/>
        <v>0</v>
      </c>
      <c r="CJ24" s="22"/>
      <c r="CK24" s="9">
        <f t="shared" si="17"/>
        <v>0</v>
      </c>
      <c r="CL24" s="9">
        <f t="shared" si="18"/>
        <v>9151.630000000001</v>
      </c>
      <c r="CM24" s="9">
        <f t="shared" si="19"/>
        <v>203448.66</v>
      </c>
      <c r="CN24" s="7">
        <f t="shared" si="20"/>
        <v>212600.29</v>
      </c>
      <c r="CO24" s="7">
        <f t="shared" si="21"/>
        <v>-212047.29</v>
      </c>
      <c r="CP24" s="32">
        <f t="shared" si="22"/>
        <v>0</v>
      </c>
      <c r="CQ24" s="32">
        <f t="shared" si="23"/>
        <v>212047.29</v>
      </c>
      <c r="CR24" s="21"/>
      <c r="CS24" s="9">
        <f t="shared" si="24"/>
        <v>553</v>
      </c>
      <c r="CT24" s="9">
        <f t="shared" si="25"/>
        <v>255.83</v>
      </c>
      <c r="CU24" s="9">
        <f t="shared" si="26"/>
        <v>808.83</v>
      </c>
      <c r="CV24" s="9">
        <f t="shared" si="27"/>
        <v>6024.3</v>
      </c>
    </row>
    <row r="25" spans="1:130">
      <c r="A25" s="10" t="s">
        <v>334</v>
      </c>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v>-173863.29</v>
      </c>
      <c r="BH25" s="9"/>
      <c r="BI25" s="9"/>
      <c r="BJ25" s="9">
        <v>-102.5</v>
      </c>
      <c r="BK25" s="9"/>
      <c r="BL25" s="9"/>
      <c r="BM25" s="9"/>
      <c r="BN25" s="9">
        <v>-192005.04</v>
      </c>
      <c r="BO25" s="9"/>
      <c r="BP25" s="9"/>
      <c r="BQ25" s="9"/>
      <c r="BR25" s="9"/>
      <c r="BS25" s="9"/>
      <c r="BT25" s="9">
        <f t="shared" si="5"/>
        <v>-365970.83</v>
      </c>
      <c r="BV25" s="9">
        <f t="shared" si="6"/>
        <v>0</v>
      </c>
      <c r="BW25" s="9">
        <f t="shared" si="7"/>
        <v>-365970.83</v>
      </c>
      <c r="BZ25" s="9">
        <f t="shared" si="8"/>
        <v>0</v>
      </c>
      <c r="CA25" s="9">
        <f t="shared" si="9"/>
        <v>0</v>
      </c>
      <c r="CB25" s="9">
        <f t="shared" si="10"/>
        <v>0</v>
      </c>
      <c r="CC25" s="7">
        <f t="shared" si="11"/>
        <v>0</v>
      </c>
      <c r="CD25" s="7">
        <f t="shared" si="12"/>
        <v>0</v>
      </c>
      <c r="CE25" s="9">
        <f t="shared" si="13"/>
        <v>0</v>
      </c>
      <c r="CF25" s="9">
        <f t="shared" si="13"/>
        <v>0</v>
      </c>
      <c r="CG25" s="32">
        <f t="shared" si="14"/>
        <v>0</v>
      </c>
      <c r="CH25" s="32">
        <f t="shared" si="15"/>
        <v>0</v>
      </c>
      <c r="CI25" s="32">
        <f t="shared" si="16"/>
        <v>0</v>
      </c>
      <c r="CJ25" s="22"/>
      <c r="CK25" s="9">
        <f t="shared" si="17"/>
        <v>0</v>
      </c>
      <c r="CL25" s="9">
        <f t="shared" si="18"/>
        <v>0</v>
      </c>
      <c r="CM25" s="9">
        <f t="shared" si="19"/>
        <v>191742.59</v>
      </c>
      <c r="CN25" s="7">
        <f t="shared" si="20"/>
        <v>191742.59</v>
      </c>
      <c r="CO25" s="7">
        <f t="shared" si="21"/>
        <v>-173863.29</v>
      </c>
      <c r="CP25" s="32">
        <f t="shared" si="22"/>
        <v>0</v>
      </c>
      <c r="CQ25" s="32">
        <f t="shared" si="23"/>
        <v>173863.29</v>
      </c>
      <c r="CR25" s="21"/>
      <c r="CS25" s="9">
        <f t="shared" si="24"/>
        <v>17879.299999999988</v>
      </c>
      <c r="CT25" s="9">
        <f t="shared" si="25"/>
        <v>262.45000000000005</v>
      </c>
      <c r="CU25" s="9">
        <f t="shared" si="26"/>
        <v>18141.749999999989</v>
      </c>
      <c r="CV25" s="9">
        <f t="shared" si="27"/>
        <v>192107.54</v>
      </c>
    </row>
    <row r="26" spans="1:130">
      <c r="A26" s="10" t="s">
        <v>335</v>
      </c>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v>-50445.43</v>
      </c>
      <c r="BH26" s="9"/>
      <c r="BI26" s="9"/>
      <c r="BJ26" s="9"/>
      <c r="BK26" s="9">
        <v>-425.25</v>
      </c>
      <c r="BL26" s="9"/>
      <c r="BM26" s="9"/>
      <c r="BN26" s="9">
        <v>-50870.68</v>
      </c>
      <c r="BO26" s="9"/>
      <c r="BP26" s="9"/>
      <c r="BQ26" s="9"/>
      <c r="BR26" s="9"/>
      <c r="BS26" s="9"/>
      <c r="BT26" s="9">
        <f t="shared" si="5"/>
        <v>-101741.36</v>
      </c>
      <c r="BV26" s="9">
        <f t="shared" si="6"/>
        <v>0</v>
      </c>
      <c r="BW26" s="9">
        <f t="shared" si="7"/>
        <v>-101741.36</v>
      </c>
      <c r="BZ26" s="9">
        <f t="shared" si="8"/>
        <v>0</v>
      </c>
      <c r="CA26" s="9">
        <f t="shared" si="9"/>
        <v>0</v>
      </c>
      <c r="CB26" s="9">
        <f t="shared" si="10"/>
        <v>0</v>
      </c>
      <c r="CC26" s="7">
        <f t="shared" si="11"/>
        <v>0</v>
      </c>
      <c r="CD26" s="7">
        <f t="shared" si="12"/>
        <v>0</v>
      </c>
      <c r="CE26" s="9">
        <f t="shared" si="13"/>
        <v>0</v>
      </c>
      <c r="CF26" s="9">
        <f t="shared" si="13"/>
        <v>0</v>
      </c>
      <c r="CG26" s="32">
        <f t="shared" si="14"/>
        <v>0</v>
      </c>
      <c r="CH26" s="32">
        <f t="shared" si="15"/>
        <v>0</v>
      </c>
      <c r="CI26" s="32">
        <f t="shared" si="16"/>
        <v>0</v>
      </c>
      <c r="CJ26" s="22"/>
      <c r="CK26" s="9">
        <f t="shared" si="17"/>
        <v>0</v>
      </c>
      <c r="CL26" s="9">
        <f t="shared" si="18"/>
        <v>0</v>
      </c>
      <c r="CM26" s="9">
        <f t="shared" si="19"/>
        <v>50874.600000000006</v>
      </c>
      <c r="CN26" s="7">
        <f t="shared" si="20"/>
        <v>50874.600000000006</v>
      </c>
      <c r="CO26" s="7">
        <f t="shared" si="21"/>
        <v>-50445.43</v>
      </c>
      <c r="CP26" s="32">
        <f t="shared" si="22"/>
        <v>0</v>
      </c>
      <c r="CQ26" s="32">
        <f t="shared" si="23"/>
        <v>50445.43</v>
      </c>
      <c r="CR26" s="21"/>
      <c r="CS26" s="9">
        <f t="shared" si="24"/>
        <v>429.17000000000553</v>
      </c>
      <c r="CT26" s="9">
        <f t="shared" si="25"/>
        <v>-3.9200000000000017</v>
      </c>
      <c r="CU26" s="9">
        <f t="shared" si="26"/>
        <v>425.25000000000551</v>
      </c>
      <c r="CV26" s="9">
        <f t="shared" si="27"/>
        <v>51295.93</v>
      </c>
    </row>
    <row r="27" spans="1:130">
      <c r="A27" s="10" t="s">
        <v>331</v>
      </c>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v>-2198471.9300000002</v>
      </c>
      <c r="BO27" s="9"/>
      <c r="BP27" s="9"/>
      <c r="BQ27" s="9"/>
      <c r="BR27" s="9"/>
      <c r="BS27" s="9"/>
      <c r="BT27" s="9">
        <f t="shared" si="5"/>
        <v>-2198471.9300000002</v>
      </c>
      <c r="BV27" s="9">
        <f t="shared" si="6"/>
        <v>0</v>
      </c>
      <c r="BW27" s="9">
        <f t="shared" si="7"/>
        <v>-2198471.9300000002</v>
      </c>
      <c r="BZ27" s="9">
        <f t="shared" si="8"/>
        <v>0</v>
      </c>
      <c r="CA27" s="9">
        <f t="shared" si="9"/>
        <v>0</v>
      </c>
      <c r="CB27" s="9">
        <f t="shared" si="10"/>
        <v>0</v>
      </c>
      <c r="CC27" s="7">
        <f t="shared" si="11"/>
        <v>0</v>
      </c>
      <c r="CD27" s="7">
        <f t="shared" si="12"/>
        <v>0</v>
      </c>
      <c r="CE27" s="9">
        <f t="shared" si="13"/>
        <v>0</v>
      </c>
      <c r="CF27" s="9">
        <f t="shared" si="13"/>
        <v>0</v>
      </c>
      <c r="CG27" s="32">
        <f t="shared" si="14"/>
        <v>0</v>
      </c>
      <c r="CH27" s="32">
        <f t="shared" si="15"/>
        <v>0</v>
      </c>
      <c r="CI27" s="32">
        <f t="shared" si="16"/>
        <v>0</v>
      </c>
      <c r="CJ27" s="22"/>
      <c r="CK27" s="9">
        <f t="shared" si="17"/>
        <v>0</v>
      </c>
      <c r="CL27" s="9">
        <f t="shared" si="18"/>
        <v>0</v>
      </c>
      <c r="CM27" s="9">
        <f t="shared" si="19"/>
        <v>879209.70000000007</v>
      </c>
      <c r="CN27" s="7">
        <f t="shared" si="20"/>
        <v>879209.70000000007</v>
      </c>
      <c r="CO27" s="7">
        <f t="shared" si="21"/>
        <v>0</v>
      </c>
      <c r="CP27" s="32">
        <f t="shared" si="22"/>
        <v>0</v>
      </c>
      <c r="CQ27" s="32">
        <f t="shared" si="23"/>
        <v>0</v>
      </c>
      <c r="CR27" s="21"/>
      <c r="CS27" s="9">
        <f t="shared" si="24"/>
        <v>879209.70000000007</v>
      </c>
      <c r="CT27" s="9">
        <f t="shared" si="25"/>
        <v>1320212.6700000002</v>
      </c>
      <c r="CU27" s="9">
        <f t="shared" si="26"/>
        <v>2199422.37</v>
      </c>
      <c r="CV27" s="9">
        <f t="shared" si="27"/>
        <v>2198471.9300000002</v>
      </c>
    </row>
    <row r="28" spans="1:130">
      <c r="A28" s="10" t="s">
        <v>328</v>
      </c>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v>-531740.48</v>
      </c>
      <c r="BO28" s="9"/>
      <c r="BP28" s="9"/>
      <c r="BQ28" s="9"/>
      <c r="BR28" s="9"/>
      <c r="BS28" s="9"/>
      <c r="BT28" s="9">
        <f t="shared" si="5"/>
        <v>-531740.48</v>
      </c>
      <c r="BV28" s="9">
        <f t="shared" si="6"/>
        <v>0</v>
      </c>
      <c r="BW28" s="9">
        <f t="shared" si="7"/>
        <v>-531740.48</v>
      </c>
      <c r="BZ28" s="9">
        <f t="shared" si="8"/>
        <v>0</v>
      </c>
      <c r="CA28" s="9">
        <f t="shared" si="9"/>
        <v>0</v>
      </c>
      <c r="CB28" s="9">
        <f t="shared" si="10"/>
        <v>0</v>
      </c>
      <c r="CC28" s="7">
        <f t="shared" si="11"/>
        <v>0</v>
      </c>
      <c r="CD28" s="7">
        <f t="shared" si="12"/>
        <v>0</v>
      </c>
      <c r="CE28" s="9">
        <f t="shared" si="13"/>
        <v>0</v>
      </c>
      <c r="CF28" s="9">
        <f t="shared" si="13"/>
        <v>0</v>
      </c>
      <c r="CG28" s="32">
        <f t="shared" si="14"/>
        <v>0</v>
      </c>
      <c r="CH28" s="32">
        <f t="shared" si="15"/>
        <v>0</v>
      </c>
      <c r="CI28" s="32">
        <f t="shared" si="16"/>
        <v>0</v>
      </c>
      <c r="CJ28" s="22"/>
      <c r="CK28" s="9">
        <f t="shared" si="17"/>
        <v>0</v>
      </c>
      <c r="CL28" s="9">
        <f t="shared" si="18"/>
        <v>0</v>
      </c>
      <c r="CM28" s="9">
        <f t="shared" si="19"/>
        <v>20349.560000000001</v>
      </c>
      <c r="CN28" s="7">
        <f t="shared" si="20"/>
        <v>20349.560000000001</v>
      </c>
      <c r="CO28" s="7">
        <f t="shared" si="21"/>
        <v>0</v>
      </c>
      <c r="CP28" s="32">
        <f t="shared" si="22"/>
        <v>0</v>
      </c>
      <c r="CQ28" s="32">
        <f t="shared" si="23"/>
        <v>0</v>
      </c>
      <c r="CR28" s="21"/>
      <c r="CS28" s="9">
        <f t="shared" si="24"/>
        <v>20349.560000000001</v>
      </c>
      <c r="CT28" s="9">
        <f t="shared" si="25"/>
        <v>511446.44000000006</v>
      </c>
      <c r="CU28" s="9">
        <f t="shared" si="26"/>
        <v>531796.00000000012</v>
      </c>
      <c r="CV28" s="9">
        <f t="shared" si="27"/>
        <v>531740.48</v>
      </c>
    </row>
    <row r="29" spans="1:130">
      <c r="A29" s="10" t="s">
        <v>327</v>
      </c>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v>-104710.1</v>
      </c>
      <c r="BN29" s="9">
        <v>-104710.1</v>
      </c>
      <c r="BO29" s="9"/>
      <c r="BP29" s="9"/>
      <c r="BQ29" s="9"/>
      <c r="BR29" s="9"/>
      <c r="BS29" s="9"/>
      <c r="BT29" s="9">
        <f t="shared" si="5"/>
        <v>-209420.2</v>
      </c>
      <c r="BV29" s="9">
        <f t="shared" si="6"/>
        <v>0</v>
      </c>
      <c r="BW29" s="9">
        <f t="shared" si="7"/>
        <v>-209420.2</v>
      </c>
      <c r="BZ29" s="9">
        <f t="shared" si="8"/>
        <v>0</v>
      </c>
      <c r="CA29" s="9">
        <f t="shared" si="9"/>
        <v>0</v>
      </c>
      <c r="CB29" s="9">
        <f t="shared" si="10"/>
        <v>0</v>
      </c>
      <c r="CC29" s="7">
        <f t="shared" si="11"/>
        <v>0</v>
      </c>
      <c r="CD29" s="7">
        <f t="shared" si="12"/>
        <v>0</v>
      </c>
      <c r="CE29" s="9">
        <f t="shared" si="13"/>
        <v>0</v>
      </c>
      <c r="CF29" s="9">
        <f t="shared" si="13"/>
        <v>0</v>
      </c>
      <c r="CG29" s="32">
        <f t="shared" si="14"/>
        <v>0</v>
      </c>
      <c r="CH29" s="32">
        <f t="shared" si="15"/>
        <v>0</v>
      </c>
      <c r="CI29" s="32">
        <f t="shared" si="16"/>
        <v>0</v>
      </c>
      <c r="CJ29" s="22"/>
      <c r="CK29" s="9">
        <f t="shared" si="17"/>
        <v>0</v>
      </c>
      <c r="CL29" s="9">
        <f t="shared" si="18"/>
        <v>0</v>
      </c>
      <c r="CM29" s="9">
        <f t="shared" si="19"/>
        <v>108180.37000000002</v>
      </c>
      <c r="CN29" s="7">
        <f t="shared" si="20"/>
        <v>108180.37000000002</v>
      </c>
      <c r="CO29" s="7">
        <f t="shared" si="21"/>
        <v>0</v>
      </c>
      <c r="CP29" s="32">
        <f t="shared" si="22"/>
        <v>0</v>
      </c>
      <c r="CQ29" s="32">
        <f t="shared" si="23"/>
        <v>0</v>
      </c>
      <c r="CR29" s="21"/>
      <c r="CS29" s="9">
        <f t="shared" si="24"/>
        <v>108180.37000000002</v>
      </c>
      <c r="CT29" s="9">
        <f t="shared" si="25"/>
        <v>-3470.2700000000004</v>
      </c>
      <c r="CU29" s="9">
        <f t="shared" si="26"/>
        <v>104710.10000000002</v>
      </c>
      <c r="CV29" s="9">
        <f t="shared" si="27"/>
        <v>209420.2</v>
      </c>
    </row>
    <row r="30" spans="1:130">
      <c r="A30" s="10" t="s">
        <v>329</v>
      </c>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v>-343548.72</v>
      </c>
      <c r="BN30" s="9">
        <v>-343548.72</v>
      </c>
      <c r="BO30" s="9"/>
      <c r="BP30" s="9"/>
      <c r="BQ30" s="9"/>
      <c r="BR30" s="9"/>
      <c r="BS30" s="9"/>
      <c r="BT30" s="9">
        <f t="shared" si="5"/>
        <v>-687097.44</v>
      </c>
      <c r="BV30" s="9">
        <f t="shared" si="6"/>
        <v>0</v>
      </c>
      <c r="BW30" s="9">
        <f t="shared" si="7"/>
        <v>-687097.44</v>
      </c>
      <c r="BZ30" s="9">
        <f t="shared" si="8"/>
        <v>0</v>
      </c>
      <c r="CA30" s="9">
        <f t="shared" si="9"/>
        <v>0</v>
      </c>
      <c r="CB30" s="9">
        <f t="shared" si="10"/>
        <v>0</v>
      </c>
      <c r="CC30" s="7">
        <f t="shared" si="11"/>
        <v>0</v>
      </c>
      <c r="CD30" s="7">
        <f t="shared" si="12"/>
        <v>0</v>
      </c>
      <c r="CE30" s="9">
        <f t="shared" si="13"/>
        <v>0</v>
      </c>
      <c r="CF30" s="9">
        <f t="shared" si="13"/>
        <v>0</v>
      </c>
      <c r="CG30" s="32">
        <f t="shared" si="14"/>
        <v>0</v>
      </c>
      <c r="CH30" s="32">
        <f t="shared" si="15"/>
        <v>0</v>
      </c>
      <c r="CI30" s="32">
        <f t="shared" si="16"/>
        <v>0</v>
      </c>
      <c r="CJ30" s="22"/>
      <c r="CK30" s="9">
        <f t="shared" si="17"/>
        <v>0</v>
      </c>
      <c r="CL30" s="9">
        <f t="shared" si="18"/>
        <v>0</v>
      </c>
      <c r="CM30" s="9">
        <f t="shared" si="19"/>
        <v>248078.17999999996</v>
      </c>
      <c r="CN30" s="7">
        <f t="shared" si="20"/>
        <v>248078.17999999996</v>
      </c>
      <c r="CO30" s="7">
        <f t="shared" si="21"/>
        <v>0</v>
      </c>
      <c r="CP30" s="32">
        <f t="shared" si="22"/>
        <v>0</v>
      </c>
      <c r="CQ30" s="32">
        <f t="shared" si="23"/>
        <v>0</v>
      </c>
      <c r="CR30" s="21"/>
      <c r="CS30" s="9">
        <f t="shared" si="24"/>
        <v>248078.17999999996</v>
      </c>
      <c r="CT30" s="9">
        <f t="shared" si="25"/>
        <v>95470.540000000008</v>
      </c>
      <c r="CU30" s="9">
        <f t="shared" si="26"/>
        <v>343548.72</v>
      </c>
      <c r="CV30" s="9">
        <f t="shared" si="27"/>
        <v>687097.44</v>
      </c>
    </row>
    <row r="31" spans="1:130">
      <c r="A31" s="10" t="s">
        <v>336</v>
      </c>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v>-156898.01</v>
      </c>
      <c r="BH31" s="9"/>
      <c r="BI31" s="9"/>
      <c r="BJ31" s="9">
        <v>4424.96</v>
      </c>
      <c r="BK31" s="9">
        <v>732.59</v>
      </c>
      <c r="BL31" s="9"/>
      <c r="BM31" s="9"/>
      <c r="BN31" s="9">
        <v>-166200.57</v>
      </c>
      <c r="BO31" s="9"/>
      <c r="BP31" s="9"/>
      <c r="BQ31" s="9"/>
      <c r="BR31" s="9"/>
      <c r="BS31" s="9"/>
      <c r="BT31" s="9">
        <f t="shared" si="5"/>
        <v>-317941.03000000003</v>
      </c>
      <c r="BV31" s="9">
        <f t="shared" si="6"/>
        <v>0</v>
      </c>
      <c r="BW31" s="9">
        <f t="shared" si="7"/>
        <v>-317941.03000000003</v>
      </c>
      <c r="BZ31" s="9">
        <f t="shared" si="8"/>
        <v>0</v>
      </c>
      <c r="CA31" s="9">
        <f t="shared" si="9"/>
        <v>0</v>
      </c>
      <c r="CB31" s="9">
        <f t="shared" si="10"/>
        <v>0</v>
      </c>
      <c r="CC31" s="7">
        <f t="shared" si="11"/>
        <v>0</v>
      </c>
      <c r="CD31" s="7">
        <f t="shared" si="12"/>
        <v>0</v>
      </c>
      <c r="CE31" s="9">
        <f t="shared" si="13"/>
        <v>0</v>
      </c>
      <c r="CF31" s="9">
        <f t="shared" si="13"/>
        <v>0</v>
      </c>
      <c r="CG31" s="32">
        <f t="shared" si="14"/>
        <v>0</v>
      </c>
      <c r="CH31" s="32">
        <f t="shared" si="15"/>
        <v>0</v>
      </c>
      <c r="CI31" s="32">
        <f t="shared" si="16"/>
        <v>0</v>
      </c>
      <c r="CJ31" s="22"/>
      <c r="CK31" s="9">
        <f t="shared" si="17"/>
        <v>0</v>
      </c>
      <c r="CL31" s="9">
        <f t="shared" si="18"/>
        <v>0</v>
      </c>
      <c r="CM31" s="9">
        <f t="shared" si="19"/>
        <v>171787.16</v>
      </c>
      <c r="CN31" s="7">
        <f t="shared" si="20"/>
        <v>171787.16</v>
      </c>
      <c r="CO31" s="7">
        <f t="shared" si="21"/>
        <v>-156898.01</v>
      </c>
      <c r="CP31" s="32">
        <f t="shared" si="22"/>
        <v>0</v>
      </c>
      <c r="CQ31" s="32">
        <f t="shared" si="23"/>
        <v>156898.01</v>
      </c>
      <c r="CR31" s="21"/>
      <c r="CS31" s="9">
        <f t="shared" si="24"/>
        <v>14889.149999999994</v>
      </c>
      <c r="CT31" s="9">
        <f t="shared" si="25"/>
        <v>-5586.59</v>
      </c>
      <c r="CU31" s="9">
        <f t="shared" si="26"/>
        <v>9302.559999999994</v>
      </c>
      <c r="CV31" s="9">
        <f t="shared" si="27"/>
        <v>161043.02000000002</v>
      </c>
    </row>
    <row r="32" spans="1:130">
      <c r="A32" s="10" t="s">
        <v>337</v>
      </c>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v>-61964.24</v>
      </c>
      <c r="BL32" s="9">
        <v>-116.45</v>
      </c>
      <c r="BM32" s="9"/>
      <c r="BN32" s="9">
        <v>-118007.17</v>
      </c>
      <c r="BO32" s="9"/>
      <c r="BP32" s="9"/>
      <c r="BQ32" s="9"/>
      <c r="BR32" s="9"/>
      <c r="BS32" s="9"/>
      <c r="BT32" s="9">
        <f t="shared" si="5"/>
        <v>-180087.86</v>
      </c>
      <c r="BV32" s="9">
        <f t="shared" si="6"/>
        <v>0</v>
      </c>
      <c r="BW32" s="9">
        <f t="shared" si="7"/>
        <v>-180087.86</v>
      </c>
      <c r="BZ32" s="9">
        <f t="shared" si="8"/>
        <v>0</v>
      </c>
      <c r="CA32" s="9">
        <f t="shared" si="9"/>
        <v>0</v>
      </c>
      <c r="CB32" s="9">
        <f t="shared" si="10"/>
        <v>0</v>
      </c>
      <c r="CC32" s="7">
        <f t="shared" si="11"/>
        <v>0</v>
      </c>
      <c r="CD32" s="7">
        <f t="shared" si="12"/>
        <v>0</v>
      </c>
      <c r="CE32" s="9">
        <f t="shared" si="13"/>
        <v>0</v>
      </c>
      <c r="CF32" s="9">
        <f t="shared" si="13"/>
        <v>0</v>
      </c>
      <c r="CG32" s="32">
        <f t="shared" si="14"/>
        <v>0</v>
      </c>
      <c r="CH32" s="32">
        <f t="shared" si="15"/>
        <v>0</v>
      </c>
      <c r="CI32" s="32">
        <f t="shared" si="16"/>
        <v>0</v>
      </c>
      <c r="CJ32" s="22"/>
      <c r="CK32" s="9">
        <f t="shared" si="17"/>
        <v>0</v>
      </c>
      <c r="CL32" s="9">
        <f t="shared" si="18"/>
        <v>0</v>
      </c>
      <c r="CM32" s="9">
        <f t="shared" si="19"/>
        <v>112286.80000000002</v>
      </c>
      <c r="CN32" s="7">
        <f t="shared" si="20"/>
        <v>112286.80000000002</v>
      </c>
      <c r="CO32" s="7">
        <f t="shared" si="21"/>
        <v>0</v>
      </c>
      <c r="CP32" s="32">
        <f t="shared" si="22"/>
        <v>0</v>
      </c>
      <c r="CQ32" s="32">
        <f t="shared" si="23"/>
        <v>0</v>
      </c>
      <c r="CR32" s="21"/>
      <c r="CS32" s="9">
        <f t="shared" si="24"/>
        <v>112286.80000000002</v>
      </c>
      <c r="CT32" s="9">
        <f t="shared" si="25"/>
        <v>5720.3700000000008</v>
      </c>
      <c r="CU32" s="9">
        <f t="shared" si="26"/>
        <v>118007.17000000001</v>
      </c>
      <c r="CV32" s="9">
        <f t="shared" si="27"/>
        <v>180087.86</v>
      </c>
    </row>
    <row r="33" spans="1:130" s="5" customFormat="1">
      <c r="A33" s="70" t="s">
        <v>365</v>
      </c>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v>-139078.37</v>
      </c>
      <c r="BN33" s="7"/>
      <c r="BO33" s="7"/>
      <c r="BP33" s="7"/>
      <c r="BQ33" s="7"/>
      <c r="BR33" s="7"/>
      <c r="BS33" s="7"/>
      <c r="BT33" s="7">
        <f t="shared" si="5"/>
        <v>-139078.37</v>
      </c>
      <c r="BV33" s="9">
        <f t="shared" si="6"/>
        <v>0</v>
      </c>
      <c r="BW33" s="7">
        <f t="shared" si="7"/>
        <v>-139078.37</v>
      </c>
      <c r="BX33" s="7"/>
      <c r="BY33" s="7"/>
      <c r="BZ33" s="9">
        <f t="shared" si="8"/>
        <v>0</v>
      </c>
      <c r="CA33" s="9">
        <f t="shared" si="9"/>
        <v>0</v>
      </c>
      <c r="CB33" s="9">
        <f t="shared" si="10"/>
        <v>0</v>
      </c>
      <c r="CC33" s="7">
        <f t="shared" si="11"/>
        <v>0</v>
      </c>
      <c r="CD33" s="7">
        <f t="shared" si="12"/>
        <v>0</v>
      </c>
      <c r="CE33" s="9">
        <f t="shared" si="13"/>
        <v>0</v>
      </c>
      <c r="CF33" s="9">
        <f t="shared" si="13"/>
        <v>0</v>
      </c>
      <c r="CG33" s="32">
        <f t="shared" si="14"/>
        <v>0</v>
      </c>
      <c r="CH33" s="32">
        <f t="shared" si="15"/>
        <v>0</v>
      </c>
      <c r="CI33" s="32">
        <f t="shared" si="16"/>
        <v>0</v>
      </c>
      <c r="CJ33" s="22"/>
      <c r="CK33" s="9">
        <f t="shared" si="17"/>
        <v>0</v>
      </c>
      <c r="CL33" s="9">
        <f t="shared" si="18"/>
        <v>0</v>
      </c>
      <c r="CM33" s="9">
        <f t="shared" si="19"/>
        <v>125321.15</v>
      </c>
      <c r="CN33" s="7">
        <f t="shared" si="20"/>
        <v>125321.15</v>
      </c>
      <c r="CO33" s="7">
        <f t="shared" si="21"/>
        <v>0</v>
      </c>
      <c r="CP33" s="32">
        <f t="shared" si="22"/>
        <v>0</v>
      </c>
      <c r="CQ33" s="32">
        <f t="shared" si="23"/>
        <v>0</v>
      </c>
      <c r="CR33" s="21"/>
      <c r="CS33" s="9">
        <f t="shared" si="24"/>
        <v>125321.15</v>
      </c>
      <c r="CT33" s="9">
        <f t="shared" si="25"/>
        <v>13826.610000000002</v>
      </c>
      <c r="CU33" s="9">
        <f t="shared" si="26"/>
        <v>139147.76</v>
      </c>
      <c r="CV33" s="9">
        <f t="shared" si="27"/>
        <v>139078.37</v>
      </c>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row>
    <row r="34" spans="1:130">
      <c r="A34" s="10" t="s">
        <v>338</v>
      </c>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v>-32805.660000000003</v>
      </c>
      <c r="BH34" s="9"/>
      <c r="BI34" s="9"/>
      <c r="BJ34" s="9"/>
      <c r="BK34" s="9"/>
      <c r="BL34" s="9"/>
      <c r="BM34" s="9"/>
      <c r="BN34" s="9"/>
      <c r="BO34" s="9"/>
      <c r="BP34" s="9"/>
      <c r="BQ34" s="9"/>
      <c r="BR34" s="9"/>
      <c r="BS34" s="9"/>
      <c r="BT34" s="9">
        <f t="shared" si="5"/>
        <v>-32805.660000000003</v>
      </c>
      <c r="BV34" s="9">
        <f t="shared" si="6"/>
        <v>0</v>
      </c>
      <c r="BW34" s="9">
        <f t="shared" si="7"/>
        <v>-32805.660000000003</v>
      </c>
      <c r="BZ34" s="9">
        <f t="shared" si="8"/>
        <v>0</v>
      </c>
      <c r="CA34" s="9">
        <f t="shared" si="9"/>
        <v>0</v>
      </c>
      <c r="CB34" s="9">
        <f t="shared" si="10"/>
        <v>0</v>
      </c>
      <c r="CC34" s="7">
        <f t="shared" si="11"/>
        <v>0</v>
      </c>
      <c r="CD34" s="7">
        <f t="shared" si="12"/>
        <v>0</v>
      </c>
      <c r="CE34" s="9">
        <f t="shared" si="13"/>
        <v>0</v>
      </c>
      <c r="CF34" s="9">
        <f t="shared" si="13"/>
        <v>0</v>
      </c>
      <c r="CG34" s="32">
        <f t="shared" si="14"/>
        <v>0</v>
      </c>
      <c r="CH34" s="32">
        <f t="shared" si="15"/>
        <v>0</v>
      </c>
      <c r="CI34" s="32">
        <f t="shared" si="16"/>
        <v>0</v>
      </c>
      <c r="CJ34" s="22"/>
      <c r="CK34" s="9">
        <f t="shared" si="17"/>
        <v>0</v>
      </c>
      <c r="CL34" s="9">
        <f t="shared" si="18"/>
        <v>0</v>
      </c>
      <c r="CM34" s="9">
        <f t="shared" si="19"/>
        <v>32805.659999999996</v>
      </c>
      <c r="CN34" s="7">
        <f t="shared" si="20"/>
        <v>32805.659999999996</v>
      </c>
      <c r="CO34" s="7">
        <f t="shared" si="21"/>
        <v>-32805.660000000003</v>
      </c>
      <c r="CP34" s="32">
        <f t="shared" si="22"/>
        <v>0</v>
      </c>
      <c r="CQ34" s="32">
        <f t="shared" si="23"/>
        <v>32805.660000000003</v>
      </c>
      <c r="CR34" s="21"/>
      <c r="CS34" s="9">
        <f t="shared" si="24"/>
        <v>0</v>
      </c>
      <c r="CT34" s="9">
        <f t="shared" si="25"/>
        <v>0</v>
      </c>
      <c r="CU34" s="9">
        <f t="shared" si="26"/>
        <v>0</v>
      </c>
      <c r="CV34" s="9">
        <f t="shared" si="27"/>
        <v>0</v>
      </c>
    </row>
    <row r="35" spans="1:130">
      <c r="A35" s="10" t="s">
        <v>339</v>
      </c>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v>-9060.9699999999993</v>
      </c>
      <c r="BL35" s="9"/>
      <c r="BM35" s="9">
        <v>-42775.98</v>
      </c>
      <c r="BN35" s="9"/>
      <c r="BO35" s="9"/>
      <c r="BP35" s="9"/>
      <c r="BQ35" s="9"/>
      <c r="BR35" s="9"/>
      <c r="BS35" s="9"/>
      <c r="BT35" s="9">
        <f t="shared" si="5"/>
        <v>-51836.950000000004</v>
      </c>
      <c r="BV35" s="9">
        <f t="shared" si="6"/>
        <v>0</v>
      </c>
      <c r="BW35" s="9">
        <f t="shared" si="7"/>
        <v>-51836.950000000004</v>
      </c>
      <c r="BZ35" s="9">
        <f t="shared" si="8"/>
        <v>0</v>
      </c>
      <c r="CA35" s="9">
        <f t="shared" si="9"/>
        <v>0</v>
      </c>
      <c r="CB35" s="9">
        <f t="shared" si="10"/>
        <v>0</v>
      </c>
      <c r="CC35" s="7">
        <f t="shared" si="11"/>
        <v>0</v>
      </c>
      <c r="CD35" s="7">
        <f t="shared" si="12"/>
        <v>0</v>
      </c>
      <c r="CE35" s="9">
        <f t="shared" si="13"/>
        <v>0</v>
      </c>
      <c r="CF35" s="9">
        <f t="shared" si="13"/>
        <v>0</v>
      </c>
      <c r="CG35" s="32">
        <f t="shared" si="14"/>
        <v>0</v>
      </c>
      <c r="CH35" s="32">
        <f t="shared" si="15"/>
        <v>0</v>
      </c>
      <c r="CI35" s="32">
        <f t="shared" si="16"/>
        <v>0</v>
      </c>
      <c r="CJ35" s="22"/>
      <c r="CK35" s="9">
        <f t="shared" si="17"/>
        <v>0</v>
      </c>
      <c r="CL35" s="9">
        <f t="shared" si="18"/>
        <v>0</v>
      </c>
      <c r="CM35" s="9">
        <f t="shared" si="19"/>
        <v>50753.510000000009</v>
      </c>
      <c r="CN35" s="7">
        <f t="shared" si="20"/>
        <v>50753.510000000009</v>
      </c>
      <c r="CO35" s="7">
        <f t="shared" si="21"/>
        <v>0</v>
      </c>
      <c r="CP35" s="32">
        <f t="shared" si="22"/>
        <v>0</v>
      </c>
      <c r="CQ35" s="32">
        <f t="shared" si="23"/>
        <v>0</v>
      </c>
      <c r="CR35" s="21"/>
      <c r="CS35" s="9">
        <f t="shared" si="24"/>
        <v>50753.510000000009</v>
      </c>
      <c r="CT35" s="9">
        <f t="shared" si="25"/>
        <v>1083.4399999999998</v>
      </c>
      <c r="CU35" s="9">
        <f t="shared" si="26"/>
        <v>51836.950000000012</v>
      </c>
      <c r="CV35" s="9">
        <f t="shared" si="27"/>
        <v>51836.950000000004</v>
      </c>
    </row>
    <row r="36" spans="1:130">
      <c r="A36" s="10" t="s">
        <v>340</v>
      </c>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v>-13725.11</v>
      </c>
      <c r="BM36" s="9">
        <v>-22138.33</v>
      </c>
      <c r="BN36" s="9"/>
      <c r="BO36" s="9"/>
      <c r="BP36" s="9"/>
      <c r="BQ36" s="9"/>
      <c r="BR36" s="9"/>
      <c r="BS36" s="9"/>
      <c r="BT36" s="9">
        <f t="shared" si="5"/>
        <v>-35863.440000000002</v>
      </c>
      <c r="BV36" s="9">
        <f t="shared" si="6"/>
        <v>0</v>
      </c>
      <c r="BW36" s="9">
        <f t="shared" si="7"/>
        <v>-35863.440000000002</v>
      </c>
      <c r="BZ36" s="9">
        <f t="shared" si="8"/>
        <v>0</v>
      </c>
      <c r="CA36" s="9">
        <f t="shared" si="9"/>
        <v>0</v>
      </c>
      <c r="CB36" s="9">
        <f t="shared" si="10"/>
        <v>0</v>
      </c>
      <c r="CC36" s="7">
        <f t="shared" si="11"/>
        <v>0</v>
      </c>
      <c r="CD36" s="7">
        <f t="shared" si="12"/>
        <v>0</v>
      </c>
      <c r="CE36" s="9">
        <f t="shared" si="13"/>
        <v>0</v>
      </c>
      <c r="CF36" s="9">
        <f t="shared" si="13"/>
        <v>0</v>
      </c>
      <c r="CG36" s="32">
        <f t="shared" si="14"/>
        <v>0</v>
      </c>
      <c r="CH36" s="32">
        <f t="shared" si="15"/>
        <v>0</v>
      </c>
      <c r="CI36" s="32">
        <f t="shared" si="16"/>
        <v>0</v>
      </c>
      <c r="CJ36" s="22"/>
      <c r="CK36" s="9">
        <f t="shared" si="17"/>
        <v>0</v>
      </c>
      <c r="CL36" s="9">
        <f t="shared" si="18"/>
        <v>0</v>
      </c>
      <c r="CM36" s="9">
        <f t="shared" si="19"/>
        <v>35453.96</v>
      </c>
      <c r="CN36" s="7">
        <f t="shared" si="20"/>
        <v>35453.96</v>
      </c>
      <c r="CO36" s="7">
        <f t="shared" si="21"/>
        <v>0</v>
      </c>
      <c r="CP36" s="32">
        <f t="shared" si="22"/>
        <v>0</v>
      </c>
      <c r="CQ36" s="32">
        <f t="shared" si="23"/>
        <v>0</v>
      </c>
      <c r="CR36" s="21"/>
      <c r="CS36" s="9">
        <f t="shared" si="24"/>
        <v>35453.96</v>
      </c>
      <c r="CT36" s="9">
        <f t="shared" si="25"/>
        <v>409.48</v>
      </c>
      <c r="CU36" s="9">
        <f t="shared" si="26"/>
        <v>35863.440000000002</v>
      </c>
      <c r="CV36" s="9">
        <f t="shared" si="27"/>
        <v>35863.440000000002</v>
      </c>
    </row>
    <row r="37" spans="1:130">
      <c r="A37" s="10" t="s">
        <v>341</v>
      </c>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v>-168631.27</v>
      </c>
      <c r="BH37" s="9"/>
      <c r="BI37" s="9">
        <v>16904.900000000001</v>
      </c>
      <c r="BJ37" s="9"/>
      <c r="BK37" s="9"/>
      <c r="BL37" s="9"/>
      <c r="BM37" s="9"/>
      <c r="BN37" s="9"/>
      <c r="BO37" s="9"/>
      <c r="BP37" s="9"/>
      <c r="BQ37" s="9"/>
      <c r="BR37" s="9"/>
      <c r="BS37" s="9"/>
      <c r="BT37" s="9">
        <f t="shared" si="5"/>
        <v>-151726.37</v>
      </c>
      <c r="BV37" s="9">
        <f t="shared" si="6"/>
        <v>0</v>
      </c>
      <c r="BW37" s="9">
        <f t="shared" si="7"/>
        <v>-151726.37</v>
      </c>
      <c r="BZ37" s="9">
        <f t="shared" si="8"/>
        <v>0</v>
      </c>
      <c r="CA37" s="9">
        <f t="shared" si="9"/>
        <v>0</v>
      </c>
      <c r="CB37" s="9">
        <f t="shared" si="10"/>
        <v>0</v>
      </c>
      <c r="CC37" s="7">
        <f t="shared" si="11"/>
        <v>0</v>
      </c>
      <c r="CD37" s="7">
        <f t="shared" si="12"/>
        <v>0</v>
      </c>
      <c r="CE37" s="9">
        <f t="shared" si="13"/>
        <v>0</v>
      </c>
      <c r="CF37" s="9">
        <f t="shared" si="13"/>
        <v>0</v>
      </c>
      <c r="CG37" s="32">
        <f t="shared" si="14"/>
        <v>0</v>
      </c>
      <c r="CH37" s="32">
        <f t="shared" si="15"/>
        <v>0</v>
      </c>
      <c r="CI37" s="32">
        <f t="shared" si="16"/>
        <v>0</v>
      </c>
      <c r="CJ37" s="22"/>
      <c r="CK37" s="9">
        <f t="shared" si="17"/>
        <v>0</v>
      </c>
      <c r="CL37" s="9">
        <f t="shared" si="18"/>
        <v>0</v>
      </c>
      <c r="CM37" s="9">
        <f t="shared" si="19"/>
        <v>169420.09999999998</v>
      </c>
      <c r="CN37" s="7">
        <f t="shared" si="20"/>
        <v>169420.09999999998</v>
      </c>
      <c r="CO37" s="7">
        <f t="shared" si="21"/>
        <v>-168631.27</v>
      </c>
      <c r="CP37" s="32">
        <f t="shared" si="22"/>
        <v>0</v>
      </c>
      <c r="CQ37" s="32">
        <f t="shared" si="23"/>
        <v>168631.27</v>
      </c>
      <c r="CR37" s="21"/>
      <c r="CS37" s="9">
        <f t="shared" si="24"/>
        <v>788.82999999998719</v>
      </c>
      <c r="CT37" s="9">
        <f t="shared" si="25"/>
        <v>-11316.210000000005</v>
      </c>
      <c r="CU37" s="9">
        <f t="shared" si="26"/>
        <v>-10527.380000000017</v>
      </c>
      <c r="CV37" s="9">
        <f t="shared" si="27"/>
        <v>-16904.900000000001</v>
      </c>
    </row>
    <row r="38" spans="1:130">
      <c r="A38" s="10" t="s">
        <v>342</v>
      </c>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v>-1682784.72</v>
      </c>
      <c r="BH38" s="9">
        <v>-36192.639999999999</v>
      </c>
      <c r="BI38" s="9">
        <v>-2414.58</v>
      </c>
      <c r="BJ38" s="9"/>
      <c r="BK38" s="9"/>
      <c r="BL38" s="9"/>
      <c r="BM38" s="9"/>
      <c r="BN38" s="9"/>
      <c r="BO38" s="9"/>
      <c r="BP38" s="9"/>
      <c r="BQ38" s="9"/>
      <c r="BR38" s="9"/>
      <c r="BS38" s="9"/>
      <c r="BT38" s="9">
        <f t="shared" si="5"/>
        <v>-1721391.94</v>
      </c>
      <c r="BV38" s="9">
        <f t="shared" si="6"/>
        <v>0</v>
      </c>
      <c r="BW38" s="9">
        <f t="shared" si="7"/>
        <v>-1721391.94</v>
      </c>
      <c r="BZ38" s="9">
        <f t="shared" si="8"/>
        <v>0</v>
      </c>
      <c r="CA38" s="9">
        <f t="shared" si="9"/>
        <v>0</v>
      </c>
      <c r="CB38" s="9">
        <f t="shared" si="10"/>
        <v>0</v>
      </c>
      <c r="CC38" s="7">
        <f t="shared" si="11"/>
        <v>0</v>
      </c>
      <c r="CD38" s="7">
        <f t="shared" si="12"/>
        <v>0</v>
      </c>
      <c r="CE38" s="9">
        <f t="shared" si="13"/>
        <v>0</v>
      </c>
      <c r="CF38" s="9">
        <f t="shared" si="13"/>
        <v>0</v>
      </c>
      <c r="CG38" s="32">
        <f t="shared" si="14"/>
        <v>0</v>
      </c>
      <c r="CH38" s="32">
        <f t="shared" si="15"/>
        <v>0</v>
      </c>
      <c r="CI38" s="32">
        <f t="shared" si="16"/>
        <v>0</v>
      </c>
      <c r="CJ38" s="22"/>
      <c r="CK38" s="9">
        <f t="shared" si="17"/>
        <v>0</v>
      </c>
      <c r="CL38" s="9">
        <f t="shared" si="18"/>
        <v>0</v>
      </c>
      <c r="CM38" s="9">
        <f t="shared" si="19"/>
        <v>1682784.72</v>
      </c>
      <c r="CN38" s="7">
        <f t="shared" si="20"/>
        <v>1682784.72</v>
      </c>
      <c r="CO38" s="7">
        <f t="shared" si="21"/>
        <v>-1682784.72</v>
      </c>
      <c r="CP38" s="32">
        <f t="shared" si="22"/>
        <v>0</v>
      </c>
      <c r="CQ38" s="32">
        <f t="shared" si="23"/>
        <v>1682784.72</v>
      </c>
      <c r="CR38" s="21"/>
      <c r="CS38" s="9">
        <f t="shared" si="24"/>
        <v>0</v>
      </c>
      <c r="CT38" s="9">
        <f t="shared" si="25"/>
        <v>40701.11</v>
      </c>
      <c r="CU38" s="9">
        <f t="shared" si="26"/>
        <v>40701.11</v>
      </c>
      <c r="CV38" s="9">
        <f t="shared" si="27"/>
        <v>38607.22</v>
      </c>
    </row>
    <row r="39" spans="1:130" ht="13.5" thickBot="1">
      <c r="A39" t="s">
        <v>63</v>
      </c>
      <c r="B39" s="231">
        <f t="shared" ref="B39:AG39" si="28">SUM(B8:B38)</f>
        <v>0</v>
      </c>
      <c r="C39" s="231">
        <f t="shared" si="28"/>
        <v>0</v>
      </c>
      <c r="D39" s="231">
        <f t="shared" si="28"/>
        <v>0</v>
      </c>
      <c r="E39" s="231">
        <f t="shared" si="28"/>
        <v>0</v>
      </c>
      <c r="F39" s="231">
        <f t="shared" si="28"/>
        <v>0</v>
      </c>
      <c r="G39" s="231">
        <f t="shared" si="28"/>
        <v>0</v>
      </c>
      <c r="H39" s="231">
        <f t="shared" si="28"/>
        <v>0</v>
      </c>
      <c r="I39" s="231">
        <f t="shared" si="28"/>
        <v>0</v>
      </c>
      <c r="J39" s="231">
        <f t="shared" si="28"/>
        <v>0</v>
      </c>
      <c r="K39" s="231">
        <f t="shared" si="28"/>
        <v>0</v>
      </c>
      <c r="L39" s="231">
        <f t="shared" si="28"/>
        <v>0</v>
      </c>
      <c r="M39" s="231">
        <f t="shared" si="28"/>
        <v>0</v>
      </c>
      <c r="N39" s="231">
        <f t="shared" si="28"/>
        <v>0</v>
      </c>
      <c r="O39" s="231">
        <f t="shared" si="28"/>
        <v>0</v>
      </c>
      <c r="P39" s="231">
        <f t="shared" si="28"/>
        <v>0</v>
      </c>
      <c r="Q39" s="231">
        <f t="shared" si="28"/>
        <v>-13747922</v>
      </c>
      <c r="R39" s="231">
        <f t="shared" si="28"/>
        <v>0</v>
      </c>
      <c r="S39" s="231">
        <f t="shared" si="28"/>
        <v>0</v>
      </c>
      <c r="T39" s="231">
        <f t="shared" si="28"/>
        <v>0</v>
      </c>
      <c r="U39" s="231">
        <f t="shared" si="28"/>
        <v>-13999833.920000002</v>
      </c>
      <c r="V39" s="231">
        <f t="shared" si="28"/>
        <v>-17401210.809999999</v>
      </c>
      <c r="W39" s="231">
        <f t="shared" si="28"/>
        <v>-2662751.2800000003</v>
      </c>
      <c r="X39" s="231">
        <f t="shared" si="28"/>
        <v>-2097687.4900000002</v>
      </c>
      <c r="Y39" s="231">
        <f t="shared" si="28"/>
        <v>-51569.85</v>
      </c>
      <c r="Z39" s="231">
        <f t="shared" si="28"/>
        <v>219546.78000000003</v>
      </c>
      <c r="AA39" s="231">
        <f t="shared" si="28"/>
        <v>-356614.88</v>
      </c>
      <c r="AB39" s="231">
        <f t="shared" si="28"/>
        <v>0</v>
      </c>
      <c r="AC39" s="231">
        <f t="shared" si="28"/>
        <v>-142152.87</v>
      </c>
      <c r="AD39" s="231">
        <f t="shared" si="28"/>
        <v>-64936.04</v>
      </c>
      <c r="AE39" s="231">
        <f t="shared" si="28"/>
        <v>-5817529.0499999998</v>
      </c>
      <c r="AF39" s="231">
        <f t="shared" si="28"/>
        <v>-154089.76</v>
      </c>
      <c r="AG39" s="231">
        <f t="shared" si="28"/>
        <v>-246508.34</v>
      </c>
      <c r="AH39" s="231">
        <f t="shared" ref="AH39:BM39" si="29">SUM(AH8:AH38)</f>
        <v>-31553.17</v>
      </c>
      <c r="AI39" s="231">
        <f t="shared" si="29"/>
        <v>-5620.35</v>
      </c>
      <c r="AJ39" s="231">
        <f t="shared" si="29"/>
        <v>-4128.67</v>
      </c>
      <c r="AK39" s="231">
        <f t="shared" si="29"/>
        <v>-208.45</v>
      </c>
      <c r="AL39" s="231">
        <f t="shared" si="29"/>
        <v>0</v>
      </c>
      <c r="AM39" s="231">
        <f t="shared" si="29"/>
        <v>-31520.5</v>
      </c>
      <c r="AN39" s="231">
        <f t="shared" si="29"/>
        <v>-2206.83</v>
      </c>
      <c r="AO39" s="231">
        <f t="shared" si="29"/>
        <v>-4074.87</v>
      </c>
      <c r="AP39" s="231">
        <f t="shared" si="29"/>
        <v>-10761486.710000001</v>
      </c>
      <c r="AQ39" s="231">
        <f t="shared" si="29"/>
        <v>0</v>
      </c>
      <c r="AR39" s="231">
        <f t="shared" si="29"/>
        <v>-330037.25</v>
      </c>
      <c r="AS39" s="231">
        <f t="shared" si="29"/>
        <v>-4579607.57</v>
      </c>
      <c r="AT39" s="231">
        <f t="shared" si="29"/>
        <v>-20371763.529999997</v>
      </c>
      <c r="AU39" s="231">
        <f t="shared" si="29"/>
        <v>-54606.11</v>
      </c>
      <c r="AV39" s="231">
        <f t="shared" si="29"/>
        <v>49598.2</v>
      </c>
      <c r="AW39" s="231">
        <f t="shared" si="29"/>
        <v>0</v>
      </c>
      <c r="AX39" s="231">
        <f t="shared" si="29"/>
        <v>-167105.60000000001</v>
      </c>
      <c r="AY39" s="231">
        <f t="shared" si="29"/>
        <v>-1256.4500000000003</v>
      </c>
      <c r="AZ39" s="231">
        <f t="shared" si="29"/>
        <v>-909649.35</v>
      </c>
      <c r="BA39" s="231">
        <f t="shared" si="29"/>
        <v>85401.47</v>
      </c>
      <c r="BB39" s="231">
        <f t="shared" si="29"/>
        <v>-2464964.9200000004</v>
      </c>
      <c r="BC39" s="231">
        <f t="shared" si="29"/>
        <v>-30893265.870000001</v>
      </c>
      <c r="BD39" s="231">
        <f t="shared" si="29"/>
        <v>-928339.97</v>
      </c>
      <c r="BE39" s="231">
        <f t="shared" si="29"/>
        <v>90949.73</v>
      </c>
      <c r="BF39" s="231">
        <f t="shared" si="29"/>
        <v>-1561224.3499999999</v>
      </c>
      <c r="BG39" s="231">
        <f t="shared" si="29"/>
        <v>-23148404.489999998</v>
      </c>
      <c r="BH39" s="231">
        <f t="shared" si="29"/>
        <v>-54085.869999999995</v>
      </c>
      <c r="BI39" s="231">
        <f t="shared" si="29"/>
        <v>-64508.26</v>
      </c>
      <c r="BJ39" s="231">
        <f t="shared" si="29"/>
        <v>-195458.72999999998</v>
      </c>
      <c r="BK39" s="231">
        <f t="shared" si="29"/>
        <v>-32845.509999999995</v>
      </c>
      <c r="BL39" s="231">
        <f t="shared" si="29"/>
        <v>-37512.54</v>
      </c>
      <c r="BM39" s="231">
        <f t="shared" si="29"/>
        <v>-232931.84999999992</v>
      </c>
      <c r="BN39" s="231">
        <f t="shared" ref="BN39:BT39" si="30">SUM(BN8:BN38)</f>
        <v>-15592550.880000001</v>
      </c>
      <c r="BO39" s="231">
        <f t="shared" si="30"/>
        <v>0</v>
      </c>
      <c r="BP39" s="231">
        <f t="shared" si="30"/>
        <v>0</v>
      </c>
      <c r="BQ39" s="231">
        <f t="shared" si="30"/>
        <v>0</v>
      </c>
      <c r="BR39" s="231">
        <f t="shared" si="30"/>
        <v>0</v>
      </c>
      <c r="BS39" s="231">
        <f t="shared" si="30"/>
        <v>0</v>
      </c>
      <c r="BT39" s="9">
        <f t="shared" si="30"/>
        <v>-168758228.76000002</v>
      </c>
      <c r="BV39" s="8">
        <f>SUM(BV8:BV38)</f>
        <v>-56560433.030000001</v>
      </c>
      <c r="BW39" s="8">
        <f>SUM(BW8:BW38)</f>
        <v>-112197795.72999999</v>
      </c>
      <c r="BZ39" s="8">
        <f t="shared" ref="BZ39:CI39" si="31">SUM(BZ8:BZ38)</f>
        <v>10280419.399999985</v>
      </c>
      <c r="CA39" s="8">
        <f t="shared" si="31"/>
        <v>24889279.080000002</v>
      </c>
      <c r="CB39" s="8">
        <f t="shared" si="31"/>
        <v>15012767.080000002</v>
      </c>
      <c r="CC39" s="51">
        <f t="shared" si="31"/>
        <v>50182465.55999998</v>
      </c>
      <c r="CD39" s="51">
        <f t="shared" si="31"/>
        <v>-36139640.490000002</v>
      </c>
      <c r="CE39" s="8">
        <f t="shared" si="31"/>
        <v>-11133663.280000001</v>
      </c>
      <c r="CF39" s="8">
        <f t="shared" si="31"/>
        <v>-25005977.209999997</v>
      </c>
      <c r="CG39" s="33">
        <f t="shared" si="31"/>
        <v>11133663.280000001</v>
      </c>
      <c r="CH39" s="34">
        <f t="shared" si="31"/>
        <v>21266527.929999985</v>
      </c>
      <c r="CI39" s="35">
        <f t="shared" si="31"/>
        <v>3739449.2800000156</v>
      </c>
      <c r="CJ39" s="22"/>
      <c r="CK39" s="8">
        <f t="shared" ref="CK39:CQ39" si="32">SUM(CK8:CK38)</f>
        <v>2769507.2699999982</v>
      </c>
      <c r="CL39" s="8">
        <f t="shared" si="32"/>
        <v>11273317.799999986</v>
      </c>
      <c r="CM39" s="8">
        <f t="shared" si="32"/>
        <v>53792624.059999987</v>
      </c>
      <c r="CN39" s="51">
        <f t="shared" si="32"/>
        <v>67835449.12999998</v>
      </c>
      <c r="CO39" s="51">
        <f t="shared" si="32"/>
        <v>-59848261.600000001</v>
      </c>
      <c r="CP39" s="35">
        <f t="shared" si="32"/>
        <v>2769507.2699999982</v>
      </c>
      <c r="CQ39" s="35">
        <f t="shared" si="32"/>
        <v>57078754.329999998</v>
      </c>
      <c r="CR39" s="21"/>
      <c r="CS39" s="51">
        <f>SUM(CS8:CS38)</f>
        <v>7987187.5299999779</v>
      </c>
      <c r="CT39" s="51">
        <f>SUM(CT8:CT38)</f>
        <v>7390304.5200000023</v>
      </c>
      <c r="CU39" s="51">
        <f>SUM(CU8:CU38)</f>
        <v>15377492.049999977</v>
      </c>
      <c r="CV39" s="51">
        <f>SUM(CV8:CV38)</f>
        <v>16209893.639999995</v>
      </c>
    </row>
    <row r="40" spans="1:130" ht="13.5" thickTop="1">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CF40" s="27" t="s">
        <v>99</v>
      </c>
      <c r="CG40" s="36">
        <v>-10100000</v>
      </c>
      <c r="CH40" s="31"/>
      <c r="CI40" s="31"/>
      <c r="CJ40" s="21"/>
      <c r="CK40" s="2" t="s">
        <v>86</v>
      </c>
      <c r="CR40" s="21"/>
      <c r="CS40" s="9" t="s">
        <v>325</v>
      </c>
    </row>
    <row r="41" spans="1:130">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CF41" s="27" t="s">
        <v>100</v>
      </c>
      <c r="CG41" s="35">
        <f>SUM(CG39:CG40)</f>
        <v>1033663.2800000012</v>
      </c>
      <c r="CH41" s="31"/>
      <c r="CI41" s="31"/>
      <c r="CJ41" s="21"/>
      <c r="CK41" s="20">
        <f>SUM(CK39:CL39)</f>
        <v>14042825.069999984</v>
      </c>
      <c r="CR41" s="21"/>
      <c r="CS41" s="9">
        <f>SUM(B39:BG39,B77:BG77)</f>
        <v>7987187.529999977</v>
      </c>
    </row>
    <row r="42" spans="1:130">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CJ42" s="21"/>
      <c r="CK42" s="20">
        <f>SUM(B39:AU39,B77:AU77)</f>
        <v>14042825.06999997</v>
      </c>
      <c r="CR42" s="21"/>
      <c r="CS42" s="9">
        <f>CS39-CS41</f>
        <v>0</v>
      </c>
    </row>
    <row r="43" spans="1:130">
      <c r="CJ43" s="21"/>
      <c r="CK43" s="9">
        <f>CK41-CK42</f>
        <v>0</v>
      </c>
      <c r="CR43" s="21"/>
    </row>
    <row r="44" spans="1:130">
      <c r="A44" s="3" t="s">
        <v>66</v>
      </c>
      <c r="CJ44" s="21"/>
      <c r="CR44" s="21"/>
    </row>
    <row r="45" spans="1:130">
      <c r="A45" t="s">
        <v>0</v>
      </c>
      <c r="B45" t="s">
        <v>62</v>
      </c>
      <c r="C45" t="s">
        <v>21</v>
      </c>
      <c r="D45" t="s">
        <v>2</v>
      </c>
      <c r="E45" t="s">
        <v>1</v>
      </c>
      <c r="F45" t="s">
        <v>3</v>
      </c>
      <c r="G45" t="s">
        <v>35</v>
      </c>
      <c r="H45" t="s">
        <v>22</v>
      </c>
      <c r="I45" t="s">
        <v>4</v>
      </c>
      <c r="J45" t="s">
        <v>6</v>
      </c>
      <c r="K45" t="s">
        <v>5</v>
      </c>
      <c r="L45" t="s">
        <v>7</v>
      </c>
      <c r="M45" t="s">
        <v>8</v>
      </c>
      <c r="N45" t="s">
        <v>9</v>
      </c>
      <c r="O45" t="s">
        <v>23</v>
      </c>
      <c r="P45" t="s">
        <v>24</v>
      </c>
      <c r="Q45" t="s">
        <v>13</v>
      </c>
      <c r="R45" t="s">
        <v>11</v>
      </c>
      <c r="S45" t="s">
        <v>14</v>
      </c>
      <c r="T45" t="s">
        <v>28</v>
      </c>
      <c r="U45" t="s">
        <v>27</v>
      </c>
      <c r="V45" t="s">
        <v>16</v>
      </c>
      <c r="W45" t="s">
        <v>15</v>
      </c>
      <c r="X45" t="s">
        <v>32</v>
      </c>
      <c r="Y45" t="s">
        <v>25</v>
      </c>
      <c r="Z45" t="s">
        <v>20</v>
      </c>
      <c r="AA45" t="s">
        <v>34</v>
      </c>
      <c r="AB45" t="s">
        <v>19</v>
      </c>
      <c r="AC45" t="s">
        <v>52</v>
      </c>
      <c r="AD45" t="s">
        <v>29</v>
      </c>
      <c r="AE45" t="s">
        <v>43</v>
      </c>
      <c r="AF45" t="s">
        <v>17</v>
      </c>
      <c r="AG45" t="s">
        <v>18</v>
      </c>
      <c r="AH45" t="s">
        <v>26</v>
      </c>
      <c r="AI45" t="s">
        <v>33</v>
      </c>
      <c r="AJ45" t="s">
        <v>45</v>
      </c>
      <c r="AK45" t="s">
        <v>44</v>
      </c>
      <c r="AL45" t="s">
        <v>54</v>
      </c>
      <c r="AM45" t="s">
        <v>55</v>
      </c>
      <c r="AN45" t="s">
        <v>38</v>
      </c>
      <c r="AO45" t="s">
        <v>10</v>
      </c>
      <c r="AP45" t="s">
        <v>37</v>
      </c>
      <c r="AQ45" t="s">
        <v>39</v>
      </c>
      <c r="AR45" t="s">
        <v>53</v>
      </c>
      <c r="AS45" t="s">
        <v>42</v>
      </c>
      <c r="AT45" t="s">
        <v>40</v>
      </c>
      <c r="AU45" t="s">
        <v>41</v>
      </c>
      <c r="AV45" t="s">
        <v>56</v>
      </c>
      <c r="AW45" t="s">
        <v>30</v>
      </c>
      <c r="AX45" t="s">
        <v>46</v>
      </c>
      <c r="AY45" t="s">
        <v>47</v>
      </c>
      <c r="AZ45" t="s">
        <v>51</v>
      </c>
      <c r="BA45" t="s">
        <v>50</v>
      </c>
      <c r="BB45" t="s">
        <v>48</v>
      </c>
      <c r="BC45" t="s">
        <v>49</v>
      </c>
      <c r="BD45" t="s">
        <v>301</v>
      </c>
      <c r="BE45" t="s">
        <v>302</v>
      </c>
      <c r="BF45" t="s">
        <v>303</v>
      </c>
      <c r="BG45" t="s">
        <v>304</v>
      </c>
      <c r="BH45" s="225">
        <v>40939</v>
      </c>
      <c r="BI45" s="225">
        <v>40967</v>
      </c>
      <c r="BJ45" s="225">
        <v>40999</v>
      </c>
      <c r="BK45" s="225">
        <v>41029</v>
      </c>
      <c r="BL45" s="225">
        <v>41060</v>
      </c>
      <c r="BM45" s="225">
        <v>41090</v>
      </c>
      <c r="BN45" s="225">
        <v>41121</v>
      </c>
      <c r="BO45" s="225">
        <v>41152</v>
      </c>
      <c r="BP45" s="225">
        <v>41182</v>
      </c>
      <c r="BQ45" s="225">
        <v>41213</v>
      </c>
      <c r="BR45" s="225">
        <v>41243</v>
      </c>
      <c r="BS45" s="225">
        <v>41274</v>
      </c>
      <c r="BT45" t="s">
        <v>63</v>
      </c>
      <c r="BX45" s="11" t="s">
        <v>75</v>
      </c>
      <c r="CJ45" s="21"/>
      <c r="CR45" s="21"/>
    </row>
    <row r="46" spans="1:130">
      <c r="A46" t="s">
        <v>12</v>
      </c>
      <c r="B46" s="9">
        <v>2298.21</v>
      </c>
      <c r="C46" s="9">
        <v>2559.17</v>
      </c>
      <c r="D46" s="9">
        <v>2513.61</v>
      </c>
      <c r="E46" s="9">
        <v>10519.46</v>
      </c>
      <c r="F46" s="9">
        <v>11174.07</v>
      </c>
      <c r="G46" s="9">
        <v>2557.67</v>
      </c>
      <c r="H46" s="9">
        <v>2461243.37</v>
      </c>
      <c r="I46" s="9">
        <v>-1530354.62</v>
      </c>
      <c r="J46" s="9">
        <v>207163.88</v>
      </c>
      <c r="K46" s="9">
        <v>2552217.5699999998</v>
      </c>
      <c r="L46" s="9">
        <v>-1101576.4500000002</v>
      </c>
      <c r="M46" s="9">
        <v>449617.68999999989</v>
      </c>
      <c r="N46" s="9">
        <v>2224025.2499999986</v>
      </c>
      <c r="O46" s="9">
        <v>1264961.9499999995</v>
      </c>
      <c r="P46" s="9">
        <v>2934387.6299999994</v>
      </c>
      <c r="Q46" s="9">
        <v>3200351.96</v>
      </c>
      <c r="R46" s="9">
        <v>2287072.6599999997</v>
      </c>
      <c r="S46" s="9">
        <v>1734456.0199999993</v>
      </c>
      <c r="T46" s="9">
        <v>1575680.7300000002</v>
      </c>
      <c r="U46" s="9">
        <v>918567.69999999925</v>
      </c>
      <c r="V46" s="9">
        <v>50626.69</v>
      </c>
      <c r="W46" s="9">
        <v>393758.40999999986</v>
      </c>
      <c r="X46" s="9">
        <v>-13189.869999999999</v>
      </c>
      <c r="Y46" s="9">
        <v>-110750.59</v>
      </c>
      <c r="Z46" s="9">
        <v>-2777.6999999999989</v>
      </c>
      <c r="AA46" s="9">
        <v>34.4</v>
      </c>
      <c r="AB46" s="9">
        <v>232774.78999999995</v>
      </c>
      <c r="AC46" s="9">
        <v>59923.64</v>
      </c>
      <c r="AD46" s="9">
        <v>-4283.8900000000012</v>
      </c>
      <c r="AE46" s="9">
        <v>15293.99</v>
      </c>
      <c r="AF46" s="9">
        <v>7832</v>
      </c>
      <c r="AG46" s="9">
        <v>-24836.79</v>
      </c>
      <c r="AH46" s="9">
        <v>-1491.51</v>
      </c>
      <c r="AI46" s="9">
        <v>-109.3</v>
      </c>
      <c r="AJ46" s="9"/>
      <c r="AK46" s="9"/>
      <c r="AL46" s="9">
        <v>2989.35</v>
      </c>
      <c r="AM46" s="9">
        <v>321.49</v>
      </c>
      <c r="AN46" s="9">
        <v>1630.3</v>
      </c>
      <c r="AO46" s="9">
        <v>-23410.160000000003</v>
      </c>
      <c r="AP46" s="9">
        <v>654326.39999999991</v>
      </c>
      <c r="AQ46" s="9">
        <v>39344.269999999997</v>
      </c>
      <c r="AR46" s="9">
        <v>238.25</v>
      </c>
      <c r="AS46" s="9">
        <v>11.91</v>
      </c>
      <c r="AT46" s="9"/>
      <c r="AU46" s="9">
        <v>780</v>
      </c>
      <c r="AV46" s="9">
        <v>21967</v>
      </c>
      <c r="AW46" s="9">
        <v>-3681.6</v>
      </c>
      <c r="AX46" s="9">
        <v>-238.9</v>
      </c>
      <c r="AY46" s="9"/>
      <c r="AZ46" s="9"/>
      <c r="BA46" s="9"/>
      <c r="BB46" s="9"/>
      <c r="BC46" s="9"/>
      <c r="BD46" s="9"/>
      <c r="BE46" s="9"/>
      <c r="BF46" s="9"/>
      <c r="BG46" s="9"/>
      <c r="BH46" s="9"/>
      <c r="BI46" s="9"/>
      <c r="BJ46" s="9"/>
      <c r="BK46" s="9"/>
      <c r="BL46" s="9"/>
      <c r="BM46" s="9"/>
      <c r="BN46" s="9"/>
      <c r="BO46" s="9"/>
      <c r="BP46" s="9"/>
      <c r="BQ46" s="9"/>
      <c r="BR46" s="9"/>
      <c r="BS46" s="9"/>
      <c r="BT46" s="9">
        <f>SUM(B46:BS46)</f>
        <v>20506520.109999992</v>
      </c>
      <c r="BW46" s="9">
        <f>BT46+BV8</f>
        <v>688865.41999999061</v>
      </c>
      <c r="BX46" s="9">
        <f>SUM(B46:AI46)</f>
        <v>19812241.799999993</v>
      </c>
      <c r="CJ46" s="21"/>
      <c r="CR46" s="21"/>
    </row>
    <row r="47" spans="1:130">
      <c r="A47" t="s">
        <v>31</v>
      </c>
      <c r="B47" s="9"/>
      <c r="C47" s="9"/>
      <c r="D47" s="9">
        <v>553.62</v>
      </c>
      <c r="E47" s="9">
        <v>7692.81</v>
      </c>
      <c r="F47" s="9">
        <v>10213.869999999999</v>
      </c>
      <c r="G47" s="9">
        <v>5278.17</v>
      </c>
      <c r="H47" s="9">
        <v>4636.7999999999529</v>
      </c>
      <c r="I47" s="9">
        <v>35770.19000000001</v>
      </c>
      <c r="J47" s="9">
        <v>138382.19000000003</v>
      </c>
      <c r="K47" s="9">
        <v>516188.36999999994</v>
      </c>
      <c r="L47" s="9">
        <v>259038.2699999999</v>
      </c>
      <c r="M47" s="9">
        <v>1523848.6299999992</v>
      </c>
      <c r="N47" s="9">
        <v>5471934.9399999958</v>
      </c>
      <c r="O47" s="9">
        <v>894901.6800000004</v>
      </c>
      <c r="P47" s="9">
        <v>1620526.6400000001</v>
      </c>
      <c r="Q47" s="9">
        <v>3850957.3899999997</v>
      </c>
      <c r="R47" s="9">
        <v>1519733.6000000003</v>
      </c>
      <c r="S47" s="9">
        <v>3965582.5200000009</v>
      </c>
      <c r="T47" s="9">
        <v>3763673.200000002</v>
      </c>
      <c r="U47" s="9">
        <v>2535421.2999999984</v>
      </c>
      <c r="V47" s="9">
        <v>2668871.8000000007</v>
      </c>
      <c r="W47" s="9">
        <v>1799573.2699999993</v>
      </c>
      <c r="X47" s="9">
        <v>44880.890000000007</v>
      </c>
      <c r="Y47" s="9">
        <v>-118388.43</v>
      </c>
      <c r="Z47" s="9">
        <v>15809.679999999998</v>
      </c>
      <c r="AA47" s="9">
        <v>37963.579999999994</v>
      </c>
      <c r="AB47" s="9">
        <v>-177571.18999999997</v>
      </c>
      <c r="AC47" s="9">
        <v>59810.009999999987</v>
      </c>
      <c r="AD47" s="9">
        <v>38929.229999999989</v>
      </c>
      <c r="AE47" s="9">
        <v>147354.4</v>
      </c>
      <c r="AF47" s="9">
        <v>246508.34000000003</v>
      </c>
      <c r="AG47" s="9">
        <v>31553.170000000002</v>
      </c>
      <c r="AH47" s="9">
        <v>5620.3499999999995</v>
      </c>
      <c r="AI47" s="9">
        <v>4128.67</v>
      </c>
      <c r="AJ47" s="9">
        <v>208.45</v>
      </c>
      <c r="AK47" s="9">
        <v>-5.6</v>
      </c>
      <c r="AL47" s="9">
        <v>31526.1</v>
      </c>
      <c r="AM47" s="9">
        <v>2206.83</v>
      </c>
      <c r="AN47" s="9">
        <v>4074.8700000000003</v>
      </c>
      <c r="AO47" s="9">
        <v>-12304.27</v>
      </c>
      <c r="AP47" s="9">
        <v>23508.68</v>
      </c>
      <c r="AQ47" s="9">
        <v>330037.25</v>
      </c>
      <c r="AR47" s="9">
        <v>52900.19</v>
      </c>
      <c r="AS47" s="9">
        <v>1659.27</v>
      </c>
      <c r="AT47" s="9"/>
      <c r="AU47" s="9">
        <v>3348.64</v>
      </c>
      <c r="AV47" s="9">
        <v>186.93</v>
      </c>
      <c r="AW47" s="9">
        <v>-3273.95</v>
      </c>
      <c r="AX47" s="9">
        <v>-163.75</v>
      </c>
      <c r="AY47" s="9"/>
      <c r="AZ47" s="9"/>
      <c r="BA47" s="9"/>
      <c r="BB47" s="9"/>
      <c r="BC47" s="9"/>
      <c r="BD47" s="9"/>
      <c r="BE47" s="9"/>
      <c r="BF47" s="9"/>
      <c r="BG47" s="9"/>
      <c r="BH47" s="9"/>
      <c r="BI47" s="9"/>
      <c r="BJ47" s="9"/>
      <c r="BK47" s="9"/>
      <c r="BL47" s="9">
        <v>-5125.34</v>
      </c>
      <c r="BM47" s="9"/>
      <c r="BN47" s="9"/>
      <c r="BO47" s="9"/>
      <c r="BP47" s="9"/>
      <c r="BQ47" s="9"/>
      <c r="BR47" s="9"/>
      <c r="BS47" s="9"/>
      <c r="BT47" s="9">
        <f t="shared" ref="BT47:BT76" si="33">SUM(B47:BS47)</f>
        <v>31358162.260000002</v>
      </c>
      <c r="BW47" s="9">
        <f>BT47+BV9</f>
        <v>432912.96999999508</v>
      </c>
      <c r="BX47" s="9">
        <f t="shared" ref="BX47:BX76" si="34">SUM(B47:AI47)</f>
        <v>30929377.960000001</v>
      </c>
      <c r="CJ47" s="21"/>
      <c r="CR47" s="21"/>
    </row>
    <row r="48" spans="1:130">
      <c r="A48" t="s">
        <v>36</v>
      </c>
      <c r="B48" s="9"/>
      <c r="C48" s="9"/>
      <c r="D48" s="9"/>
      <c r="E48" s="9"/>
      <c r="F48" s="9"/>
      <c r="G48" s="9"/>
      <c r="H48" s="9"/>
      <c r="I48" s="9"/>
      <c r="J48" s="9"/>
      <c r="K48" s="9"/>
      <c r="L48" s="9">
        <v>2617.31</v>
      </c>
      <c r="M48" s="9">
        <v>81435.150000000009</v>
      </c>
      <c r="N48" s="9">
        <v>3228147.4399999995</v>
      </c>
      <c r="O48" s="9">
        <v>-3223356.85</v>
      </c>
      <c r="P48" s="9">
        <v>53818.219999999994</v>
      </c>
      <c r="Q48" s="9">
        <v>225282.2</v>
      </c>
      <c r="R48" s="9">
        <v>94444.710000000036</v>
      </c>
      <c r="S48" s="9">
        <v>148982.54000000007</v>
      </c>
      <c r="T48" s="9">
        <v>89418.959999999992</v>
      </c>
      <c r="U48" s="9">
        <v>454885.54000000021</v>
      </c>
      <c r="V48" s="9">
        <v>1001012.6399999999</v>
      </c>
      <c r="W48" s="9">
        <v>1132952.6600000004</v>
      </c>
      <c r="X48" s="9">
        <v>-930703.62999999977</v>
      </c>
      <c r="Y48" s="9">
        <v>246845.67</v>
      </c>
      <c r="Z48" s="9">
        <v>315933.20999999996</v>
      </c>
      <c r="AA48" s="9">
        <v>390715.15</v>
      </c>
      <c r="AB48" s="9">
        <v>776714.84000000008</v>
      </c>
      <c r="AC48" s="9">
        <v>1239972.3100000005</v>
      </c>
      <c r="AD48" s="9">
        <v>514095.37999999989</v>
      </c>
      <c r="AE48" s="9">
        <v>1408995.9899999995</v>
      </c>
      <c r="AF48" s="9">
        <v>1861018.0000000012</v>
      </c>
      <c r="AG48" s="9">
        <v>234282.26</v>
      </c>
      <c r="AH48" s="9">
        <v>1223078.1700000009</v>
      </c>
      <c r="AI48" s="9">
        <v>5493363.3599999975</v>
      </c>
      <c r="AJ48" s="9">
        <v>142066.49000000002</v>
      </c>
      <c r="AK48" s="9">
        <v>2262938.9599999995</v>
      </c>
      <c r="AL48" s="9">
        <v>2509305.2400000012</v>
      </c>
      <c r="AM48" s="9">
        <v>1571794.3199999996</v>
      </c>
      <c r="AN48" s="9">
        <v>1803438.4499999997</v>
      </c>
      <c r="AO48" s="9">
        <v>6836289.0700000003</v>
      </c>
      <c r="AP48" s="9">
        <v>-405062.66000000044</v>
      </c>
      <c r="AQ48" s="9">
        <v>2050667.91</v>
      </c>
      <c r="AR48" s="9">
        <v>4276023.0699999994</v>
      </c>
      <c r="AS48" s="9">
        <v>964215.64</v>
      </c>
      <c r="AT48" s="9">
        <v>3144046.0799999982</v>
      </c>
      <c r="AU48" s="9">
        <v>780420.62000000023</v>
      </c>
      <c r="AV48" s="9">
        <v>-224533.0100000001</v>
      </c>
      <c r="AW48" s="9">
        <v>-124713.73000000005</v>
      </c>
      <c r="AX48" s="9">
        <v>193591.83999999994</v>
      </c>
      <c r="AY48" s="9">
        <v>-170365.36000000004</v>
      </c>
      <c r="AZ48" s="9">
        <v>39759.530000000006</v>
      </c>
      <c r="BA48" s="9">
        <v>261935.67999999993</v>
      </c>
      <c r="BB48" s="9">
        <v>-155259.50999999995</v>
      </c>
      <c r="BC48" s="9">
        <v>167495.94999999998</v>
      </c>
      <c r="BD48" s="9">
        <v>18651.13</v>
      </c>
      <c r="BE48" s="9">
        <v>7051.55</v>
      </c>
      <c r="BF48" s="9">
        <v>5438.0400000000009</v>
      </c>
      <c r="BG48" s="9">
        <v>33577.30000000001</v>
      </c>
      <c r="BH48" s="9">
        <v>1191.0399999999986</v>
      </c>
      <c r="BI48" s="9">
        <v>30567.800000000003</v>
      </c>
      <c r="BJ48" s="9">
        <v>1306.67</v>
      </c>
      <c r="BK48" s="9">
        <v>-501.57999999999993</v>
      </c>
      <c r="BL48" s="9">
        <v>-68304.92</v>
      </c>
      <c r="BM48" s="9">
        <v>1106.93</v>
      </c>
      <c r="BN48" s="9">
        <v>-2434.02</v>
      </c>
      <c r="BO48" s="9"/>
      <c r="BP48" s="9"/>
      <c r="BQ48" s="9"/>
      <c r="BR48" s="9"/>
      <c r="BS48" s="9"/>
      <c r="BT48" s="9">
        <f t="shared" si="33"/>
        <v>42015655.75</v>
      </c>
      <c r="BW48" s="9">
        <f>BT48+BV10</f>
        <v>36198126.700000003</v>
      </c>
      <c r="BX48" s="9">
        <f t="shared" si="34"/>
        <v>16063951.229999999</v>
      </c>
      <c r="CJ48" s="21"/>
      <c r="CR48" s="21"/>
    </row>
    <row r="49" spans="1:96">
      <c r="A49" t="s">
        <v>57</v>
      </c>
      <c r="B49" s="9"/>
      <c r="C49" s="9"/>
      <c r="D49" s="9"/>
      <c r="E49" s="9"/>
      <c r="F49" s="9"/>
      <c r="G49" s="9"/>
      <c r="H49" s="9"/>
      <c r="I49" s="9"/>
      <c r="J49" s="9"/>
      <c r="K49" s="9"/>
      <c r="L49" s="9"/>
      <c r="M49" s="9"/>
      <c r="N49" s="9"/>
      <c r="O49" s="9"/>
      <c r="P49" s="9"/>
      <c r="Q49" s="9"/>
      <c r="R49" s="9"/>
      <c r="S49" s="9"/>
      <c r="T49" s="9"/>
      <c r="U49" s="9"/>
      <c r="V49" s="9"/>
      <c r="W49" s="9"/>
      <c r="X49" s="9"/>
      <c r="Y49" s="9"/>
      <c r="Z49" s="9"/>
      <c r="AA49" s="9"/>
      <c r="AB49" s="9">
        <v>13393.82</v>
      </c>
      <c r="AC49" s="9">
        <v>18832.669999999998</v>
      </c>
      <c r="AD49" s="9">
        <v>1271.4100000000001</v>
      </c>
      <c r="AE49" s="9">
        <v>271.64999999999998</v>
      </c>
      <c r="AF49" s="9">
        <v>54.819999999999993</v>
      </c>
      <c r="AG49" s="9">
        <v>2.5099999999999998</v>
      </c>
      <c r="AH49" s="9"/>
      <c r="AI49" s="9">
        <v>1454.56</v>
      </c>
      <c r="AJ49" s="9">
        <v>3521.46</v>
      </c>
      <c r="AK49" s="9">
        <v>87707.060000000027</v>
      </c>
      <c r="AL49" s="9">
        <v>20808.84</v>
      </c>
      <c r="AM49" s="9">
        <v>81264.180000000022</v>
      </c>
      <c r="AN49" s="9">
        <v>15576.010000000004</v>
      </c>
      <c r="AO49" s="9">
        <v>1253405.6799999995</v>
      </c>
      <c r="AP49" s="9">
        <v>-1099833.5099999998</v>
      </c>
      <c r="AQ49" s="9">
        <v>21312.959999999999</v>
      </c>
      <c r="AR49" s="9">
        <v>2168341.6099999989</v>
      </c>
      <c r="AS49" s="9">
        <v>-223235.40000000011</v>
      </c>
      <c r="AT49" s="9">
        <v>619467.92000000004</v>
      </c>
      <c r="AU49" s="9">
        <v>928450.00999999966</v>
      </c>
      <c r="AV49" s="9">
        <v>-187202.88999999993</v>
      </c>
      <c r="AW49" s="9">
        <v>10571.739999999998</v>
      </c>
      <c r="AX49" s="9">
        <v>63359.459999999992</v>
      </c>
      <c r="AY49" s="9">
        <v>114679.72999999998</v>
      </c>
      <c r="AZ49" s="9">
        <v>389325.96000000014</v>
      </c>
      <c r="BA49" s="9">
        <v>581310.91</v>
      </c>
      <c r="BB49" s="9">
        <v>404272.05999999988</v>
      </c>
      <c r="BC49" s="9">
        <v>943661.40000000037</v>
      </c>
      <c r="BD49" s="9">
        <v>232989.35999999996</v>
      </c>
      <c r="BE49" s="9">
        <v>41961.599999999991</v>
      </c>
      <c r="BF49" s="9">
        <v>-3338.2299999999987</v>
      </c>
      <c r="BG49" s="9">
        <v>15972.649999999998</v>
      </c>
      <c r="BH49" s="9">
        <v>4100.7899999999991</v>
      </c>
      <c r="BI49" s="9">
        <v>1384.86</v>
      </c>
      <c r="BJ49" s="9">
        <v>330.44</v>
      </c>
      <c r="BK49" s="9">
        <v>0</v>
      </c>
      <c r="BL49" s="9">
        <v>-36899.22</v>
      </c>
      <c r="BM49" s="9">
        <v>14.4</v>
      </c>
      <c r="BN49" s="9"/>
      <c r="BO49" s="9"/>
      <c r="BP49" s="9"/>
      <c r="BQ49" s="9"/>
      <c r="BR49" s="9"/>
      <c r="BS49" s="9"/>
      <c r="BT49" s="9">
        <f t="shared" si="33"/>
        <v>6488563.2800000003</v>
      </c>
      <c r="BW49" s="9">
        <f>BT49+BV11</f>
        <v>6488563.2800000003</v>
      </c>
      <c r="BX49" s="9">
        <f t="shared" si="34"/>
        <v>35281.440000000002</v>
      </c>
      <c r="CJ49" s="21"/>
      <c r="CR49" s="21"/>
    </row>
    <row r="50" spans="1:96">
      <c r="A50" s="10" t="s">
        <v>330</v>
      </c>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v>951.53</v>
      </c>
      <c r="AK50" s="9">
        <v>737.31</v>
      </c>
      <c r="AL50" s="9">
        <v>1820.0600000000002</v>
      </c>
      <c r="AM50" s="9">
        <v>464.97</v>
      </c>
      <c r="AN50" s="9">
        <v>31.02</v>
      </c>
      <c r="AO50" s="9">
        <v>3.71</v>
      </c>
      <c r="AP50" s="9">
        <v>598.74</v>
      </c>
      <c r="AQ50" s="9">
        <v>1001.1399999999999</v>
      </c>
      <c r="AR50" s="9">
        <v>12545.96</v>
      </c>
      <c r="AS50" s="9">
        <v>866.47000000000014</v>
      </c>
      <c r="AT50" s="9">
        <v>3052.96</v>
      </c>
      <c r="AU50" s="9">
        <v>47.94</v>
      </c>
      <c r="AV50" s="9">
        <v>255.94</v>
      </c>
      <c r="AW50" s="9">
        <v>92.5</v>
      </c>
      <c r="AX50" s="9">
        <v>13.78</v>
      </c>
      <c r="AY50" s="9">
        <v>120.53</v>
      </c>
      <c r="AZ50" s="9">
        <v>72.83</v>
      </c>
      <c r="BA50" s="9">
        <v>13.2</v>
      </c>
      <c r="BB50" s="9">
        <v>6700.35</v>
      </c>
      <c r="BC50" s="9">
        <v>11850.250000000004</v>
      </c>
      <c r="BD50" s="9">
        <v>34762.07</v>
      </c>
      <c r="BE50" s="9">
        <v>85910.200000000026</v>
      </c>
      <c r="BF50" s="9">
        <v>6377.69</v>
      </c>
      <c r="BG50" s="9">
        <v>6105.1900000000014</v>
      </c>
      <c r="BH50" s="9">
        <v>365.74</v>
      </c>
      <c r="BI50" s="9">
        <v>152.26</v>
      </c>
      <c r="BJ50" s="9">
        <v>9.14</v>
      </c>
      <c r="BK50" s="9">
        <v>-9.14</v>
      </c>
      <c r="BL50" s="9"/>
      <c r="BM50" s="9"/>
      <c r="BN50" s="9"/>
      <c r="BO50" s="9"/>
      <c r="BP50" s="9"/>
      <c r="BQ50" s="9"/>
      <c r="BR50" s="9"/>
      <c r="BS50" s="9"/>
      <c r="BT50" s="9">
        <f t="shared" si="33"/>
        <v>174914.34000000003</v>
      </c>
      <c r="BW50" s="9">
        <f t="shared" ref="BW50:BW73" si="35">BT50+BV12</f>
        <v>174914.34000000003</v>
      </c>
      <c r="BX50" s="9">
        <f t="shared" si="34"/>
        <v>0</v>
      </c>
      <c r="CJ50" s="21"/>
      <c r="CR50" s="21"/>
    </row>
    <row r="51" spans="1:96">
      <c r="A51" s="10" t="s">
        <v>332</v>
      </c>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v>106.49000000000001</v>
      </c>
      <c r="AL51" s="9">
        <v>568.51999999999987</v>
      </c>
      <c r="AM51" s="9">
        <v>153.12</v>
      </c>
      <c r="AN51" s="9">
        <v>16.45</v>
      </c>
      <c r="AO51" s="9">
        <v>1.27</v>
      </c>
      <c r="AP51" s="9">
        <v>0.73</v>
      </c>
      <c r="AQ51" s="9">
        <v>245.42</v>
      </c>
      <c r="AR51" s="9">
        <v>15.51</v>
      </c>
      <c r="AS51" s="9">
        <v>422.91</v>
      </c>
      <c r="AT51" s="9">
        <v>1843.5900000000001</v>
      </c>
      <c r="AU51" s="9">
        <v>285.89</v>
      </c>
      <c r="AV51" s="9">
        <v>14.899999999999999</v>
      </c>
      <c r="AW51" s="9">
        <v>676.68</v>
      </c>
      <c r="AX51" s="9">
        <v>4678.9399999999996</v>
      </c>
      <c r="AY51" s="9">
        <v>656.43</v>
      </c>
      <c r="AZ51" s="9">
        <v>776.43000000000006</v>
      </c>
      <c r="BA51" s="9">
        <v>9665.7900000000027</v>
      </c>
      <c r="BB51" s="9">
        <v>16277.390000000003</v>
      </c>
      <c r="BC51" s="9">
        <v>97397.85</v>
      </c>
      <c r="BD51" s="9">
        <v>8306.98</v>
      </c>
      <c r="BE51" s="9">
        <v>231.06999999999996</v>
      </c>
      <c r="BF51" s="9">
        <v>-3886.0000000000005</v>
      </c>
      <c r="BG51" s="9">
        <v>-972.65000000000009</v>
      </c>
      <c r="BH51" s="9">
        <v>139.07</v>
      </c>
      <c r="BI51" s="9">
        <v>11.57</v>
      </c>
      <c r="BJ51" s="9">
        <v>124.13</v>
      </c>
      <c r="BK51" s="9">
        <v>3.5300000000000002</v>
      </c>
      <c r="BL51" s="9"/>
      <c r="BM51" s="9"/>
      <c r="BN51" s="9"/>
      <c r="BO51" s="9"/>
      <c r="BP51" s="9"/>
      <c r="BQ51" s="9"/>
      <c r="BR51" s="9"/>
      <c r="BS51" s="9"/>
      <c r="BT51" s="9">
        <f t="shared" si="33"/>
        <v>137762.01000000004</v>
      </c>
      <c r="BW51" s="9">
        <f t="shared" si="35"/>
        <v>137762.01000000004</v>
      </c>
      <c r="BX51" s="9">
        <f t="shared" si="34"/>
        <v>0</v>
      </c>
      <c r="CJ51" s="21"/>
      <c r="CR51" s="21"/>
    </row>
    <row r="52" spans="1:96">
      <c r="A52" s="10" t="s">
        <v>305</v>
      </c>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v>1747.4099999999999</v>
      </c>
      <c r="AN52" s="9">
        <v>1458.37</v>
      </c>
      <c r="AO52" s="9">
        <v>1052.6299999999999</v>
      </c>
      <c r="AP52" s="9">
        <v>7720.8</v>
      </c>
      <c r="AQ52" s="9">
        <v>30408.980000000003</v>
      </c>
      <c r="AR52" s="9">
        <v>5497.46</v>
      </c>
      <c r="AS52" s="9">
        <v>38179.989999999991</v>
      </c>
      <c r="AT52" s="9">
        <v>14624.73</v>
      </c>
      <c r="AU52" s="9">
        <v>139413.02999999997</v>
      </c>
      <c r="AV52" s="9">
        <v>7361.81</v>
      </c>
      <c r="AW52" s="9">
        <v>151.19</v>
      </c>
      <c r="AX52" s="9">
        <v>114.86000000000001</v>
      </c>
      <c r="AY52" s="9">
        <v>116.38999999999999</v>
      </c>
      <c r="AZ52" s="9">
        <v>680.49</v>
      </c>
      <c r="BA52" s="9">
        <v>142.18</v>
      </c>
      <c r="BB52" s="9">
        <v>573.19000000000005</v>
      </c>
      <c r="BC52" s="9">
        <v>141.65</v>
      </c>
      <c r="BD52" s="9">
        <v>114.21000000000001</v>
      </c>
      <c r="BE52" s="9"/>
      <c r="BF52" s="9"/>
      <c r="BG52" s="9"/>
      <c r="BH52" s="9"/>
      <c r="BI52" s="9">
        <v>-2280</v>
      </c>
      <c r="BJ52" s="9">
        <v>-136.80000000000001</v>
      </c>
      <c r="BK52" s="9">
        <v>136.80000000000001</v>
      </c>
      <c r="BL52" s="9"/>
      <c r="BM52" s="9"/>
      <c r="BN52" s="9"/>
      <c r="BO52" s="9"/>
      <c r="BP52" s="9"/>
      <c r="BQ52" s="9"/>
      <c r="BR52" s="9"/>
      <c r="BS52" s="9"/>
      <c r="BT52" s="9">
        <f t="shared" si="33"/>
        <v>247219.36999999994</v>
      </c>
      <c r="BW52" s="9">
        <f t="shared" si="35"/>
        <v>247219.36999999994</v>
      </c>
      <c r="BX52" s="9">
        <f t="shared" si="34"/>
        <v>0</v>
      </c>
      <c r="CJ52" s="21"/>
      <c r="CR52" s="21"/>
    </row>
    <row r="53" spans="1:96">
      <c r="A53" t="s">
        <v>58</v>
      </c>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v>2811.0499999999997</v>
      </c>
      <c r="AN53" s="9">
        <v>5506</v>
      </c>
      <c r="AO53" s="9">
        <v>10880.319999999998</v>
      </c>
      <c r="AP53" s="9">
        <v>4968.7400000000007</v>
      </c>
      <c r="AQ53" s="9">
        <v>6352.06</v>
      </c>
      <c r="AR53" s="9">
        <v>23006.44</v>
      </c>
      <c r="AS53" s="9">
        <v>302148.81000000006</v>
      </c>
      <c r="AT53" s="9">
        <v>1211504.1600000006</v>
      </c>
      <c r="AU53" s="9">
        <v>3695665.4699999997</v>
      </c>
      <c r="AV53" s="9">
        <v>-925880.5899999995</v>
      </c>
      <c r="AW53" s="9">
        <v>1926609.6199999994</v>
      </c>
      <c r="AX53" s="9">
        <v>2912373.08</v>
      </c>
      <c r="AY53" s="9">
        <v>1215644.4100000004</v>
      </c>
      <c r="AZ53" s="9">
        <v>2166333.2300000004</v>
      </c>
      <c r="BA53" s="9">
        <v>3770790.9999999981</v>
      </c>
      <c r="BB53" s="9">
        <v>798988.5500000004</v>
      </c>
      <c r="BC53" s="9">
        <v>1887450.7000000016</v>
      </c>
      <c r="BD53" s="9">
        <v>625471.01000000024</v>
      </c>
      <c r="BE53" s="9">
        <v>88308.680000000008</v>
      </c>
      <c r="BF53" s="9">
        <v>9945.24</v>
      </c>
      <c r="BG53" s="9">
        <v>22304.81</v>
      </c>
      <c r="BH53" s="9">
        <v>-3756.2499999999995</v>
      </c>
      <c r="BI53" s="9">
        <v>608.22</v>
      </c>
      <c r="BJ53" s="9">
        <v>3668.49</v>
      </c>
      <c r="BK53" s="9">
        <v>2154.4</v>
      </c>
      <c r="BL53" s="9">
        <v>-203204.23</v>
      </c>
      <c r="BM53" s="9"/>
      <c r="BN53" s="9"/>
      <c r="BO53" s="9"/>
      <c r="BP53" s="9"/>
      <c r="BQ53" s="9"/>
      <c r="BR53" s="9"/>
      <c r="BS53" s="9"/>
      <c r="BT53" s="9">
        <f t="shared" si="33"/>
        <v>19560653.419999994</v>
      </c>
      <c r="BW53" s="9">
        <f t="shared" si="35"/>
        <v>19560653.419999994</v>
      </c>
      <c r="BX53" s="9">
        <f t="shared" si="34"/>
        <v>0</v>
      </c>
      <c r="CJ53" s="21"/>
      <c r="CR53" s="21"/>
    </row>
    <row r="54" spans="1:96">
      <c r="A54" t="s">
        <v>59</v>
      </c>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v>47.27</v>
      </c>
      <c r="AN54" s="9">
        <v>3.31</v>
      </c>
      <c r="AO54" s="9">
        <v>1516.23</v>
      </c>
      <c r="AP54" s="9">
        <v>2342.6999999999998</v>
      </c>
      <c r="AQ54" s="9">
        <v>3720.26</v>
      </c>
      <c r="AR54" s="9">
        <v>26935.33</v>
      </c>
      <c r="AS54" s="9">
        <v>6761.06</v>
      </c>
      <c r="AT54" s="9">
        <v>30756.450000000004</v>
      </c>
      <c r="AU54" s="9">
        <v>42713.719999999994</v>
      </c>
      <c r="AV54" s="9">
        <v>12232.97</v>
      </c>
      <c r="AW54" s="9">
        <v>-2132.9100000000008</v>
      </c>
      <c r="AX54" s="9">
        <v>31632.04</v>
      </c>
      <c r="AY54" s="9">
        <v>134866.05000000002</v>
      </c>
      <c r="AZ54" s="9">
        <v>1412348.84</v>
      </c>
      <c r="BA54" s="9">
        <v>1973887.2600000005</v>
      </c>
      <c r="BB54" s="9">
        <v>793441.26000000013</v>
      </c>
      <c r="BC54" s="9">
        <v>988567.13999999978</v>
      </c>
      <c r="BD54" s="9">
        <v>351304.24999999983</v>
      </c>
      <c r="BE54" s="9">
        <v>56897.700000000004</v>
      </c>
      <c r="BF54" s="9">
        <v>74842.010000000009</v>
      </c>
      <c r="BG54" s="9">
        <v>16216.879999999997</v>
      </c>
      <c r="BH54" s="9">
        <v>2451.16</v>
      </c>
      <c r="BI54" s="9">
        <v>32590.34</v>
      </c>
      <c r="BJ54" s="9">
        <v>967.34000000000049</v>
      </c>
      <c r="BK54" s="9">
        <v>-58.949999999999996</v>
      </c>
      <c r="BL54" s="9">
        <v>-65319.179999999993</v>
      </c>
      <c r="BM54" s="9">
        <v>719.1</v>
      </c>
      <c r="BN54" s="9"/>
      <c r="BO54" s="9"/>
      <c r="BP54" s="9"/>
      <c r="BQ54" s="9"/>
      <c r="BR54" s="9"/>
      <c r="BS54" s="9"/>
      <c r="BT54" s="9">
        <f t="shared" si="33"/>
        <v>5930249.6299999999</v>
      </c>
      <c r="BW54" s="9">
        <f t="shared" si="35"/>
        <v>5930249.6299999999</v>
      </c>
      <c r="BX54" s="9">
        <f t="shared" si="34"/>
        <v>0</v>
      </c>
      <c r="CJ54" s="21"/>
      <c r="CR54" s="21"/>
    </row>
    <row r="55" spans="1:96">
      <c r="A55" s="10" t="s">
        <v>306</v>
      </c>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v>62.1</v>
      </c>
      <c r="AO55" s="9">
        <v>118.91999999999999</v>
      </c>
      <c r="AP55" s="9">
        <v>1262.8899999999999</v>
      </c>
      <c r="AQ55" s="9">
        <v>5624.7500000000009</v>
      </c>
      <c r="AR55" s="9">
        <v>12545.870000000003</v>
      </c>
      <c r="AS55" s="9">
        <v>32518.939999999995</v>
      </c>
      <c r="AT55" s="9">
        <v>33465.83</v>
      </c>
      <c r="AU55" s="9">
        <v>79049.050000000017</v>
      </c>
      <c r="AV55" s="9">
        <v>6716.7400000000016</v>
      </c>
      <c r="AW55" s="9">
        <v>246.01</v>
      </c>
      <c r="AX55" s="9">
        <v>1.72</v>
      </c>
      <c r="AY55" s="9"/>
      <c r="AZ55" s="9">
        <v>-85401.47</v>
      </c>
      <c r="BA55" s="9">
        <v>85401.47</v>
      </c>
      <c r="BB55" s="9"/>
      <c r="BC55" s="9"/>
      <c r="BD55" s="9"/>
      <c r="BE55" s="9"/>
      <c r="BF55" s="9"/>
      <c r="BG55" s="9"/>
      <c r="BH55" s="9"/>
      <c r="BI55" s="9"/>
      <c r="BJ55" s="9">
        <v>-6460.5</v>
      </c>
      <c r="BK55" s="9"/>
      <c r="BL55" s="9">
        <v>211.44</v>
      </c>
      <c r="BM55" s="9">
        <v>12.69</v>
      </c>
      <c r="BN55" s="9"/>
      <c r="BO55" s="9"/>
      <c r="BP55" s="9"/>
      <c r="BQ55" s="9"/>
      <c r="BR55" s="9"/>
      <c r="BS55" s="9"/>
      <c r="BT55" s="9">
        <f t="shared" si="33"/>
        <v>165376.45000000004</v>
      </c>
      <c r="BW55" s="9">
        <f t="shared" si="35"/>
        <v>165376.45000000004</v>
      </c>
      <c r="BX55" s="9">
        <f t="shared" si="34"/>
        <v>0</v>
      </c>
      <c r="CJ55" s="21"/>
      <c r="CR55" s="21"/>
    </row>
    <row r="56" spans="1:96">
      <c r="A56" s="10" t="s">
        <v>364</v>
      </c>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v>161.68</v>
      </c>
      <c r="AQ56" s="9">
        <v>939.93999999999994</v>
      </c>
      <c r="AR56" s="9">
        <v>1138.04</v>
      </c>
      <c r="AS56" s="9">
        <v>4697.17</v>
      </c>
      <c r="AT56" s="9">
        <v>981.23</v>
      </c>
      <c r="AU56" s="9">
        <v>222.56</v>
      </c>
      <c r="AV56" s="9">
        <v>505.59999999999997</v>
      </c>
      <c r="AW56" s="9">
        <v>28.439999999999998</v>
      </c>
      <c r="AX56" s="9">
        <v>846.29</v>
      </c>
      <c r="AY56" s="9">
        <v>-1453.3299999999997</v>
      </c>
      <c r="AZ56" s="9">
        <v>899.47</v>
      </c>
      <c r="BA56" s="9">
        <v>3016.5299999999997</v>
      </c>
      <c r="BB56" s="9">
        <v>7490.35</v>
      </c>
      <c r="BC56" s="9">
        <v>69423.51999999999</v>
      </c>
      <c r="BD56" s="9">
        <v>4746.87</v>
      </c>
      <c r="BE56" s="9">
        <v>143.4</v>
      </c>
      <c r="BF56" s="9">
        <v>16.03</v>
      </c>
      <c r="BG56" s="9">
        <v>4.34</v>
      </c>
      <c r="BH56" s="9">
        <v>0.25</v>
      </c>
      <c r="BI56" s="9">
        <v>223.53</v>
      </c>
      <c r="BJ56" s="9">
        <v>279.71000000000004</v>
      </c>
      <c r="BK56" s="9">
        <v>15.98</v>
      </c>
      <c r="BL56" s="9"/>
      <c r="BM56" s="9"/>
      <c r="BN56" s="9"/>
      <c r="BO56" s="9"/>
      <c r="BP56" s="9"/>
      <c r="BQ56" s="9"/>
      <c r="BR56" s="9"/>
      <c r="BS56" s="9"/>
      <c r="BT56" s="9">
        <f t="shared" si="33"/>
        <v>94327.599999999977</v>
      </c>
      <c r="BW56" s="9">
        <f t="shared" si="35"/>
        <v>94327.599999999977</v>
      </c>
      <c r="BX56" s="9">
        <f t="shared" si="34"/>
        <v>0</v>
      </c>
      <c r="CJ56" s="21"/>
      <c r="CR56" s="21"/>
    </row>
    <row r="57" spans="1:96">
      <c r="A57" t="s">
        <v>60</v>
      </c>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v>1850.02</v>
      </c>
      <c r="AW57" s="9">
        <v>947.30000000000007</v>
      </c>
      <c r="AX57" s="9">
        <v>8995.2999999999993</v>
      </c>
      <c r="AY57" s="9">
        <v>10847.36</v>
      </c>
      <c r="AZ57" s="9">
        <v>24775.7</v>
      </c>
      <c r="BA57" s="9">
        <v>1347.19</v>
      </c>
      <c r="BB57" s="9">
        <v>3032.05</v>
      </c>
      <c r="BC57" s="9">
        <v>69067.56</v>
      </c>
      <c r="BD57" s="9">
        <v>5268.4699999999993</v>
      </c>
      <c r="BE57" s="9">
        <v>5269.41</v>
      </c>
      <c r="BF57" s="9">
        <v>366.76</v>
      </c>
      <c r="BG57" s="9"/>
      <c r="BH57" s="9"/>
      <c r="BI57" s="9">
        <v>51.03</v>
      </c>
      <c r="BJ57" s="9">
        <v>153.38</v>
      </c>
      <c r="BK57" s="9">
        <v>9.0399999999967982</v>
      </c>
      <c r="BL57" s="9"/>
      <c r="BM57" s="9"/>
      <c r="BN57" s="9"/>
      <c r="BO57" s="9"/>
      <c r="BP57" s="9"/>
      <c r="BQ57" s="9"/>
      <c r="BR57" s="9"/>
      <c r="BS57" s="9"/>
      <c r="BT57" s="9">
        <f t="shared" si="33"/>
        <v>131980.57000000004</v>
      </c>
      <c r="BW57" s="9">
        <f t="shared" si="35"/>
        <v>131980.57000000004</v>
      </c>
      <c r="BX57" s="9">
        <f t="shared" si="34"/>
        <v>0</v>
      </c>
      <c r="CJ57" s="21"/>
      <c r="CR57" s="21"/>
    </row>
    <row r="58" spans="1:96">
      <c r="A58" t="s">
        <v>61</v>
      </c>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v>1651.6200000000001</v>
      </c>
      <c r="AQ58" s="9">
        <v>372.62</v>
      </c>
      <c r="AR58" s="9">
        <v>3005.8</v>
      </c>
      <c r="AS58" s="9">
        <v>3377.69</v>
      </c>
      <c r="AT58" s="9">
        <v>27703.26</v>
      </c>
      <c r="AU58" s="9">
        <v>399269.60000000009</v>
      </c>
      <c r="AV58" s="9">
        <v>144561.22</v>
      </c>
      <c r="AW58" s="9">
        <v>647557.49</v>
      </c>
      <c r="AX58" s="9">
        <v>819188.62</v>
      </c>
      <c r="AY58" s="9">
        <v>239871.96000000008</v>
      </c>
      <c r="AZ58" s="9">
        <v>-2365.7799999999979</v>
      </c>
      <c r="BA58" s="9">
        <v>67525.78</v>
      </c>
      <c r="BB58" s="9">
        <v>68404.019999999917</v>
      </c>
      <c r="BC58" s="9">
        <v>82178.039999999994</v>
      </c>
      <c r="BD58" s="9">
        <v>17572.910000000003</v>
      </c>
      <c r="BE58" s="9">
        <v>-3536.63</v>
      </c>
      <c r="BF58" s="9">
        <v>368.9200000000003</v>
      </c>
      <c r="BG58" s="9">
        <v>6246.22</v>
      </c>
      <c r="BH58" s="9">
        <v>1476.5800000000002</v>
      </c>
      <c r="BI58" s="9">
        <v>7076.27</v>
      </c>
      <c r="BJ58" s="9">
        <v>335.91</v>
      </c>
      <c r="BK58" s="9">
        <v>-4.41</v>
      </c>
      <c r="BL58" s="9">
        <v>-28117.05</v>
      </c>
      <c r="BM58" s="9">
        <v>-17.29</v>
      </c>
      <c r="BN58" s="9"/>
      <c r="BO58" s="9"/>
      <c r="BP58" s="9"/>
      <c r="BQ58" s="9"/>
      <c r="BR58" s="9"/>
      <c r="BS58" s="9"/>
      <c r="BT58" s="9">
        <f t="shared" si="33"/>
        <v>2503703.3700000006</v>
      </c>
      <c r="BW58" s="9">
        <f t="shared" si="35"/>
        <v>2503703.3700000006</v>
      </c>
      <c r="BX58" s="9">
        <f t="shared" si="34"/>
        <v>0</v>
      </c>
      <c r="CJ58" s="21"/>
      <c r="CR58" s="21"/>
    </row>
    <row r="59" spans="1:96">
      <c r="A59" s="10" t="s">
        <v>308</v>
      </c>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v>3239.78</v>
      </c>
      <c r="AV59" s="9">
        <v>162.74</v>
      </c>
      <c r="AW59" s="9">
        <v>36108.289999999994</v>
      </c>
      <c r="AX59" s="9">
        <v>2145.66</v>
      </c>
      <c r="AY59" s="9">
        <v>2398.3899999999994</v>
      </c>
      <c r="AZ59" s="9">
        <v>11330.53</v>
      </c>
      <c r="BA59" s="9">
        <v>3162.4500000000003</v>
      </c>
      <c r="BB59" s="9">
        <v>14678.43</v>
      </c>
      <c r="BC59" s="9">
        <v>14968.77</v>
      </c>
      <c r="BD59" s="9">
        <v>7236.2200000000012</v>
      </c>
      <c r="BE59" s="9">
        <v>57997.770000000004</v>
      </c>
      <c r="BF59" s="9">
        <v>2860.58</v>
      </c>
      <c r="BG59" s="9">
        <v>8.83</v>
      </c>
      <c r="BH59" s="9">
        <v>1.93</v>
      </c>
      <c r="BI59" s="9"/>
      <c r="BJ59" s="9">
        <v>-32.99</v>
      </c>
      <c r="BK59" s="9"/>
      <c r="BL59" s="9"/>
      <c r="BM59" s="9"/>
      <c r="BN59" s="9"/>
      <c r="BO59" s="9"/>
      <c r="BP59" s="9"/>
      <c r="BQ59" s="9"/>
      <c r="BR59" s="9"/>
      <c r="BS59" s="9"/>
      <c r="BT59" s="9">
        <f t="shared" si="33"/>
        <v>156267.37999999998</v>
      </c>
      <c r="BW59" s="9">
        <f t="shared" si="35"/>
        <v>156267.37999999998</v>
      </c>
      <c r="BX59" s="9">
        <f t="shared" si="34"/>
        <v>0</v>
      </c>
      <c r="CJ59" s="21"/>
      <c r="CR59" s="21"/>
    </row>
    <row r="60" spans="1:96">
      <c r="A60" s="10" t="s">
        <v>311</v>
      </c>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v>1734.6399999999999</v>
      </c>
      <c r="AU60" s="9">
        <v>2709903.83</v>
      </c>
      <c r="AV60" s="9">
        <v>-2097238.669999999</v>
      </c>
      <c r="AW60" s="9">
        <v>420803.73999999982</v>
      </c>
      <c r="AX60" s="9">
        <v>3184091.8800000008</v>
      </c>
      <c r="AY60" s="9">
        <v>-1268982.4799999997</v>
      </c>
      <c r="AZ60" s="9">
        <v>603056.71999999962</v>
      </c>
      <c r="BA60" s="9">
        <v>2338087.8000000003</v>
      </c>
      <c r="BB60" s="9">
        <v>-776915.42000000027</v>
      </c>
      <c r="BC60" s="9">
        <v>2283080.4299999997</v>
      </c>
      <c r="BD60" s="9">
        <v>5365211.5599999987</v>
      </c>
      <c r="BE60" s="9">
        <v>3131300.0900000022</v>
      </c>
      <c r="BF60" s="9">
        <v>4892757.6100000022</v>
      </c>
      <c r="BG60" s="9">
        <v>5843809.9399999958</v>
      </c>
      <c r="BH60" s="9">
        <v>801436.49000000022</v>
      </c>
      <c r="BI60" s="9">
        <v>1187762.6299999997</v>
      </c>
      <c r="BJ60" s="9">
        <v>1832597.4699999995</v>
      </c>
      <c r="BK60" s="9">
        <v>60811.610000000073</v>
      </c>
      <c r="BL60" s="9">
        <v>137871.73999999996</v>
      </c>
      <c r="BM60" s="9">
        <v>1288026.5900000001</v>
      </c>
      <c r="BN60" s="9">
        <v>439478.53000000014</v>
      </c>
      <c r="BO60" s="9"/>
      <c r="BP60" s="9"/>
      <c r="BQ60" s="9"/>
      <c r="BR60" s="9"/>
      <c r="BS60" s="9"/>
      <c r="BT60" s="9">
        <f t="shared" si="33"/>
        <v>32378686.73</v>
      </c>
      <c r="BW60" s="9">
        <f t="shared" si="35"/>
        <v>32378686.73</v>
      </c>
      <c r="BX60" s="9">
        <f t="shared" si="34"/>
        <v>0</v>
      </c>
      <c r="CJ60" s="21"/>
      <c r="CR60" s="21"/>
    </row>
    <row r="61" spans="1:96">
      <c r="A61" s="10" t="s">
        <v>333</v>
      </c>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v>397.31</v>
      </c>
      <c r="AW61" s="9">
        <v>79.47</v>
      </c>
      <c r="AX61" s="9">
        <v>245.79</v>
      </c>
      <c r="AY61" s="9">
        <v>863.33</v>
      </c>
      <c r="AZ61" s="9">
        <v>158.13</v>
      </c>
      <c r="BA61" s="9">
        <v>213.20999999999998</v>
      </c>
      <c r="BB61" s="9">
        <v>55.959999999999994</v>
      </c>
      <c r="BC61" s="9">
        <v>800.1400000000001</v>
      </c>
      <c r="BD61" s="9">
        <v>370.57</v>
      </c>
      <c r="BE61" s="9">
        <v>40.799999999999997</v>
      </c>
      <c r="BF61" s="9">
        <v>622.62999999999988</v>
      </c>
      <c r="BG61" s="9">
        <v>9259.84</v>
      </c>
      <c r="BH61" s="9">
        <v>1536.4099999999999</v>
      </c>
      <c r="BI61" s="9">
        <v>558.87</v>
      </c>
      <c r="BJ61" s="9">
        <v>-71.47999999999999</v>
      </c>
      <c r="BK61" s="9">
        <v>-6.38</v>
      </c>
      <c r="BL61" s="9"/>
      <c r="BM61" s="9">
        <v>0</v>
      </c>
      <c r="BN61" s="9"/>
      <c r="BO61" s="9"/>
      <c r="BP61" s="9"/>
      <c r="BQ61" s="9"/>
      <c r="BR61" s="9"/>
      <c r="BS61" s="9"/>
      <c r="BT61" s="9">
        <f t="shared" si="33"/>
        <v>15124.600000000002</v>
      </c>
      <c r="BW61" s="9">
        <f t="shared" si="35"/>
        <v>15124.600000000002</v>
      </c>
      <c r="BX61" s="9">
        <f t="shared" si="34"/>
        <v>0</v>
      </c>
      <c r="CJ61" s="21"/>
      <c r="CR61" s="21"/>
    </row>
    <row r="62" spans="1:96">
      <c r="A62" s="10" t="s">
        <v>307</v>
      </c>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v>1714.4299999999998</v>
      </c>
      <c r="AU62" s="9">
        <v>7437.2000000000007</v>
      </c>
      <c r="AV62" s="9">
        <v>14424.23</v>
      </c>
      <c r="AW62" s="9">
        <v>1149.4400000000003</v>
      </c>
      <c r="AX62" s="9">
        <v>660.77</v>
      </c>
      <c r="AY62" s="9">
        <v>28209.960000000003</v>
      </c>
      <c r="AZ62" s="9">
        <v>4358.7299999999996</v>
      </c>
      <c r="BA62" s="9">
        <v>48980.61</v>
      </c>
      <c r="BB62" s="9">
        <v>10108.129999999999</v>
      </c>
      <c r="BC62" s="9">
        <v>17379.169999999998</v>
      </c>
      <c r="BD62" s="9">
        <v>10193.630000000003</v>
      </c>
      <c r="BE62" s="9">
        <v>63549.75</v>
      </c>
      <c r="BF62" s="9">
        <v>4412.46</v>
      </c>
      <c r="BG62" s="9">
        <v>21.78</v>
      </c>
      <c r="BH62" s="9">
        <v>40.33</v>
      </c>
      <c r="BI62" s="9">
        <v>215.5</v>
      </c>
      <c r="BJ62" s="9">
        <v>12.79</v>
      </c>
      <c r="BK62" s="9">
        <v>-12.79</v>
      </c>
      <c r="BL62" s="9"/>
      <c r="BM62" s="9"/>
      <c r="BN62" s="9"/>
      <c r="BO62" s="9"/>
      <c r="BP62" s="9"/>
      <c r="BQ62" s="9"/>
      <c r="BR62" s="9"/>
      <c r="BS62" s="9"/>
      <c r="BT62" s="9">
        <f t="shared" si="33"/>
        <v>212856.11999999997</v>
      </c>
      <c r="BW62" s="9">
        <f t="shared" si="35"/>
        <v>212856.11999999997</v>
      </c>
      <c r="BX62" s="9">
        <f t="shared" si="34"/>
        <v>0</v>
      </c>
      <c r="CJ62" s="21"/>
      <c r="CR62" s="21"/>
    </row>
    <row r="63" spans="1:96">
      <c r="A63" s="10" t="s">
        <v>334</v>
      </c>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v>1985.3100000000002</v>
      </c>
      <c r="AW63" s="9">
        <v>424.42</v>
      </c>
      <c r="AX63" s="9">
        <v>1055.6599999999999</v>
      </c>
      <c r="AY63" s="9">
        <v>27191.08</v>
      </c>
      <c r="AZ63" s="9">
        <v>18426.68</v>
      </c>
      <c r="BA63" s="9">
        <v>11518.29</v>
      </c>
      <c r="BB63" s="9">
        <v>8553.7900000000009</v>
      </c>
      <c r="BC63" s="9">
        <v>11245.370000000003</v>
      </c>
      <c r="BD63" s="9">
        <v>36281.24</v>
      </c>
      <c r="BE63" s="9">
        <v>6137.8100000000013</v>
      </c>
      <c r="BF63" s="9">
        <v>66296.87</v>
      </c>
      <c r="BG63" s="9">
        <v>2626.0699999999997</v>
      </c>
      <c r="BH63" s="9">
        <v>78.37</v>
      </c>
      <c r="BI63" s="9"/>
      <c r="BJ63" s="9">
        <v>173.66000000000003</v>
      </c>
      <c r="BK63" s="9">
        <v>10.42</v>
      </c>
      <c r="BL63" s="9"/>
      <c r="BM63" s="9"/>
      <c r="BN63" s="9"/>
      <c r="BO63" s="9"/>
      <c r="BP63" s="9"/>
      <c r="BQ63" s="9"/>
      <c r="BR63" s="9"/>
      <c r="BS63" s="9"/>
      <c r="BT63" s="9">
        <f t="shared" si="33"/>
        <v>192005.04</v>
      </c>
      <c r="BW63" s="9">
        <f t="shared" si="35"/>
        <v>192005.04</v>
      </c>
      <c r="BX63" s="9">
        <f t="shared" si="34"/>
        <v>0</v>
      </c>
      <c r="CJ63" s="21"/>
      <c r="CR63" s="21"/>
    </row>
    <row r="64" spans="1:96">
      <c r="A64" s="10" t="s">
        <v>335</v>
      </c>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v>561.20000000000005</v>
      </c>
      <c r="AW64" s="9">
        <v>91.38</v>
      </c>
      <c r="AX64" s="9">
        <v>5323.4800000000005</v>
      </c>
      <c r="AY64" s="9">
        <v>870.56</v>
      </c>
      <c r="AZ64" s="9">
        <v>308.17</v>
      </c>
      <c r="BA64" s="9">
        <v>38550.050000000003</v>
      </c>
      <c r="BB64" s="9">
        <v>3216.25</v>
      </c>
      <c r="BC64" s="9">
        <v>1689.4099999999999</v>
      </c>
      <c r="BD64" s="9">
        <v>135.68</v>
      </c>
      <c r="BE64" s="9">
        <v>117.05000000000001</v>
      </c>
      <c r="BF64" s="9">
        <v>7.43</v>
      </c>
      <c r="BG64" s="9">
        <v>3.9399999999999995</v>
      </c>
      <c r="BH64" s="9">
        <v>38.709999999999994</v>
      </c>
      <c r="BI64" s="9">
        <v>2.31</v>
      </c>
      <c r="BJ64" s="9">
        <v>-44.94</v>
      </c>
      <c r="BK64" s="9"/>
      <c r="BL64" s="9"/>
      <c r="BM64" s="9"/>
      <c r="BN64" s="9"/>
      <c r="BO64" s="9"/>
      <c r="BP64" s="9"/>
      <c r="BQ64" s="9"/>
      <c r="BR64" s="9"/>
      <c r="BS64" s="9"/>
      <c r="BT64" s="9">
        <f t="shared" si="33"/>
        <v>50870.68</v>
      </c>
      <c r="BW64" s="9">
        <f t="shared" si="35"/>
        <v>50870.68</v>
      </c>
      <c r="BX64" s="9">
        <f t="shared" si="34"/>
        <v>0</v>
      </c>
      <c r="CJ64" s="21"/>
      <c r="CR64" s="21"/>
    </row>
    <row r="65" spans="1:96">
      <c r="A65" s="10" t="s">
        <v>331</v>
      </c>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v>115.66</v>
      </c>
      <c r="AX65" s="9">
        <v>1632.6299999999999</v>
      </c>
      <c r="AY65" s="9">
        <v>2485.1400000000003</v>
      </c>
      <c r="AZ65" s="9">
        <v>7695.71</v>
      </c>
      <c r="BA65" s="9">
        <v>21071.4</v>
      </c>
      <c r="BB65" s="9">
        <v>30421.85</v>
      </c>
      <c r="BC65" s="9">
        <v>136711.76999999996</v>
      </c>
      <c r="BD65" s="9">
        <v>227203.86000000002</v>
      </c>
      <c r="BE65" s="9">
        <v>55403.51</v>
      </c>
      <c r="BF65" s="9">
        <v>196341.88</v>
      </c>
      <c r="BG65" s="9">
        <v>200126.29</v>
      </c>
      <c r="BH65" s="9">
        <v>-66996.260000000009</v>
      </c>
      <c r="BI65" s="9">
        <v>17400.11</v>
      </c>
      <c r="BJ65" s="9">
        <v>20101.189999999999</v>
      </c>
      <c r="BK65" s="9">
        <v>82911.050000000017</v>
      </c>
      <c r="BL65" s="9">
        <v>522697.06999999995</v>
      </c>
      <c r="BM65" s="9">
        <v>592585.94000000018</v>
      </c>
      <c r="BN65" s="9">
        <v>151513.56999999998</v>
      </c>
      <c r="BO65" s="9"/>
      <c r="BP65" s="9"/>
      <c r="BQ65" s="9"/>
      <c r="BR65" s="9"/>
      <c r="BS65" s="9"/>
      <c r="BT65" s="9">
        <f t="shared" si="33"/>
        <v>2199422.37</v>
      </c>
      <c r="BW65" s="9">
        <f t="shared" si="35"/>
        <v>2199422.37</v>
      </c>
      <c r="BX65" s="9">
        <f t="shared" si="34"/>
        <v>0</v>
      </c>
      <c r="CJ65" s="21"/>
      <c r="CR65" s="21"/>
    </row>
    <row r="66" spans="1:96">
      <c r="A66" s="10" t="s">
        <v>328</v>
      </c>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v>3079.84</v>
      </c>
      <c r="BD66" s="9">
        <v>674.58</v>
      </c>
      <c r="BE66" s="9">
        <v>33.659999999999997</v>
      </c>
      <c r="BF66" s="9">
        <v>1.74</v>
      </c>
      <c r="BG66" s="9">
        <v>16559.740000000002</v>
      </c>
      <c r="BH66" s="9">
        <v>52728.99</v>
      </c>
      <c r="BI66" s="9">
        <v>277704.13</v>
      </c>
      <c r="BJ66" s="9">
        <v>66471.650000000009</v>
      </c>
      <c r="BK66" s="9">
        <v>63267.64</v>
      </c>
      <c r="BL66" s="9">
        <v>3761.0499999999997</v>
      </c>
      <c r="BM66" s="9">
        <v>25101.830000000005</v>
      </c>
      <c r="BN66" s="9">
        <v>22411.149999999998</v>
      </c>
      <c r="BO66" s="9"/>
      <c r="BP66" s="9"/>
      <c r="BQ66" s="9"/>
      <c r="BR66" s="9"/>
      <c r="BS66" s="9"/>
      <c r="BT66" s="9">
        <f t="shared" si="33"/>
        <v>531796</v>
      </c>
      <c r="BW66" s="9">
        <f t="shared" si="35"/>
        <v>531796</v>
      </c>
      <c r="BX66" s="9">
        <f t="shared" si="34"/>
        <v>0</v>
      </c>
      <c r="CJ66" s="21"/>
      <c r="CR66" s="21"/>
    </row>
    <row r="67" spans="1:96">
      <c r="A67" s="10" t="s">
        <v>327</v>
      </c>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v>249.89999999999998</v>
      </c>
      <c r="AY67" s="9">
        <v>12.56</v>
      </c>
      <c r="AZ67" s="9">
        <v>-262.34000000000003</v>
      </c>
      <c r="BA67" s="9">
        <v>194.04</v>
      </c>
      <c r="BB67" s="9"/>
      <c r="BC67" s="9"/>
      <c r="BD67" s="9">
        <v>40369.860000000008</v>
      </c>
      <c r="BE67" s="9">
        <v>16142.490000000002</v>
      </c>
      <c r="BF67" s="9">
        <v>7141.9100000000017</v>
      </c>
      <c r="BG67" s="9">
        <v>44331.950000000004</v>
      </c>
      <c r="BH67" s="9">
        <v>-3750.7000000000003</v>
      </c>
      <c r="BI67" s="9">
        <v>378.71000000000004</v>
      </c>
      <c r="BJ67" s="9">
        <v>-157.78</v>
      </c>
      <c r="BK67" s="9">
        <v>23.970000000000002</v>
      </c>
      <c r="BL67" s="9">
        <v>35.53</v>
      </c>
      <c r="BM67" s="9"/>
      <c r="BN67" s="9"/>
      <c r="BO67" s="9"/>
      <c r="BP67" s="9"/>
      <c r="BQ67" s="9"/>
      <c r="BR67" s="9"/>
      <c r="BS67" s="9"/>
      <c r="BT67" s="9">
        <f t="shared" si="33"/>
        <v>104710.10000000003</v>
      </c>
      <c r="BW67" s="9">
        <f t="shared" si="35"/>
        <v>104710.10000000003</v>
      </c>
      <c r="BX67" s="9">
        <f t="shared" si="34"/>
        <v>0</v>
      </c>
      <c r="CJ67" s="21"/>
      <c r="CR67" s="21"/>
    </row>
    <row r="68" spans="1:96">
      <c r="A68" s="10" t="s">
        <v>329</v>
      </c>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v>1563.9300000000003</v>
      </c>
      <c r="AZ68" s="9">
        <v>83157.209999999992</v>
      </c>
      <c r="BA68" s="9">
        <v>7809.9300000000012</v>
      </c>
      <c r="BB68" s="9">
        <v>258.92999999999995</v>
      </c>
      <c r="BC68" s="9">
        <v>2830.11</v>
      </c>
      <c r="BD68" s="9">
        <v>8369.8700000000008</v>
      </c>
      <c r="BE68" s="9">
        <v>34544.180000000008</v>
      </c>
      <c r="BF68" s="9">
        <v>34599.46</v>
      </c>
      <c r="BG68" s="9">
        <v>74944.56</v>
      </c>
      <c r="BH68" s="9">
        <v>4980.2</v>
      </c>
      <c r="BI68" s="9">
        <v>99.639999999999986</v>
      </c>
      <c r="BJ68" s="9">
        <v>82.649999999999991</v>
      </c>
      <c r="BK68" s="9">
        <v>85106.46</v>
      </c>
      <c r="BL68" s="9">
        <v>5201.5899999999992</v>
      </c>
      <c r="BM68" s="9"/>
      <c r="BN68" s="9"/>
      <c r="BO68" s="9"/>
      <c r="BP68" s="9"/>
      <c r="BQ68" s="9"/>
      <c r="BR68" s="9"/>
      <c r="BS68" s="9"/>
      <c r="BT68" s="9">
        <f t="shared" si="33"/>
        <v>343548.72000000003</v>
      </c>
      <c r="BW68" s="9">
        <f t="shared" si="35"/>
        <v>343548.72000000003</v>
      </c>
      <c r="BX68" s="9">
        <f t="shared" si="34"/>
        <v>0</v>
      </c>
      <c r="CJ68" s="21"/>
      <c r="CR68" s="21"/>
    </row>
    <row r="69" spans="1:96">
      <c r="A69" s="10" t="s">
        <v>336</v>
      </c>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v>104.03000000000002</v>
      </c>
      <c r="AY69" s="9">
        <v>33532.039999999994</v>
      </c>
      <c r="AZ69" s="9">
        <v>5272.1900000000005</v>
      </c>
      <c r="BA69" s="9">
        <v>8510.41</v>
      </c>
      <c r="BB69" s="9">
        <v>3938.52</v>
      </c>
      <c r="BC69" s="9">
        <v>1563.1699999999998</v>
      </c>
      <c r="BD69" s="9">
        <v>38943.30000000001</v>
      </c>
      <c r="BE69" s="9">
        <v>28705.610000000008</v>
      </c>
      <c r="BF69" s="9">
        <v>-1570.5400000000011</v>
      </c>
      <c r="BG69" s="9">
        <v>52788.43</v>
      </c>
      <c r="BH69" s="9">
        <v>-4534.2499999999991</v>
      </c>
      <c r="BI69" s="9">
        <v>-462.38</v>
      </c>
      <c r="BJ69" s="9">
        <v>-691.12</v>
      </c>
      <c r="BK69" s="9">
        <v>-41.47</v>
      </c>
      <c r="BL69" s="9">
        <v>-13.77</v>
      </c>
      <c r="BM69" s="9">
        <v>150.91</v>
      </c>
      <c r="BN69" s="9">
        <v>5.49</v>
      </c>
      <c r="BO69" s="9"/>
      <c r="BP69" s="9"/>
      <c r="BQ69" s="9"/>
      <c r="BR69" s="9"/>
      <c r="BS69" s="9"/>
      <c r="BT69" s="9">
        <f t="shared" si="33"/>
        <v>166200.57</v>
      </c>
      <c r="BW69" s="9">
        <f t="shared" si="35"/>
        <v>166200.57</v>
      </c>
      <c r="BX69" s="9">
        <f t="shared" si="34"/>
        <v>0</v>
      </c>
      <c r="CJ69" s="21"/>
      <c r="CR69" s="21"/>
    </row>
    <row r="70" spans="1:96">
      <c r="A70" s="10" t="s">
        <v>337</v>
      </c>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v>28090.210000000003</v>
      </c>
      <c r="BA70" s="9">
        <v>4919.2800000000007</v>
      </c>
      <c r="BB70" s="9">
        <v>14315.11</v>
      </c>
      <c r="BC70" s="9">
        <v>3824.94</v>
      </c>
      <c r="BD70" s="9">
        <v>5619.1299999999992</v>
      </c>
      <c r="BE70" s="9">
        <v>8722.880000000001</v>
      </c>
      <c r="BF70" s="9">
        <v>79980.389999999985</v>
      </c>
      <c r="BG70" s="9">
        <v>-33185.139999999992</v>
      </c>
      <c r="BH70" s="9">
        <v>-1825.2700000000002</v>
      </c>
      <c r="BI70" s="9">
        <v>6596.0300000000007</v>
      </c>
      <c r="BJ70" s="9">
        <v>563.51</v>
      </c>
      <c r="BK70" s="9">
        <v>256.19</v>
      </c>
      <c r="BL70" s="9">
        <v>1.0600000000000005</v>
      </c>
      <c r="BM70" s="9">
        <v>124.42</v>
      </c>
      <c r="BN70" s="9">
        <v>4.43</v>
      </c>
      <c r="BO70" s="9"/>
      <c r="BP70" s="9"/>
      <c r="BQ70" s="9"/>
      <c r="BR70" s="9"/>
      <c r="BS70" s="9"/>
      <c r="BT70" s="9">
        <f t="shared" si="33"/>
        <v>118007.17</v>
      </c>
      <c r="BW70" s="9">
        <f t="shared" si="35"/>
        <v>118007.17</v>
      </c>
      <c r="BX70" s="9">
        <f t="shared" si="34"/>
        <v>0</v>
      </c>
      <c r="CJ70" s="21"/>
      <c r="CR70" s="21"/>
    </row>
    <row r="71" spans="1:96">
      <c r="A71" s="10" t="s">
        <v>365</v>
      </c>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v>5628.52</v>
      </c>
      <c r="BB71" s="9">
        <v>48910.259999999995</v>
      </c>
      <c r="BC71" s="9">
        <v>3595.52</v>
      </c>
      <c r="BD71" s="9">
        <v>40311.26</v>
      </c>
      <c r="BE71" s="9">
        <v>13698.64</v>
      </c>
      <c r="BF71" s="9">
        <v>1310.74</v>
      </c>
      <c r="BG71" s="9">
        <v>11866.21</v>
      </c>
      <c r="BH71" s="9">
        <v>6223.9600000000009</v>
      </c>
      <c r="BI71" s="9">
        <v>-3392.69</v>
      </c>
      <c r="BJ71" s="9">
        <v>1742.1400000000003</v>
      </c>
      <c r="BK71" s="9">
        <v>4985.6399999999994</v>
      </c>
      <c r="BL71" s="9">
        <v>3742.57</v>
      </c>
      <c r="BM71" s="9">
        <v>514.44999999999993</v>
      </c>
      <c r="BN71" s="9">
        <v>10.54</v>
      </c>
      <c r="BO71" s="9"/>
      <c r="BP71" s="9"/>
      <c r="BQ71" s="9"/>
      <c r="BR71" s="9"/>
      <c r="BS71" s="9"/>
      <c r="BT71" s="9">
        <f t="shared" si="33"/>
        <v>139147.76</v>
      </c>
      <c r="BW71" s="9">
        <f t="shared" si="35"/>
        <v>139147.76</v>
      </c>
      <c r="BX71" s="9">
        <f t="shared" si="34"/>
        <v>0</v>
      </c>
      <c r="CJ71" s="21"/>
      <c r="CR71" s="21"/>
    </row>
    <row r="72" spans="1:96">
      <c r="A72" s="10" t="s">
        <v>338</v>
      </c>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v>6733.0400000000009</v>
      </c>
      <c r="BB72" s="9">
        <v>8051.7299999999977</v>
      </c>
      <c r="BC72" s="9">
        <v>16871.969999999998</v>
      </c>
      <c r="BD72" s="9">
        <v>1148.92</v>
      </c>
      <c r="BE72" s="9"/>
      <c r="BF72" s="9"/>
      <c r="BG72" s="9"/>
      <c r="BH72" s="9"/>
      <c r="BI72" s="9"/>
      <c r="BJ72" s="9"/>
      <c r="BK72" s="9"/>
      <c r="BL72" s="9"/>
      <c r="BM72" s="9"/>
      <c r="BN72" s="9"/>
      <c r="BO72" s="9"/>
      <c r="BP72" s="9"/>
      <c r="BQ72" s="9"/>
      <c r="BR72" s="9"/>
      <c r="BS72" s="9"/>
      <c r="BT72" s="9">
        <f t="shared" si="33"/>
        <v>32805.659999999996</v>
      </c>
      <c r="BW72" s="9">
        <f t="shared" si="35"/>
        <v>32805.659999999996</v>
      </c>
      <c r="BX72" s="9">
        <f t="shared" si="34"/>
        <v>0</v>
      </c>
      <c r="CJ72" s="21"/>
      <c r="CR72" s="21"/>
    </row>
    <row r="73" spans="1:96">
      <c r="A73" s="10" t="s">
        <v>339</v>
      </c>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v>23032.929999999997</v>
      </c>
      <c r="BF73" s="9">
        <v>9267.6400000000031</v>
      </c>
      <c r="BG73" s="9">
        <v>18452.940000000006</v>
      </c>
      <c r="BH73" s="9">
        <v>1083.4199999999998</v>
      </c>
      <c r="BI73" s="9">
        <v>0.02</v>
      </c>
      <c r="BJ73" s="9"/>
      <c r="BK73" s="9"/>
      <c r="BL73" s="9"/>
      <c r="BM73" s="9"/>
      <c r="BN73" s="9"/>
      <c r="BO73" s="9"/>
      <c r="BP73" s="9"/>
      <c r="BQ73" s="9"/>
      <c r="BR73" s="9"/>
      <c r="BS73" s="9"/>
      <c r="BT73" s="9">
        <f t="shared" si="33"/>
        <v>51836.950000000004</v>
      </c>
      <c r="BW73" s="9">
        <f t="shared" si="35"/>
        <v>51836.950000000004</v>
      </c>
      <c r="BX73" s="9">
        <f t="shared" si="34"/>
        <v>0</v>
      </c>
      <c r="CJ73" s="21"/>
      <c r="CR73" s="21"/>
    </row>
    <row r="74" spans="1:96">
      <c r="A74" s="10" t="s">
        <v>340</v>
      </c>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v>23388.09</v>
      </c>
      <c r="BF74" s="9">
        <v>5173.5699999999988</v>
      </c>
      <c r="BG74" s="9">
        <v>6892.2999999999993</v>
      </c>
      <c r="BH74" s="9">
        <v>409.47</v>
      </c>
      <c r="BI74" s="9">
        <v>0.01</v>
      </c>
      <c r="BJ74" s="9"/>
      <c r="BK74" s="9"/>
      <c r="BL74" s="9"/>
      <c r="BM74" s="9"/>
      <c r="BN74" s="9"/>
      <c r="BO74" s="9"/>
      <c r="BP74" s="9"/>
      <c r="BQ74" s="9"/>
      <c r="BR74" s="9"/>
      <c r="BS74" s="9"/>
      <c r="BT74" s="9">
        <f t="shared" si="33"/>
        <v>35863.440000000002</v>
      </c>
      <c r="BW74" s="9">
        <f>BT74+BV36</f>
        <v>35863.440000000002</v>
      </c>
      <c r="BX74" s="9">
        <f t="shared" si="34"/>
        <v>0</v>
      </c>
      <c r="CJ74" s="21"/>
      <c r="CR74" s="21"/>
    </row>
    <row r="75" spans="1:96">
      <c r="A75" s="10" t="s">
        <v>341</v>
      </c>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v>169420.09999999998</v>
      </c>
      <c r="BH75" s="9">
        <v>5238.12</v>
      </c>
      <c r="BI75" s="9">
        <v>-16592.300000000003</v>
      </c>
      <c r="BJ75" s="9">
        <v>2.0999999999999996</v>
      </c>
      <c r="BK75" s="9">
        <v>2.15</v>
      </c>
      <c r="BL75" s="9">
        <v>2.15</v>
      </c>
      <c r="BM75" s="9">
        <v>30.439999999999998</v>
      </c>
      <c r="BN75" s="9">
        <v>1.1299999999999999</v>
      </c>
      <c r="BO75" s="9"/>
      <c r="BP75" s="9"/>
      <c r="BQ75" s="9"/>
      <c r="BR75" s="9"/>
      <c r="BS75" s="9"/>
      <c r="BT75" s="9">
        <f t="shared" si="33"/>
        <v>158103.88999999998</v>
      </c>
      <c r="BW75" s="9">
        <f>BT75+BV37</f>
        <v>158103.88999999998</v>
      </c>
      <c r="BX75" s="9">
        <f t="shared" si="34"/>
        <v>0</v>
      </c>
      <c r="CJ75" s="21"/>
      <c r="CR75" s="21"/>
    </row>
    <row r="76" spans="1:96">
      <c r="A76" s="10" t="s">
        <v>342</v>
      </c>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v>1682784.72</v>
      </c>
      <c r="BH76" s="9">
        <v>36192.639999999999</v>
      </c>
      <c r="BI76" s="9">
        <v>32386.589999999997</v>
      </c>
      <c r="BJ76" s="9">
        <v>2030.07</v>
      </c>
      <c r="BK76" s="9">
        <v>-29953.690000000002</v>
      </c>
      <c r="BL76" s="9">
        <v>15.39</v>
      </c>
      <c r="BM76" s="9">
        <v>28.98</v>
      </c>
      <c r="BN76" s="9">
        <v>1.1299999999999999</v>
      </c>
      <c r="BO76" s="9"/>
      <c r="BP76" s="9"/>
      <c r="BQ76" s="9"/>
      <c r="BR76" s="9"/>
      <c r="BS76" s="9"/>
      <c r="BT76" s="9">
        <f t="shared" si="33"/>
        <v>1723485.8299999998</v>
      </c>
      <c r="BW76" s="9">
        <f>BT76+BV38</f>
        <v>1723485.8299999998</v>
      </c>
      <c r="BX76" s="9">
        <f t="shared" si="34"/>
        <v>0</v>
      </c>
      <c r="CJ76" s="21"/>
      <c r="CR76" s="21"/>
    </row>
    <row r="77" spans="1:96" ht="13.5" thickBot="1">
      <c r="A77" t="s">
        <v>63</v>
      </c>
      <c r="B77" s="231">
        <f>SUM(B46:B76)</f>
        <v>2298.21</v>
      </c>
      <c r="C77" s="231">
        <f>SUM(C46:C76)</f>
        <v>2559.17</v>
      </c>
      <c r="D77" s="231">
        <f t="shared" ref="D77:BG77" si="36">SUM(D46:D76)</f>
        <v>3067.23</v>
      </c>
      <c r="E77" s="231">
        <f t="shared" si="36"/>
        <v>18212.27</v>
      </c>
      <c r="F77" s="231">
        <f t="shared" si="36"/>
        <v>21387.94</v>
      </c>
      <c r="G77" s="231">
        <f t="shared" si="36"/>
        <v>7835.84</v>
      </c>
      <c r="H77" s="231">
        <f t="shared" si="36"/>
        <v>2465880.17</v>
      </c>
      <c r="I77" s="231">
        <f t="shared" si="36"/>
        <v>-1494584.4300000002</v>
      </c>
      <c r="J77" s="231">
        <f t="shared" si="36"/>
        <v>345546.07000000007</v>
      </c>
      <c r="K77" s="231">
        <f t="shared" si="36"/>
        <v>3068405.94</v>
      </c>
      <c r="L77" s="231">
        <f t="shared" si="36"/>
        <v>-839920.87000000023</v>
      </c>
      <c r="M77" s="231">
        <f t="shared" si="36"/>
        <v>2054901.469999999</v>
      </c>
      <c r="N77" s="231">
        <f t="shared" si="36"/>
        <v>10924107.629999993</v>
      </c>
      <c r="O77" s="231">
        <f t="shared" si="36"/>
        <v>-1063493.2200000002</v>
      </c>
      <c r="P77" s="231">
        <f t="shared" si="36"/>
        <v>4608732.4899999993</v>
      </c>
      <c r="Q77" s="231">
        <f t="shared" si="36"/>
        <v>7276591.5499999998</v>
      </c>
      <c r="R77" s="231">
        <f t="shared" si="36"/>
        <v>3901250.9699999997</v>
      </c>
      <c r="S77" s="231">
        <f t="shared" si="36"/>
        <v>5849021.0800000001</v>
      </c>
      <c r="T77" s="231">
        <f t="shared" si="36"/>
        <v>5428772.8900000025</v>
      </c>
      <c r="U77" s="231">
        <f t="shared" si="36"/>
        <v>3908874.5399999977</v>
      </c>
      <c r="V77" s="231">
        <f t="shared" si="36"/>
        <v>3720511.1300000008</v>
      </c>
      <c r="W77" s="231">
        <f t="shared" si="36"/>
        <v>3326284.34</v>
      </c>
      <c r="X77" s="231">
        <f t="shared" si="36"/>
        <v>-899012.60999999975</v>
      </c>
      <c r="Y77" s="231">
        <f t="shared" si="36"/>
        <v>17706.650000000023</v>
      </c>
      <c r="Z77" s="231">
        <f t="shared" si="36"/>
        <v>328965.18999999994</v>
      </c>
      <c r="AA77" s="231">
        <f t="shared" si="36"/>
        <v>428713.13</v>
      </c>
      <c r="AB77" s="231">
        <f t="shared" si="36"/>
        <v>845312.26</v>
      </c>
      <c r="AC77" s="231">
        <f t="shared" si="36"/>
        <v>1378538.6300000004</v>
      </c>
      <c r="AD77" s="231">
        <f t="shared" si="36"/>
        <v>550012.12999999989</v>
      </c>
      <c r="AE77" s="231">
        <f t="shared" si="36"/>
        <v>1571916.0299999993</v>
      </c>
      <c r="AF77" s="231">
        <f t="shared" si="36"/>
        <v>2115413.1600000011</v>
      </c>
      <c r="AG77" s="231">
        <f t="shared" si="36"/>
        <v>241001.15000000002</v>
      </c>
      <c r="AH77" s="231">
        <f t="shared" si="36"/>
        <v>1227207.0100000009</v>
      </c>
      <c r="AI77" s="231">
        <f t="shared" si="36"/>
        <v>5498837.2899999972</v>
      </c>
      <c r="AJ77" s="231">
        <f t="shared" si="36"/>
        <v>146747.93000000002</v>
      </c>
      <c r="AK77" s="231">
        <f t="shared" si="36"/>
        <v>2351484.2199999997</v>
      </c>
      <c r="AL77" s="231">
        <f t="shared" si="36"/>
        <v>2567018.1100000013</v>
      </c>
      <c r="AM77" s="231">
        <f t="shared" si="36"/>
        <v>1660810.6399999997</v>
      </c>
      <c r="AN77" s="231">
        <f t="shared" si="36"/>
        <v>1831796.88</v>
      </c>
      <c r="AO77" s="231">
        <f t="shared" si="36"/>
        <v>8067553.4000000004</v>
      </c>
      <c r="AP77" s="231">
        <f t="shared" si="36"/>
        <v>-808353.19000000029</v>
      </c>
      <c r="AQ77" s="231">
        <f t="shared" si="36"/>
        <v>2490027.5599999996</v>
      </c>
      <c r="AR77" s="231">
        <f t="shared" si="36"/>
        <v>6582193.5299999993</v>
      </c>
      <c r="AS77" s="231">
        <f t="shared" si="36"/>
        <v>1131624.46</v>
      </c>
      <c r="AT77" s="231">
        <f t="shared" si="36"/>
        <v>5090895.2799999984</v>
      </c>
      <c r="AU77" s="231">
        <f t="shared" si="36"/>
        <v>8790247.3399999999</v>
      </c>
      <c r="AV77" s="231">
        <f t="shared" si="36"/>
        <v>-3221671.2399999979</v>
      </c>
      <c r="AW77" s="231">
        <f t="shared" si="36"/>
        <v>2911851.1799999992</v>
      </c>
      <c r="AX77" s="231">
        <f t="shared" si="36"/>
        <v>7229903.0800000019</v>
      </c>
      <c r="AY77" s="231">
        <f t="shared" si="36"/>
        <v>373128.68000000058</v>
      </c>
      <c r="AZ77" s="231">
        <f t="shared" si="36"/>
        <v>4708797.1700000009</v>
      </c>
      <c r="BA77" s="231">
        <f t="shared" si="36"/>
        <v>9250416.0199999977</v>
      </c>
      <c r="BB77" s="231">
        <f t="shared" si="36"/>
        <v>1309513.2500000002</v>
      </c>
      <c r="BC77" s="231">
        <f t="shared" si="36"/>
        <v>6814874.6699999999</v>
      </c>
      <c r="BD77" s="231">
        <f t="shared" si="36"/>
        <v>7081256.9399999995</v>
      </c>
      <c r="BE77" s="231">
        <f t="shared" si="36"/>
        <v>3745052.2400000021</v>
      </c>
      <c r="BF77" s="231">
        <f t="shared" si="36"/>
        <v>5389334.8300000019</v>
      </c>
      <c r="BG77" s="231">
        <f t="shared" si="36"/>
        <v>8200167.2399999965</v>
      </c>
      <c r="BH77" s="231">
        <f>SUM(BH46:BH76)</f>
        <v>838850.94000000018</v>
      </c>
      <c r="BI77" s="231">
        <f t="shared" ref="BI77" si="37">SUM(BI46:BI76)</f>
        <v>1573043.0600000003</v>
      </c>
      <c r="BJ77" s="231">
        <f t="shared" ref="BJ77" si="38">SUM(BJ46:BJ76)</f>
        <v>1923356.8299999991</v>
      </c>
      <c r="BK77" s="231">
        <f t="shared" ref="BK77" si="39">SUM(BK46:BK76)</f>
        <v>269106.47000000015</v>
      </c>
      <c r="BL77" s="231">
        <f t="shared" ref="BL77" si="40">SUM(BL46:BL76)</f>
        <v>266555.87999999995</v>
      </c>
      <c r="BM77" s="231">
        <f t="shared" ref="BM77" si="41">SUM(BM46:BM76)</f>
        <v>1908399.3900000001</v>
      </c>
      <c r="BN77" s="231">
        <f t="shared" ref="BN77" si="42">SUM(BN46:BN76)</f>
        <v>610991.95000000019</v>
      </c>
      <c r="BO77" s="231">
        <f t="shared" ref="BO77" si="43">SUM(BO46:BO76)</f>
        <v>0</v>
      </c>
      <c r="BP77" s="231">
        <f t="shared" ref="BP77" si="44">SUM(BP46:BP76)</f>
        <v>0</v>
      </c>
      <c r="BQ77" s="231">
        <f t="shared" ref="BQ77" si="45">SUM(BQ46:BQ76)</f>
        <v>0</v>
      </c>
      <c r="BR77" s="231">
        <f t="shared" ref="BR77" si="46">SUM(BR46:BR76)</f>
        <v>0</v>
      </c>
      <c r="BS77" s="231">
        <f t="shared" ref="BS77" si="47">SUM(BS46:BS76)</f>
        <v>0</v>
      </c>
      <c r="BT77" s="9">
        <f>SUM(B77:BS77)</f>
        <v>167925827.17000002</v>
      </c>
      <c r="BW77" s="9">
        <f>BT77+BV39</f>
        <v>111365394.14000002</v>
      </c>
      <c r="BX77" s="9">
        <f t="shared" ref="BX77" si="48">SUM(B77:AI77)</f>
        <v>66840852.43</v>
      </c>
      <c r="CJ77" s="21"/>
      <c r="CR77" s="21"/>
    </row>
    <row r="78" spans="1:96" ht="13.5" thickTop="1"/>
    <row r="80" spans="1:96">
      <c r="BT80" s="20"/>
    </row>
    <row r="81" spans="1:96">
      <c r="A81" s="3" t="s">
        <v>91</v>
      </c>
      <c r="B81" s="2" t="s">
        <v>103</v>
      </c>
      <c r="C81" s="2" t="s">
        <v>104</v>
      </c>
      <c r="D81" s="2" t="s">
        <v>105</v>
      </c>
      <c r="E81" s="2" t="s">
        <v>106</v>
      </c>
      <c r="F81" s="2" t="s">
        <v>107</v>
      </c>
      <c r="G81" s="2" t="s">
        <v>108</v>
      </c>
      <c r="H81" s="2" t="s">
        <v>109</v>
      </c>
      <c r="I81" s="2" t="s">
        <v>110</v>
      </c>
      <c r="J81" s="2" t="s">
        <v>111</v>
      </c>
      <c r="K81" s="2" t="s">
        <v>112</v>
      </c>
      <c r="L81" s="2" t="s">
        <v>113</v>
      </c>
      <c r="M81" s="2" t="s">
        <v>114</v>
      </c>
      <c r="N81" s="2" t="s">
        <v>115</v>
      </c>
      <c r="O81" s="2" t="s">
        <v>116</v>
      </c>
      <c r="P81" s="2" t="s">
        <v>117</v>
      </c>
      <c r="Q81" s="2" t="s">
        <v>118</v>
      </c>
      <c r="R81" s="2" t="s">
        <v>119</v>
      </c>
      <c r="S81" s="2" t="s">
        <v>120</v>
      </c>
      <c r="T81" s="2" t="s">
        <v>121</v>
      </c>
      <c r="U81" s="2" t="s">
        <v>122</v>
      </c>
      <c r="V81" s="2" t="s">
        <v>123</v>
      </c>
    </row>
    <row r="82" spans="1:96">
      <c r="A82" s="2" t="s">
        <v>93</v>
      </c>
      <c r="B82" s="26">
        <v>0.52500000000000002</v>
      </c>
      <c r="C82" s="26">
        <v>4.7500000000000001E-2</v>
      </c>
      <c r="D82" s="26">
        <v>4.2799999999999998E-2</v>
      </c>
      <c r="E82" s="26">
        <v>3.85E-2</v>
      </c>
      <c r="F82" s="26">
        <v>3.4700000000000002E-2</v>
      </c>
      <c r="G82" s="26">
        <v>3.1199999999999999E-2</v>
      </c>
      <c r="H82" s="26">
        <v>2.9499999999999998E-2</v>
      </c>
      <c r="I82" s="26">
        <v>2.9499999999999998E-2</v>
      </c>
      <c r="J82" s="26">
        <v>2.9600000000000001E-2</v>
      </c>
      <c r="K82" s="26">
        <v>2.9499999999999998E-2</v>
      </c>
      <c r="L82" s="26">
        <v>2.9600000000000001E-2</v>
      </c>
      <c r="M82" s="26">
        <v>2.9499999999999998E-2</v>
      </c>
      <c r="N82" s="26">
        <v>2.9600000000000001E-2</v>
      </c>
      <c r="O82" s="26">
        <v>2.9499999999999998E-2</v>
      </c>
      <c r="P82" s="26">
        <v>2.9600000000000001E-2</v>
      </c>
      <c r="Q82" s="26">
        <v>1.46E-2</v>
      </c>
      <c r="R82" s="26"/>
      <c r="S82" s="26"/>
      <c r="T82" s="26"/>
      <c r="U82" s="26"/>
      <c r="V82" s="26"/>
    </row>
    <row r="83" spans="1:96">
      <c r="A83" s="2" t="s">
        <v>94</v>
      </c>
      <c r="B83" s="26">
        <v>0.51880000000000004</v>
      </c>
      <c r="C83" s="26">
        <v>3.61E-2</v>
      </c>
      <c r="D83" s="26">
        <v>3.3399999999999999E-2</v>
      </c>
      <c r="E83" s="26">
        <v>3.09E-2</v>
      </c>
      <c r="F83" s="26">
        <v>2.86E-2</v>
      </c>
      <c r="G83" s="26">
        <v>2.64E-2</v>
      </c>
      <c r="H83" s="26">
        <v>2.4400000000000002E-2</v>
      </c>
      <c r="I83" s="26">
        <v>2.2599999999999999E-2</v>
      </c>
      <c r="J83" s="26">
        <v>2.231E-2</v>
      </c>
      <c r="K83" s="26">
        <v>2.23E-2</v>
      </c>
      <c r="L83" s="26">
        <v>2.231E-2</v>
      </c>
      <c r="M83" s="26">
        <v>2.23E-2</v>
      </c>
      <c r="N83" s="26">
        <v>2.231E-2</v>
      </c>
      <c r="O83" s="26">
        <v>2.23E-2</v>
      </c>
      <c r="P83" s="26">
        <v>2.231E-2</v>
      </c>
      <c r="Q83" s="26">
        <v>2.23E-2</v>
      </c>
      <c r="R83" s="26">
        <v>2.231E-2</v>
      </c>
      <c r="S83" s="26">
        <v>2.23E-2</v>
      </c>
      <c r="T83" s="26">
        <v>2.231E-2</v>
      </c>
      <c r="U83" s="26">
        <v>2.23E-2</v>
      </c>
      <c r="V83" s="26">
        <v>1.1140000000000001E-2</v>
      </c>
    </row>
    <row r="84" spans="1:96">
      <c r="A84" s="2" t="s">
        <v>92</v>
      </c>
      <c r="B84" s="26">
        <v>1</v>
      </c>
      <c r="C84" s="26">
        <v>0</v>
      </c>
      <c r="D84" s="26">
        <v>0</v>
      </c>
      <c r="E84" s="26">
        <v>0</v>
      </c>
      <c r="F84" s="26">
        <v>0</v>
      </c>
      <c r="G84" s="26">
        <v>0</v>
      </c>
      <c r="H84" s="26">
        <v>0</v>
      </c>
      <c r="I84" s="26">
        <v>0</v>
      </c>
      <c r="J84" s="26">
        <v>0</v>
      </c>
      <c r="K84" s="26">
        <v>0</v>
      </c>
      <c r="L84" s="26">
        <v>0</v>
      </c>
      <c r="M84" s="26">
        <v>0</v>
      </c>
      <c r="N84" s="26">
        <v>0</v>
      </c>
      <c r="O84" s="26">
        <v>0</v>
      </c>
      <c r="P84" s="26">
        <v>0</v>
      </c>
      <c r="Q84" s="26">
        <v>0</v>
      </c>
      <c r="R84" s="26"/>
      <c r="S84" s="26"/>
      <c r="T84" s="26"/>
      <c r="U84" s="26"/>
      <c r="V84" s="26"/>
    </row>
    <row r="87" spans="1:96">
      <c r="A87" s="3" t="s">
        <v>124</v>
      </c>
      <c r="B87" s="42">
        <v>40209</v>
      </c>
      <c r="C87" s="3">
        <f>EOMONTH(B87,1)</f>
        <v>40237</v>
      </c>
      <c r="D87" s="3">
        <f t="shared" ref="D87:AK87" si="49">EOMONTH(C87,1)</f>
        <v>40268</v>
      </c>
      <c r="E87" s="3">
        <f t="shared" si="49"/>
        <v>40298</v>
      </c>
      <c r="F87" s="3">
        <f t="shared" si="49"/>
        <v>40329</v>
      </c>
      <c r="G87" s="3">
        <f t="shared" si="49"/>
        <v>40359</v>
      </c>
      <c r="H87" s="3">
        <f t="shared" si="49"/>
        <v>40390</v>
      </c>
      <c r="I87" s="3">
        <f t="shared" si="49"/>
        <v>40421</v>
      </c>
      <c r="J87" s="3">
        <f t="shared" si="49"/>
        <v>40451</v>
      </c>
      <c r="K87" s="3">
        <f t="shared" si="49"/>
        <v>40482</v>
      </c>
      <c r="L87" s="3">
        <f t="shared" si="49"/>
        <v>40512</v>
      </c>
      <c r="M87" s="3">
        <f t="shared" si="49"/>
        <v>40543</v>
      </c>
      <c r="N87" s="3">
        <f t="shared" si="49"/>
        <v>40574</v>
      </c>
      <c r="O87" s="3">
        <f t="shared" si="49"/>
        <v>40602</v>
      </c>
      <c r="P87" s="3">
        <f t="shared" si="49"/>
        <v>40633</v>
      </c>
      <c r="Q87" s="3">
        <f t="shared" si="49"/>
        <v>40663</v>
      </c>
      <c r="R87" s="3">
        <f t="shared" si="49"/>
        <v>40694</v>
      </c>
      <c r="S87" s="3">
        <f t="shared" si="49"/>
        <v>40724</v>
      </c>
      <c r="T87" s="3">
        <f t="shared" si="49"/>
        <v>40755</v>
      </c>
      <c r="U87" s="3">
        <f t="shared" si="49"/>
        <v>40786</v>
      </c>
      <c r="V87" s="3">
        <f t="shared" si="49"/>
        <v>40816</v>
      </c>
      <c r="W87" s="3">
        <f t="shared" si="49"/>
        <v>40847</v>
      </c>
      <c r="X87" s="3">
        <f t="shared" si="49"/>
        <v>40877</v>
      </c>
      <c r="Y87" s="3">
        <f t="shared" si="49"/>
        <v>40908</v>
      </c>
      <c r="Z87" s="3">
        <f t="shared" si="49"/>
        <v>40939</v>
      </c>
      <c r="AA87" s="3">
        <f t="shared" si="49"/>
        <v>40968</v>
      </c>
      <c r="AB87" s="3">
        <f t="shared" si="49"/>
        <v>40999</v>
      </c>
      <c r="AC87" s="3">
        <f t="shared" si="49"/>
        <v>41029</v>
      </c>
      <c r="AD87" s="3">
        <f t="shared" si="49"/>
        <v>41060</v>
      </c>
      <c r="AE87" s="3">
        <f t="shared" si="49"/>
        <v>41090</v>
      </c>
      <c r="AF87" s="3">
        <f t="shared" si="49"/>
        <v>41121</v>
      </c>
      <c r="AG87" s="3">
        <f t="shared" si="49"/>
        <v>41152</v>
      </c>
      <c r="AH87" s="3">
        <f t="shared" si="49"/>
        <v>41182</v>
      </c>
      <c r="AI87" s="3">
        <f t="shared" si="49"/>
        <v>41213</v>
      </c>
      <c r="AJ87" s="3">
        <f t="shared" si="49"/>
        <v>41243</v>
      </c>
      <c r="AK87" s="3">
        <f t="shared" si="49"/>
        <v>41274</v>
      </c>
      <c r="AL87" s="3">
        <f t="shared" ref="AL87" si="50">EOMONTH(AK87,1)</f>
        <v>41305</v>
      </c>
      <c r="AM87" s="3">
        <f t="shared" ref="AM87" si="51">EOMONTH(AL87,1)</f>
        <v>41333</v>
      </c>
      <c r="AN87" s="3">
        <f t="shared" ref="AN87" si="52">EOMONTH(AM87,1)</f>
        <v>41364</v>
      </c>
      <c r="AO87" s="3">
        <f t="shared" ref="AO87" si="53">EOMONTH(AN87,1)</f>
        <v>41394</v>
      </c>
      <c r="AP87" s="3">
        <f t="shared" ref="AP87" si="54">EOMONTH(AO87,1)</f>
        <v>41425</v>
      </c>
      <c r="AQ87" s="3">
        <f t="shared" ref="AQ87" si="55">EOMONTH(AP87,1)</f>
        <v>41455</v>
      </c>
      <c r="AR87" s="3">
        <f t="shared" ref="AR87" si="56">EOMONTH(AQ87,1)</f>
        <v>41486</v>
      </c>
      <c r="AS87" s="3">
        <f t="shared" ref="AS87" si="57">EOMONTH(AR87,1)</f>
        <v>41517</v>
      </c>
      <c r="AT87" s="3">
        <f t="shared" ref="AT87" si="58">EOMONTH(AS87,1)</f>
        <v>41547</v>
      </c>
      <c r="AU87" s="3">
        <f t="shared" ref="AU87" si="59">EOMONTH(AT87,1)</f>
        <v>41578</v>
      </c>
      <c r="AV87" s="3">
        <f t="shared" ref="AV87" si="60">EOMONTH(AU87,1)</f>
        <v>41608</v>
      </c>
      <c r="AW87" s="3">
        <f t="shared" ref="AW87" si="61">EOMONTH(AV87,1)</f>
        <v>41639</v>
      </c>
    </row>
    <row r="88" spans="1:96">
      <c r="A88" t="s">
        <v>95</v>
      </c>
    </row>
    <row r="89" spans="1:96">
      <c r="A89" s="39" t="s">
        <v>96</v>
      </c>
      <c r="B89" s="9">
        <f t="shared" ref="B89:M89" si="62">($CG$41*$B$82)/12</f>
        <v>45222.768500000057</v>
      </c>
      <c r="C89" s="9">
        <f t="shared" si="62"/>
        <v>45222.768500000057</v>
      </c>
      <c r="D89" s="9">
        <f t="shared" si="62"/>
        <v>45222.768500000057</v>
      </c>
      <c r="E89" s="9">
        <f t="shared" si="62"/>
        <v>45222.768500000057</v>
      </c>
      <c r="F89" s="9">
        <f t="shared" si="62"/>
        <v>45222.768500000057</v>
      </c>
      <c r="G89" s="9">
        <f t="shared" si="62"/>
        <v>45222.768500000057</v>
      </c>
      <c r="H89" s="9">
        <f t="shared" si="62"/>
        <v>45222.768500000057</v>
      </c>
      <c r="I89" s="9">
        <f t="shared" si="62"/>
        <v>45222.768500000057</v>
      </c>
      <c r="J89" s="9">
        <f t="shared" si="62"/>
        <v>45222.768500000057</v>
      </c>
      <c r="K89" s="9">
        <f t="shared" si="62"/>
        <v>45222.768500000057</v>
      </c>
      <c r="L89" s="9">
        <f t="shared" si="62"/>
        <v>45222.768500000057</v>
      </c>
      <c r="M89" s="9">
        <f t="shared" si="62"/>
        <v>45222.768500000057</v>
      </c>
      <c r="N89" s="9">
        <f t="shared" ref="N89:Y89" si="63">($CG$41*$C$82)/12</f>
        <v>4091.5838166666713</v>
      </c>
      <c r="O89" s="9">
        <f t="shared" si="63"/>
        <v>4091.5838166666713</v>
      </c>
      <c r="P89" s="9">
        <f t="shared" si="63"/>
        <v>4091.5838166666713</v>
      </c>
      <c r="Q89" s="9">
        <f t="shared" si="63"/>
        <v>4091.5838166666713</v>
      </c>
      <c r="R89" s="9">
        <f t="shared" si="63"/>
        <v>4091.5838166666713</v>
      </c>
      <c r="S89" s="9">
        <f t="shared" si="63"/>
        <v>4091.5838166666713</v>
      </c>
      <c r="T89" s="9">
        <f t="shared" si="63"/>
        <v>4091.5838166666713</v>
      </c>
      <c r="U89" s="9">
        <f t="shared" si="63"/>
        <v>4091.5838166666713</v>
      </c>
      <c r="V89" s="9">
        <f t="shared" si="63"/>
        <v>4091.5838166666713</v>
      </c>
      <c r="W89" s="9">
        <f t="shared" si="63"/>
        <v>4091.5838166666713</v>
      </c>
      <c r="X89" s="9">
        <f t="shared" si="63"/>
        <v>4091.5838166666713</v>
      </c>
      <c r="Y89" s="9">
        <f t="shared" si="63"/>
        <v>4091.5838166666713</v>
      </c>
      <c r="Z89" s="9">
        <f t="shared" ref="Z89:AK89" si="64">($CG$41*$D$82)/12</f>
        <v>3686.7323653333374</v>
      </c>
      <c r="AA89" s="9">
        <f t="shared" si="64"/>
        <v>3686.7323653333374</v>
      </c>
      <c r="AB89" s="9">
        <f t="shared" si="64"/>
        <v>3686.7323653333374</v>
      </c>
      <c r="AC89" s="9">
        <f t="shared" si="64"/>
        <v>3686.7323653333374</v>
      </c>
      <c r="AD89" s="9">
        <f t="shared" si="64"/>
        <v>3686.7323653333374</v>
      </c>
      <c r="AE89" s="9">
        <f t="shared" si="64"/>
        <v>3686.7323653333374</v>
      </c>
      <c r="AF89" s="9">
        <f t="shared" si="64"/>
        <v>3686.7323653333374</v>
      </c>
      <c r="AG89" s="9">
        <f t="shared" si="64"/>
        <v>3686.7323653333374</v>
      </c>
      <c r="AH89" s="9">
        <f t="shared" si="64"/>
        <v>3686.7323653333374</v>
      </c>
      <c r="AI89" s="9">
        <f t="shared" si="64"/>
        <v>3686.7323653333374</v>
      </c>
      <c r="AJ89" s="9">
        <f t="shared" si="64"/>
        <v>3686.7323653333374</v>
      </c>
      <c r="AK89" s="9">
        <f t="shared" si="64"/>
        <v>3686.7323653333374</v>
      </c>
      <c r="AL89" s="9">
        <f>($CG$41*$E$82)/12</f>
        <v>3316.3363566666703</v>
      </c>
      <c r="AM89" s="9">
        <f t="shared" ref="AM89:AW89" si="65">($CG$41*$E$82)/12</f>
        <v>3316.3363566666703</v>
      </c>
      <c r="AN89" s="9">
        <f t="shared" si="65"/>
        <v>3316.3363566666703</v>
      </c>
      <c r="AO89" s="9">
        <f t="shared" si="65"/>
        <v>3316.3363566666703</v>
      </c>
      <c r="AP89" s="9">
        <f t="shared" si="65"/>
        <v>3316.3363566666703</v>
      </c>
      <c r="AQ89" s="9">
        <f t="shared" si="65"/>
        <v>3316.3363566666703</v>
      </c>
      <c r="AR89" s="9">
        <f t="shared" si="65"/>
        <v>3316.3363566666703</v>
      </c>
      <c r="AS89" s="9">
        <f t="shared" si="65"/>
        <v>3316.3363566666703</v>
      </c>
      <c r="AT89" s="9">
        <f t="shared" si="65"/>
        <v>3316.3363566666703</v>
      </c>
      <c r="AU89" s="9">
        <f t="shared" si="65"/>
        <v>3316.3363566666703</v>
      </c>
      <c r="AV89" s="9">
        <f t="shared" si="65"/>
        <v>3316.3363566666703</v>
      </c>
      <c r="AW89" s="9">
        <f t="shared" si="65"/>
        <v>3316.3363566666703</v>
      </c>
      <c r="AX89" s="9"/>
      <c r="AY89" s="9"/>
      <c r="AZ89" s="9"/>
      <c r="BA89" s="9"/>
      <c r="BB89" s="9"/>
      <c r="BC89" s="9"/>
      <c r="BD89" s="9"/>
      <c r="BE89" s="9"/>
      <c r="BF89" s="9"/>
      <c r="BG89" s="9"/>
      <c r="BH89" s="9"/>
      <c r="BI89" s="9"/>
      <c r="BJ89" s="9"/>
      <c r="BK89" s="9"/>
      <c r="BL89" s="9"/>
      <c r="BM89" s="9"/>
      <c r="BN89" s="9"/>
      <c r="BO89" s="9"/>
      <c r="BP89" s="9"/>
      <c r="BQ89" s="9"/>
      <c r="BR89" s="9"/>
      <c r="BS89" s="9"/>
      <c r="BT89" s="9"/>
      <c r="BU89" s="9"/>
      <c r="CG89" s="9"/>
      <c r="CH89" s="9"/>
      <c r="CI89" s="9"/>
      <c r="CJ89" s="9"/>
      <c r="CK89" s="9"/>
      <c r="CL89" s="9"/>
      <c r="CM89" s="9"/>
      <c r="CN89" s="9"/>
      <c r="CO89" s="9"/>
      <c r="CP89" s="9"/>
      <c r="CQ89" s="9"/>
      <c r="CR89" s="9"/>
    </row>
    <row r="90" spans="1:96">
      <c r="A90" s="39" t="s">
        <v>98</v>
      </c>
      <c r="B90" s="9">
        <f t="shared" ref="B90:M90" si="66">($CH$39*$B$82)/12</f>
        <v>930410.59693749936</v>
      </c>
      <c r="C90" s="9">
        <f t="shared" si="66"/>
        <v>930410.59693749936</v>
      </c>
      <c r="D90" s="9">
        <f t="shared" si="66"/>
        <v>930410.59693749936</v>
      </c>
      <c r="E90" s="9">
        <f t="shared" si="66"/>
        <v>930410.59693749936</v>
      </c>
      <c r="F90" s="9">
        <f t="shared" si="66"/>
        <v>930410.59693749936</v>
      </c>
      <c r="G90" s="9">
        <f t="shared" si="66"/>
        <v>930410.59693749936</v>
      </c>
      <c r="H90" s="9">
        <f t="shared" si="66"/>
        <v>930410.59693749936</v>
      </c>
      <c r="I90" s="9">
        <f t="shared" si="66"/>
        <v>930410.59693749936</v>
      </c>
      <c r="J90" s="9">
        <f t="shared" si="66"/>
        <v>930410.59693749936</v>
      </c>
      <c r="K90" s="9">
        <f t="shared" si="66"/>
        <v>930410.59693749936</v>
      </c>
      <c r="L90" s="9">
        <f t="shared" si="66"/>
        <v>930410.59693749936</v>
      </c>
      <c r="M90" s="9">
        <f t="shared" si="66"/>
        <v>930410.59693749936</v>
      </c>
      <c r="N90" s="9">
        <f t="shared" ref="N90:Y90" si="67">($CH$39*$C$82)/12</f>
        <v>84180.006389583272</v>
      </c>
      <c r="O90" s="9">
        <f t="shared" si="67"/>
        <v>84180.006389583272</v>
      </c>
      <c r="P90" s="9">
        <f t="shared" si="67"/>
        <v>84180.006389583272</v>
      </c>
      <c r="Q90" s="9">
        <f t="shared" si="67"/>
        <v>84180.006389583272</v>
      </c>
      <c r="R90" s="9">
        <f t="shared" si="67"/>
        <v>84180.006389583272</v>
      </c>
      <c r="S90" s="9">
        <f t="shared" si="67"/>
        <v>84180.006389583272</v>
      </c>
      <c r="T90" s="9">
        <f t="shared" si="67"/>
        <v>84180.006389583272</v>
      </c>
      <c r="U90" s="9">
        <f t="shared" si="67"/>
        <v>84180.006389583272</v>
      </c>
      <c r="V90" s="9">
        <f t="shared" si="67"/>
        <v>84180.006389583272</v>
      </c>
      <c r="W90" s="9">
        <f t="shared" si="67"/>
        <v>84180.006389583272</v>
      </c>
      <c r="X90" s="9">
        <f t="shared" si="67"/>
        <v>84180.006389583272</v>
      </c>
      <c r="Y90" s="9">
        <f t="shared" si="67"/>
        <v>84180.006389583272</v>
      </c>
      <c r="Z90" s="9">
        <f t="shared" ref="Z90:AK90" si="68">($CH$39*$D$82)/12</f>
        <v>75850.616283666604</v>
      </c>
      <c r="AA90" s="9">
        <f t="shared" si="68"/>
        <v>75850.616283666604</v>
      </c>
      <c r="AB90" s="9">
        <f t="shared" si="68"/>
        <v>75850.616283666604</v>
      </c>
      <c r="AC90" s="9">
        <f t="shared" si="68"/>
        <v>75850.616283666604</v>
      </c>
      <c r="AD90" s="9">
        <f t="shared" si="68"/>
        <v>75850.616283666604</v>
      </c>
      <c r="AE90" s="9">
        <f t="shared" si="68"/>
        <v>75850.616283666604</v>
      </c>
      <c r="AF90" s="9">
        <f t="shared" si="68"/>
        <v>75850.616283666604</v>
      </c>
      <c r="AG90" s="9">
        <f t="shared" si="68"/>
        <v>75850.616283666604</v>
      </c>
      <c r="AH90" s="9">
        <f t="shared" si="68"/>
        <v>75850.616283666604</v>
      </c>
      <c r="AI90" s="9">
        <f t="shared" si="68"/>
        <v>75850.616283666604</v>
      </c>
      <c r="AJ90" s="9">
        <f t="shared" si="68"/>
        <v>75850.616283666604</v>
      </c>
      <c r="AK90" s="9">
        <f t="shared" si="68"/>
        <v>75850.616283666604</v>
      </c>
      <c r="AL90" s="9">
        <f>($CH$39*$E$82)/12</f>
        <v>68230.110442083285</v>
      </c>
      <c r="AM90" s="9">
        <f t="shared" ref="AM90:AW90" si="69">($CH$39*$E$82)/12</f>
        <v>68230.110442083285</v>
      </c>
      <c r="AN90" s="9">
        <f t="shared" si="69"/>
        <v>68230.110442083285</v>
      </c>
      <c r="AO90" s="9">
        <f t="shared" si="69"/>
        <v>68230.110442083285</v>
      </c>
      <c r="AP90" s="9">
        <f t="shared" si="69"/>
        <v>68230.110442083285</v>
      </c>
      <c r="AQ90" s="9">
        <f t="shared" si="69"/>
        <v>68230.110442083285</v>
      </c>
      <c r="AR90" s="9">
        <f t="shared" si="69"/>
        <v>68230.110442083285</v>
      </c>
      <c r="AS90" s="9">
        <f t="shared" si="69"/>
        <v>68230.110442083285</v>
      </c>
      <c r="AT90" s="9">
        <f t="shared" si="69"/>
        <v>68230.110442083285</v>
      </c>
      <c r="AU90" s="9">
        <f t="shared" si="69"/>
        <v>68230.110442083285</v>
      </c>
      <c r="AV90" s="9">
        <f t="shared" si="69"/>
        <v>68230.110442083285</v>
      </c>
      <c r="AW90" s="9">
        <f t="shared" si="69"/>
        <v>68230.110442083285</v>
      </c>
      <c r="AX90" s="9"/>
      <c r="AY90" s="9"/>
      <c r="AZ90" s="9"/>
      <c r="BA90" s="9"/>
      <c r="BB90" s="9"/>
      <c r="BC90" s="9"/>
      <c r="BD90" s="9"/>
      <c r="BE90" s="9"/>
      <c r="BF90" s="9"/>
      <c r="BG90" s="9"/>
      <c r="BH90" s="9"/>
      <c r="BI90" s="9"/>
      <c r="BJ90" s="9"/>
      <c r="BK90" s="9"/>
      <c r="BL90" s="9"/>
      <c r="BM90" s="9"/>
      <c r="BN90" s="9"/>
      <c r="BO90" s="9"/>
      <c r="BP90" s="9"/>
      <c r="BQ90" s="9"/>
      <c r="BR90" s="9"/>
      <c r="BS90" s="9"/>
      <c r="BT90" s="9"/>
      <c r="BU90" s="9"/>
      <c r="CG90" s="9"/>
      <c r="CH90" s="9"/>
      <c r="CI90" s="9"/>
      <c r="CJ90" s="9"/>
      <c r="CK90" s="9"/>
      <c r="CL90" s="9"/>
      <c r="CM90" s="9"/>
      <c r="CN90" s="9"/>
      <c r="CO90" s="9"/>
      <c r="CP90" s="9"/>
      <c r="CQ90" s="9"/>
      <c r="CR90" s="9"/>
    </row>
    <row r="91" spans="1:96">
      <c r="A91" s="39" t="s">
        <v>97</v>
      </c>
      <c r="B91" s="9">
        <f t="shared" ref="B91:M91" si="70">($CI$39*$B$84)/12</f>
        <v>311620.77333333466</v>
      </c>
      <c r="C91" s="9">
        <f t="shared" si="70"/>
        <v>311620.77333333466</v>
      </c>
      <c r="D91" s="9">
        <f t="shared" si="70"/>
        <v>311620.77333333466</v>
      </c>
      <c r="E91" s="9">
        <f t="shared" si="70"/>
        <v>311620.77333333466</v>
      </c>
      <c r="F91" s="9">
        <f t="shared" si="70"/>
        <v>311620.77333333466</v>
      </c>
      <c r="G91" s="9">
        <f t="shared" si="70"/>
        <v>311620.77333333466</v>
      </c>
      <c r="H91" s="9">
        <f t="shared" si="70"/>
        <v>311620.77333333466</v>
      </c>
      <c r="I91" s="9">
        <f t="shared" si="70"/>
        <v>311620.77333333466</v>
      </c>
      <c r="J91" s="9">
        <f t="shared" si="70"/>
        <v>311620.77333333466</v>
      </c>
      <c r="K91" s="9">
        <f t="shared" si="70"/>
        <v>311620.77333333466</v>
      </c>
      <c r="L91" s="9">
        <f t="shared" si="70"/>
        <v>311620.77333333466</v>
      </c>
      <c r="M91" s="9">
        <f t="shared" si="70"/>
        <v>311620.77333333466</v>
      </c>
      <c r="N91" s="9">
        <f t="shared" ref="N91:Y91" si="71">($CI$39*$C$84)/12</f>
        <v>0</v>
      </c>
      <c r="O91" s="9">
        <f t="shared" si="71"/>
        <v>0</v>
      </c>
      <c r="P91" s="9">
        <f t="shared" si="71"/>
        <v>0</v>
      </c>
      <c r="Q91" s="9">
        <f t="shared" si="71"/>
        <v>0</v>
      </c>
      <c r="R91" s="9">
        <f t="shared" si="71"/>
        <v>0</v>
      </c>
      <c r="S91" s="9">
        <f t="shared" si="71"/>
        <v>0</v>
      </c>
      <c r="T91" s="9">
        <f t="shared" si="71"/>
        <v>0</v>
      </c>
      <c r="U91" s="9">
        <f t="shared" si="71"/>
        <v>0</v>
      </c>
      <c r="V91" s="9">
        <f t="shared" si="71"/>
        <v>0</v>
      </c>
      <c r="W91" s="9">
        <f t="shared" si="71"/>
        <v>0</v>
      </c>
      <c r="X91" s="9">
        <f t="shared" si="71"/>
        <v>0</v>
      </c>
      <c r="Y91" s="9">
        <f t="shared" si="71"/>
        <v>0</v>
      </c>
      <c r="Z91" s="9">
        <f t="shared" ref="Z91:AK91" si="72">($CI$39*$D$84)/12</f>
        <v>0</v>
      </c>
      <c r="AA91" s="9">
        <f t="shared" si="72"/>
        <v>0</v>
      </c>
      <c r="AB91" s="9">
        <f t="shared" si="72"/>
        <v>0</v>
      </c>
      <c r="AC91" s="9">
        <f t="shared" si="72"/>
        <v>0</v>
      </c>
      <c r="AD91" s="9">
        <f t="shared" si="72"/>
        <v>0</v>
      </c>
      <c r="AE91" s="9">
        <f t="shared" si="72"/>
        <v>0</v>
      </c>
      <c r="AF91" s="9">
        <f t="shared" si="72"/>
        <v>0</v>
      </c>
      <c r="AG91" s="9">
        <f t="shared" si="72"/>
        <v>0</v>
      </c>
      <c r="AH91" s="9">
        <f t="shared" si="72"/>
        <v>0</v>
      </c>
      <c r="AI91" s="9">
        <f t="shared" si="72"/>
        <v>0</v>
      </c>
      <c r="AJ91" s="9">
        <f t="shared" si="72"/>
        <v>0</v>
      </c>
      <c r="AK91" s="9">
        <f t="shared" si="72"/>
        <v>0</v>
      </c>
      <c r="AL91" s="9">
        <f>($CI$39*$E$84)/12</f>
        <v>0</v>
      </c>
      <c r="AM91" s="9">
        <f t="shared" ref="AM91:AW91" si="73">($CI$39*$E$84)/12</f>
        <v>0</v>
      </c>
      <c r="AN91" s="9">
        <f t="shared" si="73"/>
        <v>0</v>
      </c>
      <c r="AO91" s="9">
        <f t="shared" si="73"/>
        <v>0</v>
      </c>
      <c r="AP91" s="9">
        <f t="shared" si="73"/>
        <v>0</v>
      </c>
      <c r="AQ91" s="9">
        <f t="shared" si="73"/>
        <v>0</v>
      </c>
      <c r="AR91" s="9">
        <f t="shared" si="73"/>
        <v>0</v>
      </c>
      <c r="AS91" s="9">
        <f t="shared" si="73"/>
        <v>0</v>
      </c>
      <c r="AT91" s="9">
        <f t="shared" si="73"/>
        <v>0</v>
      </c>
      <c r="AU91" s="9">
        <f t="shared" si="73"/>
        <v>0</v>
      </c>
      <c r="AV91" s="9">
        <f t="shared" si="73"/>
        <v>0</v>
      </c>
      <c r="AW91" s="9">
        <f t="shared" si="73"/>
        <v>0</v>
      </c>
      <c r="AX91" s="9"/>
      <c r="AY91" s="9"/>
      <c r="AZ91" s="9"/>
      <c r="BA91" s="9"/>
      <c r="BB91" s="9"/>
      <c r="BC91" s="9"/>
      <c r="BD91" s="9"/>
      <c r="BE91" s="9"/>
      <c r="BF91" s="9"/>
      <c r="BG91" s="9"/>
      <c r="BH91" s="9"/>
      <c r="BI91" s="9"/>
      <c r="BJ91" s="9"/>
      <c r="BK91" s="9"/>
      <c r="BL91" s="9"/>
      <c r="BM91" s="9"/>
      <c r="BN91" s="9"/>
      <c r="BO91" s="9"/>
      <c r="BP91" s="9"/>
      <c r="BQ91" s="9"/>
      <c r="BR91" s="9"/>
      <c r="BS91" s="9"/>
      <c r="BT91" s="9"/>
      <c r="BU91" s="9"/>
      <c r="CG91" s="9"/>
      <c r="CH91" s="9"/>
      <c r="CI91" s="9"/>
      <c r="CJ91" s="9"/>
      <c r="CK91" s="9"/>
      <c r="CL91" s="9"/>
      <c r="CM91" s="9"/>
      <c r="CN91" s="9"/>
      <c r="CO91" s="9"/>
      <c r="CP91" s="9"/>
      <c r="CQ91" s="9"/>
      <c r="CR91" s="9"/>
    </row>
    <row r="92" spans="1:96">
      <c r="A92" s="41" t="s">
        <v>101</v>
      </c>
    </row>
    <row r="93" spans="1:96">
      <c r="A93" s="40" t="s">
        <v>102</v>
      </c>
      <c r="B93" s="9"/>
      <c r="C93" s="9"/>
      <c r="D93" s="9"/>
      <c r="E93" s="9"/>
      <c r="F93" s="9"/>
      <c r="G93" s="9"/>
      <c r="H93" s="9"/>
      <c r="I93" s="9"/>
      <c r="J93" s="9"/>
      <c r="K93" s="9"/>
      <c r="L93" s="9"/>
      <c r="M93" s="9"/>
      <c r="N93" s="9">
        <f t="shared" ref="N93:Y93" si="74">($CP$39*$B$83)/12</f>
        <v>119735.03097299993</v>
      </c>
      <c r="O93" s="9">
        <f t="shared" si="74"/>
        <v>119735.03097299993</v>
      </c>
      <c r="P93" s="9">
        <f t="shared" si="74"/>
        <v>119735.03097299993</v>
      </c>
      <c r="Q93" s="9">
        <f t="shared" si="74"/>
        <v>119735.03097299993</v>
      </c>
      <c r="R93" s="9">
        <f t="shared" si="74"/>
        <v>119735.03097299993</v>
      </c>
      <c r="S93" s="9">
        <f t="shared" si="74"/>
        <v>119735.03097299993</v>
      </c>
      <c r="T93" s="9">
        <f t="shared" si="74"/>
        <v>119735.03097299993</v>
      </c>
      <c r="U93" s="9">
        <f t="shared" si="74"/>
        <v>119735.03097299993</v>
      </c>
      <c r="V93" s="9">
        <f t="shared" si="74"/>
        <v>119735.03097299993</v>
      </c>
      <c r="W93" s="9">
        <f t="shared" si="74"/>
        <v>119735.03097299993</v>
      </c>
      <c r="X93" s="9">
        <f t="shared" si="74"/>
        <v>119735.03097299993</v>
      </c>
      <c r="Y93" s="9">
        <f t="shared" si="74"/>
        <v>119735.03097299993</v>
      </c>
      <c r="Z93" s="9">
        <f t="shared" ref="Z93:AJ93" si="75">($CP$39*$C$83)/12</f>
        <v>8331.601037249995</v>
      </c>
      <c r="AA93" s="9">
        <f t="shared" si="75"/>
        <v>8331.601037249995</v>
      </c>
      <c r="AB93" s="9">
        <f t="shared" si="75"/>
        <v>8331.601037249995</v>
      </c>
      <c r="AC93" s="9">
        <f t="shared" si="75"/>
        <v>8331.601037249995</v>
      </c>
      <c r="AD93" s="9">
        <f t="shared" si="75"/>
        <v>8331.601037249995</v>
      </c>
      <c r="AE93" s="9">
        <f t="shared" si="75"/>
        <v>8331.601037249995</v>
      </c>
      <c r="AF93" s="9">
        <f t="shared" si="75"/>
        <v>8331.601037249995</v>
      </c>
      <c r="AG93" s="9">
        <f t="shared" si="75"/>
        <v>8331.601037249995</v>
      </c>
      <c r="AH93" s="9">
        <f t="shared" si="75"/>
        <v>8331.601037249995</v>
      </c>
      <c r="AI93" s="9">
        <f t="shared" si="75"/>
        <v>8331.601037249995</v>
      </c>
      <c r="AJ93" s="9">
        <f t="shared" si="75"/>
        <v>8331.601037249995</v>
      </c>
      <c r="AK93" s="9">
        <f>($CP$39*$C$83)/12</f>
        <v>8331.601037249995</v>
      </c>
      <c r="AL93" s="9">
        <f>($CP$39*$D$83)/12</f>
        <v>7708.4619014999944</v>
      </c>
      <c r="AM93" s="9">
        <f t="shared" ref="AM93:AW93" si="76">($CP$39*$D$83)/12</f>
        <v>7708.4619014999944</v>
      </c>
      <c r="AN93" s="9">
        <f t="shared" si="76"/>
        <v>7708.4619014999944</v>
      </c>
      <c r="AO93" s="9">
        <f t="shared" si="76"/>
        <v>7708.4619014999944</v>
      </c>
      <c r="AP93" s="9">
        <f t="shared" si="76"/>
        <v>7708.4619014999944</v>
      </c>
      <c r="AQ93" s="9">
        <f t="shared" si="76"/>
        <v>7708.4619014999944</v>
      </c>
      <c r="AR93" s="9">
        <f t="shared" si="76"/>
        <v>7708.4619014999944</v>
      </c>
      <c r="AS93" s="9">
        <f t="shared" si="76"/>
        <v>7708.4619014999944</v>
      </c>
      <c r="AT93" s="9">
        <f t="shared" si="76"/>
        <v>7708.4619014999944</v>
      </c>
      <c r="AU93" s="9">
        <f t="shared" si="76"/>
        <v>7708.4619014999944</v>
      </c>
      <c r="AV93" s="9">
        <f t="shared" si="76"/>
        <v>7708.4619014999944</v>
      </c>
      <c r="AW93" s="9">
        <f t="shared" si="76"/>
        <v>7708.4619014999944</v>
      </c>
      <c r="AX93" s="9"/>
      <c r="AY93" s="9"/>
      <c r="AZ93" s="9"/>
      <c r="BA93" s="9"/>
      <c r="BB93" s="9"/>
      <c r="BC93" s="9"/>
      <c r="BD93" s="9"/>
      <c r="BE93" s="9"/>
      <c r="BF93" s="9"/>
      <c r="BG93" s="9"/>
      <c r="BH93" s="9"/>
      <c r="BI93" s="9"/>
      <c r="BJ93" s="9"/>
      <c r="BK93" s="9"/>
      <c r="BL93" s="9"/>
      <c r="BM93" s="9"/>
      <c r="BN93" s="9"/>
      <c r="BO93" s="9"/>
      <c r="BP93" s="9"/>
      <c r="BQ93" s="9"/>
      <c r="BR93" s="9"/>
      <c r="BS93" s="9"/>
      <c r="BT93" s="9"/>
      <c r="BU93" s="9"/>
      <c r="CG93" s="9"/>
      <c r="CH93" s="9"/>
      <c r="CI93" s="9"/>
      <c r="CJ93" s="9"/>
      <c r="CK93" s="9"/>
      <c r="CL93" s="9"/>
      <c r="CM93" s="9"/>
      <c r="CN93" s="9"/>
      <c r="CO93" s="9"/>
      <c r="CP93" s="9"/>
      <c r="CQ93" s="9"/>
      <c r="CR93" s="9"/>
    </row>
    <row r="94" spans="1:96">
      <c r="A94" s="40" t="s">
        <v>97</v>
      </c>
      <c r="B94" s="9"/>
      <c r="C94" s="9"/>
      <c r="D94" s="9"/>
      <c r="E94" s="9"/>
      <c r="F94" s="9"/>
      <c r="G94" s="9"/>
      <c r="H94" s="9"/>
      <c r="I94" s="9"/>
      <c r="J94" s="9"/>
      <c r="K94" s="9"/>
      <c r="L94" s="9"/>
      <c r="M94" s="9"/>
      <c r="N94" s="9">
        <f t="shared" ref="N94:Y94" si="77">($CQ$39*$B$84)/12</f>
        <v>4756562.8608333329</v>
      </c>
      <c r="O94" s="9">
        <f t="shared" si="77"/>
        <v>4756562.8608333329</v>
      </c>
      <c r="P94" s="9">
        <f t="shared" si="77"/>
        <v>4756562.8608333329</v>
      </c>
      <c r="Q94" s="9">
        <f t="shared" si="77"/>
        <v>4756562.8608333329</v>
      </c>
      <c r="R94" s="9">
        <f t="shared" si="77"/>
        <v>4756562.8608333329</v>
      </c>
      <c r="S94" s="9">
        <f t="shared" si="77"/>
        <v>4756562.8608333329</v>
      </c>
      <c r="T94" s="9">
        <f t="shared" si="77"/>
        <v>4756562.8608333329</v>
      </c>
      <c r="U94" s="9">
        <f t="shared" si="77"/>
        <v>4756562.8608333329</v>
      </c>
      <c r="V94" s="9">
        <f t="shared" si="77"/>
        <v>4756562.8608333329</v>
      </c>
      <c r="W94" s="9">
        <f t="shared" si="77"/>
        <v>4756562.8608333329</v>
      </c>
      <c r="X94" s="9">
        <f t="shared" si="77"/>
        <v>4756562.8608333329</v>
      </c>
      <c r="Y94" s="9">
        <f t="shared" si="77"/>
        <v>4756562.8608333329</v>
      </c>
      <c r="Z94" s="9">
        <f t="shared" ref="Z94:AK94" si="78">($CQ$39*$C$84)/12</f>
        <v>0</v>
      </c>
      <c r="AA94" s="9">
        <f t="shared" si="78"/>
        <v>0</v>
      </c>
      <c r="AB94" s="9">
        <f t="shared" si="78"/>
        <v>0</v>
      </c>
      <c r="AC94" s="9">
        <f t="shared" si="78"/>
        <v>0</v>
      </c>
      <c r="AD94" s="9">
        <f t="shared" si="78"/>
        <v>0</v>
      </c>
      <c r="AE94" s="9">
        <f t="shared" si="78"/>
        <v>0</v>
      </c>
      <c r="AF94" s="9">
        <f t="shared" si="78"/>
        <v>0</v>
      </c>
      <c r="AG94" s="9">
        <f t="shared" si="78"/>
        <v>0</v>
      </c>
      <c r="AH94" s="9">
        <f t="shared" si="78"/>
        <v>0</v>
      </c>
      <c r="AI94" s="9">
        <f t="shared" si="78"/>
        <v>0</v>
      </c>
      <c r="AJ94" s="9">
        <f t="shared" si="78"/>
        <v>0</v>
      </c>
      <c r="AK94" s="9">
        <f t="shared" si="78"/>
        <v>0</v>
      </c>
      <c r="AL94" s="9">
        <f>($CQ$39*$D$84)/12</f>
        <v>0</v>
      </c>
      <c r="AM94" s="9">
        <f t="shared" ref="AM94:AW94" si="79">($CQ$39*$D$84)/12</f>
        <v>0</v>
      </c>
      <c r="AN94" s="9">
        <f t="shared" si="79"/>
        <v>0</v>
      </c>
      <c r="AO94" s="9">
        <f t="shared" si="79"/>
        <v>0</v>
      </c>
      <c r="AP94" s="9">
        <f t="shared" si="79"/>
        <v>0</v>
      </c>
      <c r="AQ94" s="9">
        <f t="shared" si="79"/>
        <v>0</v>
      </c>
      <c r="AR94" s="9">
        <f t="shared" si="79"/>
        <v>0</v>
      </c>
      <c r="AS94" s="9">
        <f t="shared" si="79"/>
        <v>0</v>
      </c>
      <c r="AT94" s="9">
        <f t="shared" si="79"/>
        <v>0</v>
      </c>
      <c r="AU94" s="9">
        <f t="shared" si="79"/>
        <v>0</v>
      </c>
      <c r="AV94" s="9">
        <f t="shared" si="79"/>
        <v>0</v>
      </c>
      <c r="AW94" s="9">
        <f t="shared" si="79"/>
        <v>0</v>
      </c>
      <c r="AX94" s="9"/>
      <c r="AY94" s="9"/>
      <c r="AZ94" s="9"/>
      <c r="BA94" s="9"/>
      <c r="BB94" s="9"/>
      <c r="BC94" s="9"/>
      <c r="BD94" s="9"/>
      <c r="BE94" s="9"/>
      <c r="BF94" s="9"/>
      <c r="BG94" s="9"/>
      <c r="BH94" s="9"/>
      <c r="BI94" s="9"/>
      <c r="BJ94" s="9"/>
      <c r="BK94" s="9"/>
      <c r="BL94" s="9"/>
      <c r="BM94" s="9"/>
      <c r="BN94" s="9"/>
      <c r="BO94" s="9"/>
      <c r="BP94" s="9"/>
      <c r="BQ94" s="9"/>
      <c r="BR94" s="9"/>
      <c r="BS94" s="9"/>
      <c r="BT94" s="9"/>
      <c r="BU94" s="9"/>
      <c r="CG94" s="9"/>
      <c r="CH94" s="9"/>
      <c r="CI94" s="9"/>
      <c r="CJ94" s="9"/>
      <c r="CK94" s="9"/>
      <c r="CL94" s="9"/>
      <c r="CM94" s="9"/>
      <c r="CN94" s="9"/>
      <c r="CO94" s="9"/>
      <c r="CP94" s="9"/>
      <c r="CQ94" s="9"/>
      <c r="CR94" s="9"/>
    </row>
    <row r="95" spans="1:96">
      <c r="A95" s="227" t="s">
        <v>323</v>
      </c>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CG95" s="9"/>
      <c r="CH95" s="9"/>
      <c r="CI95" s="9"/>
      <c r="CJ95" s="9"/>
      <c r="CK95" s="9"/>
      <c r="CL95" s="9"/>
      <c r="CM95" s="9"/>
      <c r="CN95" s="9"/>
      <c r="CO95" s="9"/>
      <c r="CP95" s="9"/>
      <c r="CQ95" s="9"/>
      <c r="CR95" s="9"/>
    </row>
    <row r="96" spans="1:96">
      <c r="A96" s="226" t="s">
        <v>326</v>
      </c>
      <c r="B96" s="9"/>
      <c r="C96" s="9"/>
      <c r="D96" s="9"/>
      <c r="E96" s="9"/>
      <c r="F96" s="9"/>
      <c r="G96" s="9"/>
      <c r="H96" s="9"/>
      <c r="I96" s="9"/>
      <c r="J96" s="9"/>
      <c r="K96" s="9"/>
      <c r="L96" s="9"/>
      <c r="M96" s="9"/>
      <c r="N96" s="9"/>
      <c r="O96" s="9"/>
      <c r="P96" s="9"/>
      <c r="Q96" s="9"/>
      <c r="R96" s="9"/>
      <c r="S96" s="9"/>
      <c r="T96" s="9"/>
      <c r="U96" s="9"/>
      <c r="V96" s="9"/>
      <c r="W96" s="9"/>
      <c r="X96" s="9"/>
      <c r="Y96" s="9"/>
      <c r="Z96" s="9">
        <f>($CV$39*$B$83)/12</f>
        <v>700807.73503599979</v>
      </c>
      <c r="AA96" s="9">
        <f t="shared" ref="AA96:AK96" si="80">($CV$39*$B$83)/12</f>
        <v>700807.73503599979</v>
      </c>
      <c r="AB96" s="9">
        <f t="shared" si="80"/>
        <v>700807.73503599979</v>
      </c>
      <c r="AC96" s="9">
        <f t="shared" si="80"/>
        <v>700807.73503599979</v>
      </c>
      <c r="AD96" s="9">
        <f t="shared" si="80"/>
        <v>700807.73503599979</v>
      </c>
      <c r="AE96" s="9">
        <f t="shared" si="80"/>
        <v>700807.73503599979</v>
      </c>
      <c r="AF96" s="9">
        <f t="shared" si="80"/>
        <v>700807.73503599979</v>
      </c>
      <c r="AG96" s="9">
        <f t="shared" si="80"/>
        <v>700807.73503599979</v>
      </c>
      <c r="AH96" s="9">
        <f t="shared" si="80"/>
        <v>700807.73503599979</v>
      </c>
      <c r="AI96" s="9">
        <f t="shared" si="80"/>
        <v>700807.73503599979</v>
      </c>
      <c r="AJ96" s="9">
        <f t="shared" si="80"/>
        <v>700807.73503599979</v>
      </c>
      <c r="AK96" s="9">
        <f t="shared" si="80"/>
        <v>700807.73503599979</v>
      </c>
      <c r="AL96" s="9">
        <f>($CV$39*$C$83)/12</f>
        <v>48764.763366999985</v>
      </c>
      <c r="AM96" s="9">
        <f t="shared" ref="AM96:AW96" si="81">($CV$39*$C$83)/12</f>
        <v>48764.763366999985</v>
      </c>
      <c r="AN96" s="9">
        <f t="shared" si="81"/>
        <v>48764.763366999985</v>
      </c>
      <c r="AO96" s="9">
        <f t="shared" si="81"/>
        <v>48764.763366999985</v>
      </c>
      <c r="AP96" s="9">
        <f t="shared" si="81"/>
        <v>48764.763366999985</v>
      </c>
      <c r="AQ96" s="9">
        <f t="shared" si="81"/>
        <v>48764.763366999985</v>
      </c>
      <c r="AR96" s="9">
        <f t="shared" si="81"/>
        <v>48764.763366999985</v>
      </c>
      <c r="AS96" s="9">
        <f t="shared" si="81"/>
        <v>48764.763366999985</v>
      </c>
      <c r="AT96" s="9">
        <f t="shared" si="81"/>
        <v>48764.763366999985</v>
      </c>
      <c r="AU96" s="9">
        <f t="shared" si="81"/>
        <v>48764.763366999985</v>
      </c>
      <c r="AV96" s="9">
        <f t="shared" si="81"/>
        <v>48764.763366999985</v>
      </c>
      <c r="AW96" s="9">
        <f t="shared" si="81"/>
        <v>48764.763366999985</v>
      </c>
      <c r="AX96" s="9"/>
      <c r="AY96" s="9"/>
      <c r="AZ96" s="9"/>
      <c r="BA96" s="9"/>
      <c r="BB96" s="9"/>
      <c r="BC96" s="9"/>
      <c r="BD96" s="9"/>
      <c r="BE96" s="9"/>
      <c r="BF96" s="9"/>
      <c r="BG96" s="9"/>
      <c r="BH96" s="9"/>
      <c r="BI96" s="9"/>
      <c r="BJ96" s="9"/>
      <c r="BK96" s="9"/>
      <c r="BL96" s="9"/>
      <c r="BM96" s="9"/>
      <c r="BN96" s="9"/>
      <c r="BO96" s="9"/>
      <c r="BP96" s="9"/>
      <c r="BQ96" s="9"/>
      <c r="BR96" s="9"/>
      <c r="BS96" s="9"/>
      <c r="BT96" s="9"/>
      <c r="BU96" s="9"/>
      <c r="CG96" s="9"/>
      <c r="CH96" s="9"/>
      <c r="CI96" s="9"/>
      <c r="CJ96" s="9"/>
      <c r="CK96" s="9"/>
      <c r="CL96" s="9"/>
      <c r="CM96" s="9"/>
      <c r="CN96" s="9"/>
      <c r="CO96" s="9"/>
      <c r="CP96" s="9"/>
      <c r="CQ96" s="9"/>
      <c r="CR96" s="9"/>
    </row>
    <row r="97" spans="1:96">
      <c r="A97" s="217" t="s">
        <v>273</v>
      </c>
      <c r="B97" s="28">
        <f>SUM(B89:B96)</f>
        <v>1287254.1387708341</v>
      </c>
      <c r="C97" s="28">
        <f t="shared" ref="C97:AW97" si="82">SUM(C89:C96)</f>
        <v>1287254.1387708341</v>
      </c>
      <c r="D97" s="28">
        <f t="shared" si="82"/>
        <v>1287254.1387708341</v>
      </c>
      <c r="E97" s="28">
        <f t="shared" si="82"/>
        <v>1287254.1387708341</v>
      </c>
      <c r="F97" s="28">
        <f t="shared" si="82"/>
        <v>1287254.1387708341</v>
      </c>
      <c r="G97" s="28">
        <f t="shared" si="82"/>
        <v>1287254.1387708341</v>
      </c>
      <c r="H97" s="28">
        <f t="shared" si="82"/>
        <v>1287254.1387708341</v>
      </c>
      <c r="I97" s="28">
        <f t="shared" si="82"/>
        <v>1287254.1387708341</v>
      </c>
      <c r="J97" s="28">
        <f t="shared" si="82"/>
        <v>1287254.1387708341</v>
      </c>
      <c r="K97" s="28">
        <f t="shared" si="82"/>
        <v>1287254.1387708341</v>
      </c>
      <c r="L97" s="28">
        <f t="shared" si="82"/>
        <v>1287254.1387708341</v>
      </c>
      <c r="M97" s="28">
        <f t="shared" si="82"/>
        <v>1287254.1387708341</v>
      </c>
      <c r="N97" s="28">
        <f t="shared" si="82"/>
        <v>4964569.4820125829</v>
      </c>
      <c r="O97" s="28">
        <f t="shared" si="82"/>
        <v>4964569.4820125829</v>
      </c>
      <c r="P97" s="28">
        <f t="shared" si="82"/>
        <v>4964569.4820125829</v>
      </c>
      <c r="Q97" s="28">
        <f t="shared" si="82"/>
        <v>4964569.4820125829</v>
      </c>
      <c r="R97" s="28">
        <f t="shared" si="82"/>
        <v>4964569.4820125829</v>
      </c>
      <c r="S97" s="28">
        <f t="shared" si="82"/>
        <v>4964569.4820125829</v>
      </c>
      <c r="T97" s="28">
        <f t="shared" si="82"/>
        <v>4964569.4820125829</v>
      </c>
      <c r="U97" s="28">
        <f t="shared" si="82"/>
        <v>4964569.4820125829</v>
      </c>
      <c r="V97" s="28">
        <f t="shared" si="82"/>
        <v>4964569.4820125829</v>
      </c>
      <c r="W97" s="28">
        <f t="shared" si="82"/>
        <v>4964569.4820125829</v>
      </c>
      <c r="X97" s="28">
        <f t="shared" si="82"/>
        <v>4964569.4820125829</v>
      </c>
      <c r="Y97" s="28">
        <f t="shared" si="82"/>
        <v>4964569.4820125829</v>
      </c>
      <c r="Z97" s="28">
        <f t="shared" si="82"/>
        <v>788676.68472224975</v>
      </c>
      <c r="AA97" s="28">
        <f t="shared" si="82"/>
        <v>788676.68472224975</v>
      </c>
      <c r="AB97" s="28">
        <f t="shared" si="82"/>
        <v>788676.68472224975</v>
      </c>
      <c r="AC97" s="28">
        <f t="shared" si="82"/>
        <v>788676.68472224975</v>
      </c>
      <c r="AD97" s="28">
        <f t="shared" si="82"/>
        <v>788676.68472224975</v>
      </c>
      <c r="AE97" s="28">
        <f t="shared" si="82"/>
        <v>788676.68472224975</v>
      </c>
      <c r="AF97" s="28">
        <f t="shared" si="82"/>
        <v>788676.68472224975</v>
      </c>
      <c r="AG97" s="28">
        <f t="shared" si="82"/>
        <v>788676.68472224975</v>
      </c>
      <c r="AH97" s="28">
        <f t="shared" si="82"/>
        <v>788676.68472224975</v>
      </c>
      <c r="AI97" s="28">
        <f t="shared" si="82"/>
        <v>788676.68472224975</v>
      </c>
      <c r="AJ97" s="28">
        <f t="shared" si="82"/>
        <v>788676.68472224975</v>
      </c>
      <c r="AK97" s="28">
        <f t="shared" si="82"/>
        <v>788676.68472224975</v>
      </c>
      <c r="AL97" s="28">
        <f>SUM(AL89:AL96)</f>
        <v>128019.67206724992</v>
      </c>
      <c r="AM97" s="28">
        <f t="shared" si="82"/>
        <v>128019.67206724992</v>
      </c>
      <c r="AN97" s="28">
        <f t="shared" si="82"/>
        <v>128019.67206724992</v>
      </c>
      <c r="AO97" s="28">
        <f t="shared" si="82"/>
        <v>128019.67206724992</v>
      </c>
      <c r="AP97" s="28">
        <f t="shared" si="82"/>
        <v>128019.67206724992</v>
      </c>
      <c r="AQ97" s="28">
        <f t="shared" si="82"/>
        <v>128019.67206724992</v>
      </c>
      <c r="AR97" s="28">
        <f t="shared" si="82"/>
        <v>128019.67206724992</v>
      </c>
      <c r="AS97" s="28">
        <f t="shared" si="82"/>
        <v>128019.67206724992</v>
      </c>
      <c r="AT97" s="28">
        <f t="shared" si="82"/>
        <v>128019.67206724992</v>
      </c>
      <c r="AU97" s="28">
        <f t="shared" si="82"/>
        <v>128019.67206724992</v>
      </c>
      <c r="AV97" s="28">
        <f t="shared" si="82"/>
        <v>128019.67206724992</v>
      </c>
      <c r="AW97" s="28">
        <f t="shared" si="82"/>
        <v>128019.67206724992</v>
      </c>
      <c r="AX97" s="9"/>
      <c r="AY97" s="9"/>
      <c r="AZ97" s="9"/>
      <c r="BA97" s="9"/>
      <c r="BB97" s="9"/>
      <c r="BC97" s="9"/>
      <c r="BD97" s="9"/>
      <c r="BE97" s="9"/>
      <c r="BF97" s="9"/>
      <c r="BG97" s="9"/>
      <c r="BH97" s="9"/>
      <c r="BI97" s="9"/>
      <c r="BJ97" s="9"/>
      <c r="BK97" s="9"/>
      <c r="BL97" s="9"/>
      <c r="BM97" s="9"/>
      <c r="BN97" s="9"/>
      <c r="BO97" s="9"/>
      <c r="BP97" s="9"/>
      <c r="BQ97" s="9"/>
      <c r="BR97" s="9"/>
      <c r="BS97" s="9"/>
      <c r="BT97" s="9"/>
      <c r="BU97" s="9"/>
      <c r="CG97" s="9"/>
      <c r="CH97" s="9"/>
      <c r="CI97" s="9"/>
      <c r="CJ97" s="9"/>
      <c r="CK97" s="9"/>
      <c r="CL97" s="9"/>
      <c r="CM97" s="9"/>
      <c r="CN97" s="9"/>
      <c r="CO97" s="9"/>
      <c r="CP97" s="9"/>
      <c r="CQ97" s="9"/>
      <c r="CR97" s="9"/>
    </row>
    <row r="98" spans="1:96">
      <c r="A98" s="41" t="s">
        <v>135</v>
      </c>
      <c r="B98" s="9">
        <v>0</v>
      </c>
      <c r="C98" s="9">
        <v>0</v>
      </c>
      <c r="D98" s="9">
        <v>0</v>
      </c>
      <c r="E98" s="9">
        <v>0</v>
      </c>
      <c r="F98" s="9">
        <v>0</v>
      </c>
      <c r="G98" s="9">
        <v>0</v>
      </c>
      <c r="H98" s="9">
        <f>'Exhibit 1.1'!D54</f>
        <v>1137.9940250000013</v>
      </c>
      <c r="I98" s="9">
        <f>'Exhibit 1.1'!E54</f>
        <v>1137.9940250000013</v>
      </c>
      <c r="J98" s="9">
        <f>'Exhibit 1.1'!F54</f>
        <v>1808.9107750000014</v>
      </c>
      <c r="K98" s="9">
        <f>'Exhibit 1.1'!G54</f>
        <v>9823.2240225000023</v>
      </c>
      <c r="L98" s="9">
        <f>'Exhibit 1.1'!H54</f>
        <v>44333.039449999997</v>
      </c>
      <c r="M98" s="9">
        <f>'Exhibit 1.1'!I54</f>
        <v>44428.600142499999</v>
      </c>
      <c r="N98" s="9">
        <f>'Exhibit 1.1'!J54</f>
        <v>44341.803292500001</v>
      </c>
      <c r="O98" s="9">
        <f>'Exhibit 1.1'!K54</f>
        <v>44341.803292500001</v>
      </c>
      <c r="P98" s="9">
        <f>'Exhibit 1.1'!L54</f>
        <v>44634.238092500003</v>
      </c>
      <c r="Q98" s="9">
        <f>'Exhibit 1.1'!M54</f>
        <v>44636.436880000001</v>
      </c>
      <c r="R98" s="9">
        <f>'Exhibit 1.1'!N54</f>
        <v>46228.323242500002</v>
      </c>
      <c r="S98" s="9">
        <f>'Exhibit 1.1'!O54</f>
        <v>46078.870670000004</v>
      </c>
      <c r="T98" s="9">
        <f>'Exhibit 1.1'!P54</f>
        <v>50392.559280000009</v>
      </c>
      <c r="U98" s="9">
        <f>'Exhibit 1.1'!Q54</f>
        <v>102232.93725750002</v>
      </c>
      <c r="V98" s="9">
        <f>'Exhibit 1.1'!R54</f>
        <v>103857.53220500001</v>
      </c>
      <c r="W98" s="9">
        <f>'Exhibit 1.1'!S54</f>
        <v>103698.37017750002</v>
      </c>
      <c r="X98" s="9">
        <f>'Exhibit 1.1'!T54</f>
        <v>106430.51279000002</v>
      </c>
      <c r="Y98" s="9">
        <f>'Exhibit 1.1'!U54</f>
        <v>146128.2134375</v>
      </c>
      <c r="Z98" s="9">
        <f>'Exhibit 1.1'!V54</f>
        <v>146222.86371000001</v>
      </c>
      <c r="AA98" s="9">
        <f>'Exhibit 1.1'!W54</f>
        <v>146335.75316500003</v>
      </c>
      <c r="AB98" s="9">
        <f>'Exhibit 1.1'!X54</f>
        <v>146677.80594250004</v>
      </c>
      <c r="AC98" s="9">
        <f>'Exhibit 1.1'!Y54</f>
        <v>146735.28558500003</v>
      </c>
      <c r="AD98" s="9">
        <f>'Exhibit 1.1'!Z54</f>
        <v>146800.93253000005</v>
      </c>
      <c r="AE98" s="9">
        <f>'Exhibit 1.1'!AA54</f>
        <v>147208.56326750005</v>
      </c>
      <c r="AF98" s="9">
        <f>'Exhibit 1.1'!AB54</f>
        <v>174115.79171000005</v>
      </c>
      <c r="AG98" s="9">
        <f>'Exhibit 1.1'!AC54</f>
        <v>174115.79171000005</v>
      </c>
      <c r="AH98" s="9">
        <f>'Exhibit 1.1'!AD54</f>
        <v>174115.79171000005</v>
      </c>
      <c r="AI98" s="9">
        <f>'Exhibit 1.1'!AE54</f>
        <v>174115.79171000005</v>
      </c>
      <c r="AJ98" s="9">
        <f>'Exhibit 1.1'!AF54</f>
        <v>174115.79171000005</v>
      </c>
      <c r="AK98" s="9">
        <f>'Exhibit 1.1'!AG54</f>
        <v>174115.79171000005</v>
      </c>
      <c r="AL98" s="9">
        <f>'Exhibit 1.1'!AH54</f>
        <v>174115.79171000005</v>
      </c>
      <c r="AM98" s="9">
        <f>'Exhibit 1.1'!AI54</f>
        <v>174115.79171000005</v>
      </c>
      <c r="AN98" s="9">
        <f>'Exhibit 1.1'!AJ54</f>
        <v>174115.79171000005</v>
      </c>
      <c r="AO98" s="9">
        <f>'Exhibit 1.1'!AK54</f>
        <v>174115.79171000005</v>
      </c>
      <c r="AP98" s="9">
        <f>'Exhibit 1.1'!AL54</f>
        <v>174115.79171000005</v>
      </c>
      <c r="AQ98" s="9">
        <f>'Exhibit 1.1'!AM54</f>
        <v>174115.79171000005</v>
      </c>
      <c r="AR98" s="9">
        <f>'Exhibit 1.1'!AN54</f>
        <v>174115.79171000005</v>
      </c>
      <c r="AS98" s="9">
        <f>'Exhibit 1.1'!AO54</f>
        <v>174115.79171000005</v>
      </c>
      <c r="AT98" s="9">
        <f>'Exhibit 1.1'!AP54</f>
        <v>174115.79171000005</v>
      </c>
      <c r="AU98" s="9">
        <f>'Exhibit 1.1'!AQ54</f>
        <v>174115.79171000005</v>
      </c>
      <c r="AV98" s="9">
        <f>'Exhibit 1.1'!AR54</f>
        <v>174115.79171000005</v>
      </c>
      <c r="AW98" s="9">
        <f>'Exhibit 1.1'!AS54</f>
        <v>174115.79171000005</v>
      </c>
      <c r="AX98" s="9"/>
      <c r="AY98" s="9"/>
      <c r="AZ98" s="9"/>
      <c r="BA98" s="9"/>
      <c r="BB98" s="9"/>
      <c r="BC98" s="9"/>
      <c r="BD98" s="9"/>
      <c r="BE98" s="9"/>
      <c r="BF98" s="9"/>
      <c r="BG98" s="9"/>
      <c r="BH98" s="9"/>
      <c r="BI98" s="9"/>
      <c r="BJ98" s="9"/>
      <c r="BK98" s="9"/>
      <c r="BL98" s="9"/>
      <c r="BM98" s="9"/>
      <c r="BN98" s="9"/>
      <c r="BO98" s="9"/>
      <c r="BP98" s="9"/>
      <c r="BQ98" s="9"/>
      <c r="BR98" s="9"/>
      <c r="BS98" s="9"/>
      <c r="BT98" s="9"/>
      <c r="BU98" s="9"/>
      <c r="CG98" s="9"/>
      <c r="CH98" s="9"/>
      <c r="CI98" s="9"/>
      <c r="CJ98" s="9"/>
      <c r="CK98" s="9"/>
      <c r="CL98" s="9"/>
      <c r="CM98" s="9"/>
      <c r="CN98" s="9"/>
      <c r="CO98" s="9"/>
      <c r="CP98" s="9"/>
      <c r="CQ98" s="9"/>
      <c r="CR98" s="9"/>
    </row>
    <row r="99" spans="1:96">
      <c r="A99" t="s">
        <v>298</v>
      </c>
      <c r="B99" s="9">
        <f>B97-B98</f>
        <v>1287254.1387708341</v>
      </c>
      <c r="C99" s="9">
        <f t="shared" ref="C99:AW99" si="83">C97-C98</f>
        <v>1287254.1387708341</v>
      </c>
      <c r="D99" s="9">
        <f t="shared" si="83"/>
        <v>1287254.1387708341</v>
      </c>
      <c r="E99" s="9">
        <f t="shared" si="83"/>
        <v>1287254.1387708341</v>
      </c>
      <c r="F99" s="9">
        <f t="shared" si="83"/>
        <v>1287254.1387708341</v>
      </c>
      <c r="G99" s="9">
        <f t="shared" si="83"/>
        <v>1287254.1387708341</v>
      </c>
      <c r="H99" s="9">
        <f t="shared" si="83"/>
        <v>1286116.1447458342</v>
      </c>
      <c r="I99" s="9">
        <f t="shared" si="83"/>
        <v>1286116.1447458342</v>
      </c>
      <c r="J99" s="9">
        <f t="shared" si="83"/>
        <v>1285445.2279958341</v>
      </c>
      <c r="K99" s="9">
        <f t="shared" si="83"/>
        <v>1277430.9147483341</v>
      </c>
      <c r="L99" s="9">
        <f t="shared" si="83"/>
        <v>1242921.099320834</v>
      </c>
      <c r="M99" s="9">
        <f t="shared" si="83"/>
        <v>1242825.5386283342</v>
      </c>
      <c r="N99" s="9">
        <f t="shared" si="83"/>
        <v>4920227.6787200831</v>
      </c>
      <c r="O99" s="9">
        <f t="shared" si="83"/>
        <v>4920227.6787200831</v>
      </c>
      <c r="P99" s="9">
        <f t="shared" si="83"/>
        <v>4919935.2439200832</v>
      </c>
      <c r="Q99" s="9">
        <f t="shared" si="83"/>
        <v>4919933.045132583</v>
      </c>
      <c r="R99" s="9">
        <f t="shared" si="83"/>
        <v>4918341.1587700825</v>
      </c>
      <c r="S99" s="9">
        <f t="shared" si="83"/>
        <v>4918490.6113425829</v>
      </c>
      <c r="T99" s="9">
        <f t="shared" si="83"/>
        <v>4914176.9227325832</v>
      </c>
      <c r="U99" s="9">
        <f t="shared" si="83"/>
        <v>4862336.5447550826</v>
      </c>
      <c r="V99" s="9">
        <f t="shared" si="83"/>
        <v>4860711.9498075834</v>
      </c>
      <c r="W99" s="9">
        <f t="shared" si="83"/>
        <v>4860871.111835083</v>
      </c>
      <c r="X99" s="9">
        <f t="shared" si="83"/>
        <v>4858138.9692225829</v>
      </c>
      <c r="Y99" s="9">
        <f t="shared" si="83"/>
        <v>4818441.2685750825</v>
      </c>
      <c r="Z99" s="9">
        <f t="shared" si="83"/>
        <v>642453.82101224968</v>
      </c>
      <c r="AA99" s="9">
        <f t="shared" si="83"/>
        <v>642340.93155724974</v>
      </c>
      <c r="AB99" s="9">
        <f t="shared" si="83"/>
        <v>641998.87877974974</v>
      </c>
      <c r="AC99" s="9">
        <f t="shared" si="83"/>
        <v>641941.39913724968</v>
      </c>
      <c r="AD99" s="9">
        <f t="shared" si="83"/>
        <v>641875.75219224975</v>
      </c>
      <c r="AE99" s="9">
        <f t="shared" si="83"/>
        <v>641468.12145474972</v>
      </c>
      <c r="AF99" s="9">
        <f t="shared" si="83"/>
        <v>614560.89301224973</v>
      </c>
      <c r="AG99" s="9">
        <f t="shared" si="83"/>
        <v>614560.89301224973</v>
      </c>
      <c r="AH99" s="9">
        <f t="shared" si="83"/>
        <v>614560.89301224973</v>
      </c>
      <c r="AI99" s="9">
        <f t="shared" si="83"/>
        <v>614560.89301224973</v>
      </c>
      <c r="AJ99" s="9">
        <f t="shared" si="83"/>
        <v>614560.89301224973</v>
      </c>
      <c r="AK99" s="9">
        <f t="shared" si="83"/>
        <v>614560.89301224973</v>
      </c>
      <c r="AL99" s="9">
        <f t="shared" si="83"/>
        <v>-46096.119642750127</v>
      </c>
      <c r="AM99" s="9">
        <f t="shared" si="83"/>
        <v>-46096.119642750127</v>
      </c>
      <c r="AN99" s="9">
        <f t="shared" si="83"/>
        <v>-46096.119642750127</v>
      </c>
      <c r="AO99" s="9">
        <f t="shared" si="83"/>
        <v>-46096.119642750127</v>
      </c>
      <c r="AP99" s="9">
        <f t="shared" si="83"/>
        <v>-46096.119642750127</v>
      </c>
      <c r="AQ99" s="9">
        <f t="shared" si="83"/>
        <v>-46096.119642750127</v>
      </c>
      <c r="AR99" s="9">
        <f t="shared" si="83"/>
        <v>-46096.119642750127</v>
      </c>
      <c r="AS99" s="9">
        <f t="shared" si="83"/>
        <v>-46096.119642750127</v>
      </c>
      <c r="AT99" s="9">
        <f t="shared" si="83"/>
        <v>-46096.119642750127</v>
      </c>
      <c r="AU99" s="9">
        <f t="shared" si="83"/>
        <v>-46096.119642750127</v>
      </c>
      <c r="AV99" s="9">
        <f t="shared" si="83"/>
        <v>-46096.119642750127</v>
      </c>
      <c r="AW99" s="9">
        <f t="shared" si="83"/>
        <v>-46096.119642750127</v>
      </c>
      <c r="AX99" s="9"/>
      <c r="AY99" s="9"/>
      <c r="AZ99" s="9"/>
      <c r="BA99" s="9"/>
      <c r="BB99" s="9"/>
      <c r="BC99" s="9"/>
      <c r="BD99" s="9"/>
      <c r="BE99" s="9"/>
      <c r="BF99" s="9"/>
      <c r="BG99" s="9"/>
      <c r="BH99" s="9"/>
      <c r="BI99" s="9"/>
      <c r="BJ99" s="9"/>
      <c r="BK99" s="9"/>
      <c r="BL99" s="9"/>
      <c r="BM99" s="9"/>
      <c r="BN99" s="9"/>
      <c r="BO99" s="9"/>
      <c r="BP99" s="9"/>
      <c r="BQ99" s="9"/>
      <c r="BR99" s="9"/>
      <c r="BS99" s="9"/>
      <c r="BT99" s="9"/>
      <c r="BU99" s="9"/>
      <c r="CG99" s="9"/>
      <c r="CH99" s="9"/>
      <c r="CI99" s="9"/>
      <c r="CJ99" s="9"/>
      <c r="CK99" s="9"/>
      <c r="CL99" s="9"/>
      <c r="CM99" s="9"/>
      <c r="CN99" s="9"/>
      <c r="CO99" s="9"/>
      <c r="CP99" s="9"/>
      <c r="CQ99" s="9"/>
      <c r="CR99" s="9"/>
    </row>
    <row r="100" spans="1:96">
      <c r="A100" t="s">
        <v>299</v>
      </c>
      <c r="B100" s="9">
        <v>0.38</v>
      </c>
      <c r="C100" s="9">
        <v>0.38</v>
      </c>
      <c r="D100" s="9">
        <v>0.38</v>
      </c>
      <c r="E100" s="9">
        <v>0.38</v>
      </c>
      <c r="F100" s="9">
        <v>0.38</v>
      </c>
      <c r="G100" s="9">
        <v>0.38</v>
      </c>
      <c r="H100" s="9">
        <v>0.38</v>
      </c>
      <c r="I100" s="9">
        <v>0.38</v>
      </c>
      <c r="J100" s="9">
        <v>0.38</v>
      </c>
      <c r="K100" s="9">
        <v>0.38</v>
      </c>
      <c r="L100" s="9">
        <v>0.38</v>
      </c>
      <c r="M100" s="9">
        <v>0.38</v>
      </c>
      <c r="N100" s="9">
        <v>0.38</v>
      </c>
      <c r="O100" s="9">
        <v>0.38</v>
      </c>
      <c r="P100" s="9">
        <v>0.38</v>
      </c>
      <c r="Q100" s="9">
        <v>0.38</v>
      </c>
      <c r="R100" s="9">
        <v>0.38</v>
      </c>
      <c r="S100" s="9">
        <v>0.38</v>
      </c>
      <c r="T100" s="9">
        <v>0.38</v>
      </c>
      <c r="U100" s="9">
        <v>0.38</v>
      </c>
      <c r="V100" s="9">
        <v>0.38</v>
      </c>
      <c r="W100" s="9">
        <v>0.38</v>
      </c>
      <c r="X100" s="9">
        <v>0.38</v>
      </c>
      <c r="Y100" s="9">
        <v>0.38</v>
      </c>
      <c r="Z100" s="9">
        <v>0.38</v>
      </c>
      <c r="AA100" s="9">
        <v>0.38</v>
      </c>
      <c r="AB100" s="9">
        <v>0.38</v>
      </c>
      <c r="AC100" s="9">
        <v>0.38</v>
      </c>
      <c r="AD100" s="9">
        <v>0.38</v>
      </c>
      <c r="AE100" s="9">
        <v>0.38</v>
      </c>
      <c r="AF100" s="9">
        <v>0.38</v>
      </c>
      <c r="AG100" s="9">
        <v>0.38</v>
      </c>
      <c r="AH100" s="9">
        <v>0.38</v>
      </c>
      <c r="AI100" s="9">
        <v>0.38</v>
      </c>
      <c r="AJ100" s="9">
        <v>0.38</v>
      </c>
      <c r="AK100" s="9">
        <v>0.38</v>
      </c>
      <c r="AL100" s="9">
        <v>0.38</v>
      </c>
      <c r="AM100" s="9">
        <v>0.38</v>
      </c>
      <c r="AN100" s="9">
        <v>0.38</v>
      </c>
      <c r="AO100" s="9">
        <v>0.38</v>
      </c>
      <c r="AP100" s="9">
        <v>0.38</v>
      </c>
      <c r="AQ100" s="9">
        <v>0.38</v>
      </c>
      <c r="AR100" s="9">
        <v>0.38</v>
      </c>
      <c r="AS100" s="9">
        <v>0.38</v>
      </c>
      <c r="AT100" s="9">
        <v>0.38</v>
      </c>
      <c r="AU100" s="9">
        <v>0.38</v>
      </c>
      <c r="AV100" s="9">
        <v>0.38</v>
      </c>
      <c r="AW100" s="9">
        <v>0.38</v>
      </c>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CG100" s="9"/>
      <c r="CH100" s="9"/>
      <c r="CI100" s="9"/>
      <c r="CJ100" s="9"/>
      <c r="CK100" s="9"/>
      <c r="CL100" s="9"/>
      <c r="CM100" s="9"/>
      <c r="CN100" s="9"/>
      <c r="CO100" s="9"/>
      <c r="CP100" s="9"/>
      <c r="CQ100" s="9"/>
      <c r="CR100" s="9"/>
    </row>
    <row r="101" spans="1:96">
      <c r="A101" t="s">
        <v>300</v>
      </c>
      <c r="B101" s="9">
        <f>B99*B100</f>
        <v>489156.57273291697</v>
      </c>
      <c r="C101" s="9">
        <f t="shared" ref="C101:AW101" si="84">C99*C100</f>
        <v>489156.57273291697</v>
      </c>
      <c r="D101" s="9">
        <f t="shared" si="84"/>
        <v>489156.57273291697</v>
      </c>
      <c r="E101" s="9">
        <f t="shared" si="84"/>
        <v>489156.57273291697</v>
      </c>
      <c r="F101" s="9">
        <f t="shared" si="84"/>
        <v>489156.57273291697</v>
      </c>
      <c r="G101" s="9">
        <f t="shared" si="84"/>
        <v>489156.57273291697</v>
      </c>
      <c r="H101" s="9">
        <f t="shared" si="84"/>
        <v>488724.13500341697</v>
      </c>
      <c r="I101" s="9">
        <f t="shared" si="84"/>
        <v>488724.13500341697</v>
      </c>
      <c r="J101" s="9">
        <f t="shared" si="84"/>
        <v>488469.18663841696</v>
      </c>
      <c r="K101" s="9">
        <f t="shared" si="84"/>
        <v>485423.74760436697</v>
      </c>
      <c r="L101" s="9">
        <f t="shared" si="84"/>
        <v>472310.01774191693</v>
      </c>
      <c r="M101" s="9">
        <f t="shared" si="84"/>
        <v>472273.70467876701</v>
      </c>
      <c r="N101" s="9">
        <f t="shared" si="84"/>
        <v>1869686.5179136316</v>
      </c>
      <c r="O101" s="9">
        <f t="shared" si="84"/>
        <v>1869686.5179136316</v>
      </c>
      <c r="P101" s="9">
        <f t="shared" si="84"/>
        <v>1869575.3926896316</v>
      </c>
      <c r="Q101" s="9">
        <f t="shared" si="84"/>
        <v>1869574.5571503816</v>
      </c>
      <c r="R101" s="9">
        <f t="shared" si="84"/>
        <v>1868969.6403326313</v>
      </c>
      <c r="S101" s="9">
        <f t="shared" si="84"/>
        <v>1869026.4323101814</v>
      </c>
      <c r="T101" s="9">
        <f t="shared" si="84"/>
        <v>1867387.2306383816</v>
      </c>
      <c r="U101" s="9">
        <f t="shared" si="84"/>
        <v>1847687.8870069315</v>
      </c>
      <c r="V101" s="9">
        <f t="shared" si="84"/>
        <v>1847070.5409268816</v>
      </c>
      <c r="W101" s="9">
        <f t="shared" si="84"/>
        <v>1847131.0224973315</v>
      </c>
      <c r="X101" s="9">
        <f t="shared" si="84"/>
        <v>1846092.8083045816</v>
      </c>
      <c r="Y101" s="9">
        <f t="shared" si="84"/>
        <v>1831007.6820585313</v>
      </c>
      <c r="Z101" s="9">
        <f t="shared" si="84"/>
        <v>244132.45198465488</v>
      </c>
      <c r="AA101" s="9">
        <f t="shared" si="84"/>
        <v>244089.55399175492</v>
      </c>
      <c r="AB101" s="9">
        <f t="shared" si="84"/>
        <v>243959.57393630489</v>
      </c>
      <c r="AC101" s="9">
        <f t="shared" si="84"/>
        <v>243937.73167215489</v>
      </c>
      <c r="AD101" s="9">
        <f t="shared" si="84"/>
        <v>243912.78583305492</v>
      </c>
      <c r="AE101" s="9">
        <f t="shared" si="84"/>
        <v>243757.88615280489</v>
      </c>
      <c r="AF101" s="9">
        <f t="shared" si="84"/>
        <v>233533.13934465489</v>
      </c>
      <c r="AG101" s="9">
        <f t="shared" si="84"/>
        <v>233533.13934465489</v>
      </c>
      <c r="AH101" s="9">
        <f t="shared" si="84"/>
        <v>233533.13934465489</v>
      </c>
      <c r="AI101" s="9">
        <f t="shared" si="84"/>
        <v>233533.13934465489</v>
      </c>
      <c r="AJ101" s="9">
        <f t="shared" si="84"/>
        <v>233533.13934465489</v>
      </c>
      <c r="AK101" s="9">
        <f t="shared" si="84"/>
        <v>233533.13934465489</v>
      </c>
      <c r="AL101" s="9">
        <f>AL99*AL100</f>
        <v>-17516.525464245049</v>
      </c>
      <c r="AM101" s="9">
        <f t="shared" si="84"/>
        <v>-17516.525464245049</v>
      </c>
      <c r="AN101" s="9">
        <f t="shared" si="84"/>
        <v>-17516.525464245049</v>
      </c>
      <c r="AO101" s="9">
        <f t="shared" si="84"/>
        <v>-17516.525464245049</v>
      </c>
      <c r="AP101" s="9">
        <f t="shared" si="84"/>
        <v>-17516.525464245049</v>
      </c>
      <c r="AQ101" s="9">
        <f t="shared" si="84"/>
        <v>-17516.525464245049</v>
      </c>
      <c r="AR101" s="9">
        <f t="shared" si="84"/>
        <v>-17516.525464245049</v>
      </c>
      <c r="AS101" s="9">
        <f t="shared" si="84"/>
        <v>-17516.525464245049</v>
      </c>
      <c r="AT101" s="9">
        <f t="shared" si="84"/>
        <v>-17516.525464245049</v>
      </c>
      <c r="AU101" s="9">
        <f t="shared" si="84"/>
        <v>-17516.525464245049</v>
      </c>
      <c r="AV101" s="9">
        <f t="shared" si="84"/>
        <v>-17516.525464245049</v>
      </c>
      <c r="AW101" s="9">
        <f t="shared" si="84"/>
        <v>-17516.525464245049</v>
      </c>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CG101" s="9"/>
      <c r="CH101" s="9"/>
      <c r="CI101" s="9"/>
      <c r="CJ101" s="9"/>
      <c r="CK101" s="9"/>
      <c r="CL101" s="9"/>
      <c r="CM101" s="9"/>
      <c r="CN101" s="9"/>
      <c r="CO101" s="9"/>
      <c r="CP101" s="9"/>
      <c r="CQ101" s="9"/>
      <c r="CR101" s="9"/>
    </row>
    <row r="102" spans="1:96">
      <c r="A102" t="s">
        <v>152</v>
      </c>
      <c r="B102" s="9">
        <f>B101</f>
        <v>489156.57273291697</v>
      </c>
      <c r="C102" s="9">
        <f>B102+C101</f>
        <v>978313.14546583395</v>
      </c>
      <c r="D102" s="9">
        <f t="shared" ref="D102:AK102" si="85">C102+D101</f>
        <v>1467469.7181987509</v>
      </c>
      <c r="E102" s="9">
        <f t="shared" si="85"/>
        <v>1956626.2909316679</v>
      </c>
      <c r="F102" s="9">
        <f t="shared" si="85"/>
        <v>2445782.8636645847</v>
      </c>
      <c r="G102" s="9">
        <f t="shared" si="85"/>
        <v>2934939.4363975017</v>
      </c>
      <c r="H102" s="9">
        <f t="shared" si="85"/>
        <v>3423663.5714009185</v>
      </c>
      <c r="I102" s="9">
        <f t="shared" si="85"/>
        <v>3912387.7064043353</v>
      </c>
      <c r="J102" s="9">
        <f t="shared" si="85"/>
        <v>4400856.8930427525</v>
      </c>
      <c r="K102" s="9">
        <f t="shared" si="85"/>
        <v>4886280.6406471198</v>
      </c>
      <c r="L102" s="9">
        <f t="shared" si="85"/>
        <v>5358590.6583890365</v>
      </c>
      <c r="M102" s="9">
        <f t="shared" si="85"/>
        <v>5830864.3630678039</v>
      </c>
      <c r="N102" s="9">
        <f t="shared" si="85"/>
        <v>7700550.880981436</v>
      </c>
      <c r="O102" s="9">
        <f t="shared" si="85"/>
        <v>9570237.3988950681</v>
      </c>
      <c r="P102" s="9">
        <f t="shared" si="85"/>
        <v>11439812.7915847</v>
      </c>
      <c r="Q102" s="9">
        <f t="shared" si="85"/>
        <v>13309387.348735083</v>
      </c>
      <c r="R102" s="9">
        <f t="shared" si="85"/>
        <v>15178356.989067715</v>
      </c>
      <c r="S102" s="9">
        <f t="shared" si="85"/>
        <v>17047383.421377897</v>
      </c>
      <c r="T102" s="9">
        <f t="shared" si="85"/>
        <v>18914770.652016278</v>
      </c>
      <c r="U102" s="9">
        <f t="shared" si="85"/>
        <v>20762458.539023209</v>
      </c>
      <c r="V102" s="9">
        <f t="shared" si="85"/>
        <v>22609529.07995009</v>
      </c>
      <c r="W102" s="9">
        <f t="shared" si="85"/>
        <v>24456660.10244742</v>
      </c>
      <c r="X102" s="9">
        <f t="shared" si="85"/>
        <v>26302752.910752002</v>
      </c>
      <c r="Y102" s="9">
        <f t="shared" si="85"/>
        <v>28133760.592810534</v>
      </c>
      <c r="Z102" s="9">
        <f t="shared" si="85"/>
        <v>28377893.044795189</v>
      </c>
      <c r="AA102" s="9">
        <f t="shared" si="85"/>
        <v>28621982.598786943</v>
      </c>
      <c r="AB102" s="9">
        <f t="shared" si="85"/>
        <v>28865942.172723249</v>
      </c>
      <c r="AC102" s="9">
        <f t="shared" si="85"/>
        <v>29109879.904395405</v>
      </c>
      <c r="AD102" s="9">
        <f t="shared" si="85"/>
        <v>29353792.690228458</v>
      </c>
      <c r="AE102" s="9">
        <f t="shared" si="85"/>
        <v>29597550.576381262</v>
      </c>
      <c r="AF102" s="9">
        <f t="shared" si="85"/>
        <v>29831083.715725917</v>
      </c>
      <c r="AG102" s="9">
        <f t="shared" si="85"/>
        <v>30064616.855070572</v>
      </c>
      <c r="AH102" s="9">
        <f t="shared" si="85"/>
        <v>30298149.994415227</v>
      </c>
      <c r="AI102" s="9">
        <f t="shared" si="85"/>
        <v>30531683.133759882</v>
      </c>
      <c r="AJ102" s="9">
        <f t="shared" si="85"/>
        <v>30765216.273104537</v>
      </c>
      <c r="AK102" s="9">
        <f t="shared" si="85"/>
        <v>30998749.412449192</v>
      </c>
      <c r="AL102" s="9">
        <f t="shared" ref="AL102" si="86">AK102+AL101</f>
        <v>30981232.886984948</v>
      </c>
      <c r="AM102" s="9">
        <f t="shared" ref="AM102" si="87">AL102+AM101</f>
        <v>30963716.361520704</v>
      </c>
      <c r="AN102" s="9">
        <f t="shared" ref="AN102" si="88">AM102+AN101</f>
        <v>30946199.83605646</v>
      </c>
      <c r="AO102" s="9">
        <f t="shared" ref="AO102" si="89">AN102+AO101</f>
        <v>30928683.310592216</v>
      </c>
      <c r="AP102" s="9">
        <f t="shared" ref="AP102" si="90">AO102+AP101</f>
        <v>30911166.785127971</v>
      </c>
      <c r="AQ102" s="9">
        <f t="shared" ref="AQ102" si="91">AP102+AQ101</f>
        <v>30893650.259663727</v>
      </c>
      <c r="AR102" s="9">
        <f t="shared" ref="AR102" si="92">AQ102+AR101</f>
        <v>30876133.734199483</v>
      </c>
      <c r="AS102" s="9">
        <f t="shared" ref="AS102" si="93">AR102+AS101</f>
        <v>30858617.208735239</v>
      </c>
      <c r="AT102" s="9">
        <f t="shared" ref="AT102" si="94">AS102+AT101</f>
        <v>30841100.683270995</v>
      </c>
      <c r="AU102" s="9">
        <f t="shared" ref="AU102" si="95">AT102+AU101</f>
        <v>30823584.15780675</v>
      </c>
      <c r="AV102" s="9">
        <f t="shared" ref="AV102" si="96">AU102+AV101</f>
        <v>30806067.632342506</v>
      </c>
      <c r="AW102" s="9">
        <f t="shared" ref="AW102" si="97">AV102+AW101</f>
        <v>30788551.106878262</v>
      </c>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CG102" s="9"/>
      <c r="CH102" s="9"/>
      <c r="CI102" s="9"/>
      <c r="CJ102" s="9"/>
      <c r="CK102" s="9"/>
      <c r="CL102" s="9"/>
      <c r="CM102" s="9"/>
      <c r="CN102" s="9"/>
      <c r="CO102" s="9"/>
      <c r="CP102" s="9"/>
      <c r="CQ102" s="9"/>
      <c r="CR102" s="9"/>
    </row>
    <row r="103" spans="1:96">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CG103" s="9"/>
      <c r="CH103" s="9"/>
      <c r="CI103" s="9"/>
      <c r="CJ103" s="9"/>
      <c r="CK103" s="9"/>
      <c r="CL103" s="9"/>
      <c r="CM103" s="9"/>
      <c r="CN103" s="9"/>
      <c r="CO103" s="9"/>
      <c r="CP103" s="9"/>
      <c r="CQ103" s="9"/>
      <c r="CR103" s="9"/>
    </row>
    <row r="104" spans="1:96">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CG104" s="9"/>
      <c r="CH104" s="9"/>
      <c r="CI104" s="9"/>
      <c r="CJ104" s="9"/>
      <c r="CK104" s="9"/>
      <c r="CL104" s="9"/>
      <c r="CM104" s="9"/>
      <c r="CN104" s="9"/>
      <c r="CO104" s="9"/>
      <c r="CP104" s="9"/>
      <c r="CQ104" s="9"/>
      <c r="CR104" s="9"/>
    </row>
    <row r="105" spans="1:96">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CG105" s="9"/>
      <c r="CH105" s="9"/>
      <c r="CI105" s="9"/>
      <c r="CJ105" s="9"/>
      <c r="CK105" s="9"/>
      <c r="CL105" s="9"/>
      <c r="CM105" s="9"/>
      <c r="CN105" s="9"/>
      <c r="CO105" s="9"/>
      <c r="CP105" s="9"/>
      <c r="CQ105" s="9"/>
      <c r="CR105" s="9"/>
    </row>
    <row r="106" spans="1:96">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CG106" s="9"/>
      <c r="CH106" s="9"/>
      <c r="CI106" s="9"/>
      <c r="CJ106" s="9"/>
      <c r="CK106" s="9"/>
      <c r="CL106" s="9"/>
      <c r="CM106" s="9"/>
      <c r="CN106" s="9"/>
      <c r="CO106" s="9"/>
      <c r="CP106" s="9"/>
      <c r="CQ106" s="9"/>
      <c r="CR106" s="9"/>
    </row>
    <row r="107" spans="1:96">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CG107" s="9"/>
      <c r="CH107" s="9"/>
      <c r="CI107" s="9"/>
      <c r="CJ107" s="9"/>
      <c r="CK107" s="9"/>
      <c r="CL107" s="9"/>
      <c r="CM107" s="9"/>
      <c r="CN107" s="9"/>
      <c r="CO107" s="9"/>
      <c r="CP107" s="9"/>
      <c r="CQ107" s="9"/>
      <c r="CR107" s="9"/>
    </row>
    <row r="108" spans="1:96">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CG108" s="9"/>
      <c r="CH108" s="9"/>
      <c r="CI108" s="9"/>
      <c r="CJ108" s="9"/>
      <c r="CK108" s="9"/>
      <c r="CL108" s="9"/>
      <c r="CM108" s="9"/>
      <c r="CN108" s="9"/>
      <c r="CO108" s="9"/>
      <c r="CP108" s="9"/>
      <c r="CQ108" s="9"/>
      <c r="CR108" s="9"/>
    </row>
    <row r="109" spans="1:96">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CG109" s="9"/>
      <c r="CH109" s="9"/>
      <c r="CI109" s="9"/>
      <c r="CJ109" s="9"/>
      <c r="CK109" s="9"/>
      <c r="CL109" s="9"/>
      <c r="CM109" s="9"/>
      <c r="CN109" s="9"/>
      <c r="CO109" s="9"/>
      <c r="CP109" s="9"/>
      <c r="CQ109" s="9"/>
      <c r="CR109" s="9"/>
    </row>
    <row r="110" spans="1:96">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CG110" s="9"/>
      <c r="CH110" s="9"/>
      <c r="CI110" s="9"/>
      <c r="CJ110" s="9"/>
      <c r="CK110" s="9"/>
      <c r="CL110" s="9"/>
      <c r="CM110" s="9"/>
      <c r="CN110" s="9"/>
      <c r="CO110" s="9"/>
      <c r="CP110" s="9"/>
      <c r="CQ110" s="9"/>
      <c r="CR110" s="9"/>
    </row>
    <row r="111" spans="1:96">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CG111" s="9"/>
      <c r="CH111" s="9"/>
      <c r="CI111" s="9"/>
      <c r="CJ111" s="9"/>
      <c r="CK111" s="9"/>
      <c r="CL111" s="9"/>
      <c r="CM111" s="9"/>
      <c r="CN111" s="9"/>
      <c r="CO111" s="9"/>
      <c r="CP111" s="9"/>
      <c r="CQ111" s="9"/>
      <c r="CR111" s="9"/>
    </row>
    <row r="112" spans="1:96">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CG112" s="9"/>
      <c r="CH112" s="9"/>
      <c r="CI112" s="9"/>
      <c r="CJ112" s="9"/>
      <c r="CK112" s="9"/>
      <c r="CL112" s="9"/>
      <c r="CM112" s="9"/>
      <c r="CN112" s="9"/>
      <c r="CO112" s="9"/>
      <c r="CP112" s="9"/>
      <c r="CQ112" s="9"/>
      <c r="CR112" s="9"/>
    </row>
  </sheetData>
  <mergeCells count="10">
    <mergeCell ref="CS2:CV2"/>
    <mergeCell ref="CK4:CL4"/>
    <mergeCell ref="CG3:CI3"/>
    <mergeCell ref="CK3:CM3"/>
    <mergeCell ref="CP3:CQ3"/>
    <mergeCell ref="BZ2:CI2"/>
    <mergeCell ref="CA4:CB4"/>
    <mergeCell ref="BZ3:CB3"/>
    <mergeCell ref="CE3:CF3"/>
    <mergeCell ref="CK2:CQ2"/>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S66"/>
  <sheetViews>
    <sheetView tabSelected="1" zoomScale="85" zoomScaleNormal="85" workbookViewId="0">
      <selection activeCell="D27" sqref="D27"/>
    </sheetView>
  </sheetViews>
  <sheetFormatPr defaultRowHeight="12.75"/>
  <cols>
    <col min="1" max="1" width="3.85546875" customWidth="1"/>
    <col min="3" max="3" width="38.140625" bestFit="1" customWidth="1"/>
    <col min="4" max="33" width="13.85546875" style="9" customWidth="1"/>
    <col min="34" max="35" width="12.28515625" style="9" bestFit="1" customWidth="1"/>
    <col min="36" max="41" width="11.7109375" style="9" bestFit="1" customWidth="1"/>
    <col min="42" max="42" width="13.28515625" style="9" bestFit="1" customWidth="1"/>
    <col min="43" max="43" width="11.7109375" style="9" bestFit="1" customWidth="1"/>
    <col min="44" max="45" width="12.7109375" style="9" bestFit="1" customWidth="1"/>
    <col min="46" max="71" width="9.140625" style="9"/>
  </cols>
  <sheetData>
    <row r="1" spans="1:71" ht="15.75">
      <c r="A1" s="247" t="s">
        <v>292</v>
      </c>
      <c r="B1" s="247"/>
      <c r="C1" s="247"/>
      <c r="D1" s="247"/>
      <c r="E1" s="247"/>
      <c r="F1" s="247"/>
      <c r="G1" s="247"/>
      <c r="H1" s="247"/>
      <c r="I1" s="247"/>
      <c r="J1" s="247"/>
      <c r="K1" s="247"/>
      <c r="L1" s="247"/>
      <c r="M1" s="247"/>
      <c r="N1" s="247"/>
      <c r="O1" s="247"/>
      <c r="P1" s="247"/>
      <c r="Q1" s="247"/>
    </row>
    <row r="2" spans="1:71">
      <c r="D2" s="16" t="s">
        <v>173</v>
      </c>
      <c r="E2" s="16" t="s">
        <v>174</v>
      </c>
      <c r="F2" s="16" t="s">
        <v>175</v>
      </c>
      <c r="G2" s="16" t="s">
        <v>276</v>
      </c>
      <c r="H2" s="16" t="s">
        <v>193</v>
      </c>
      <c r="I2" s="16" t="s">
        <v>194</v>
      </c>
      <c r="J2" s="16" t="s">
        <v>195</v>
      </c>
      <c r="K2" s="16" t="s">
        <v>196</v>
      </c>
      <c r="L2" s="16" t="s">
        <v>197</v>
      </c>
      <c r="M2" s="16" t="s">
        <v>198</v>
      </c>
      <c r="N2" s="16" t="s">
        <v>199</v>
      </c>
      <c r="O2" s="16" t="s">
        <v>277</v>
      </c>
      <c r="P2" s="16" t="s">
        <v>278</v>
      </c>
      <c r="Q2" s="16" t="s">
        <v>279</v>
      </c>
      <c r="R2" s="16" t="s">
        <v>280</v>
      </c>
      <c r="S2" s="16" t="s">
        <v>281</v>
      </c>
      <c r="T2" s="16" t="s">
        <v>282</v>
      </c>
      <c r="U2" s="16" t="s">
        <v>283</v>
      </c>
      <c r="V2" s="16" t="s">
        <v>284</v>
      </c>
      <c r="W2" s="16" t="s">
        <v>285</v>
      </c>
      <c r="X2" s="16" t="s">
        <v>286</v>
      </c>
      <c r="Y2" s="16" t="s">
        <v>287</v>
      </c>
      <c r="Z2" s="16" t="s">
        <v>288</v>
      </c>
      <c r="AA2" s="16" t="s">
        <v>289</v>
      </c>
      <c r="AB2" s="16" t="s">
        <v>290</v>
      </c>
      <c r="AC2" s="16" t="s">
        <v>291</v>
      </c>
      <c r="AD2" s="230" t="s">
        <v>357</v>
      </c>
      <c r="AE2" s="230" t="s">
        <v>358</v>
      </c>
      <c r="AF2" s="230" t="s">
        <v>359</v>
      </c>
      <c r="AG2" s="230" t="s">
        <v>360</v>
      </c>
    </row>
    <row r="3" spans="1:71">
      <c r="D3" s="43">
        <v>40390</v>
      </c>
      <c r="E3" s="43">
        <f t="shared" ref="E3:AH3" si="0">EOMONTH(D3,1)</f>
        <v>40421</v>
      </c>
      <c r="F3" s="43">
        <f t="shared" si="0"/>
        <v>40451</v>
      </c>
      <c r="G3" s="43">
        <f t="shared" si="0"/>
        <v>40482</v>
      </c>
      <c r="H3" s="43">
        <f>EOMONTH(G3,1)</f>
        <v>40512</v>
      </c>
      <c r="I3" s="43">
        <f t="shared" si="0"/>
        <v>40543</v>
      </c>
      <c r="J3" s="43">
        <f t="shared" si="0"/>
        <v>40574</v>
      </c>
      <c r="K3" s="43">
        <f t="shared" si="0"/>
        <v>40602</v>
      </c>
      <c r="L3" s="43">
        <f t="shared" si="0"/>
        <v>40633</v>
      </c>
      <c r="M3" s="43">
        <f t="shared" si="0"/>
        <v>40663</v>
      </c>
      <c r="N3" s="43">
        <f t="shared" si="0"/>
        <v>40694</v>
      </c>
      <c r="O3" s="43">
        <f t="shared" si="0"/>
        <v>40724</v>
      </c>
      <c r="P3" s="43">
        <f t="shared" si="0"/>
        <v>40755</v>
      </c>
      <c r="Q3" s="43">
        <f t="shared" si="0"/>
        <v>40786</v>
      </c>
      <c r="R3" s="43">
        <f t="shared" si="0"/>
        <v>40816</v>
      </c>
      <c r="S3" s="43">
        <f t="shared" si="0"/>
        <v>40847</v>
      </c>
      <c r="T3" s="43">
        <f t="shared" si="0"/>
        <v>40877</v>
      </c>
      <c r="U3" s="43">
        <f t="shared" si="0"/>
        <v>40908</v>
      </c>
      <c r="V3" s="43">
        <f>EOMONTH(U3,1)</f>
        <v>40939</v>
      </c>
      <c r="W3" s="43">
        <f t="shared" si="0"/>
        <v>40968</v>
      </c>
      <c r="X3" s="43">
        <f t="shared" si="0"/>
        <v>40999</v>
      </c>
      <c r="Y3" s="43">
        <f t="shared" si="0"/>
        <v>41029</v>
      </c>
      <c r="Z3" s="43">
        <f t="shared" si="0"/>
        <v>41060</v>
      </c>
      <c r="AA3" s="43">
        <f t="shared" si="0"/>
        <v>41090</v>
      </c>
      <c r="AB3" s="43">
        <f t="shared" si="0"/>
        <v>41121</v>
      </c>
      <c r="AC3" s="43">
        <f t="shared" si="0"/>
        <v>41152</v>
      </c>
      <c r="AD3" s="43">
        <f t="shared" si="0"/>
        <v>41182</v>
      </c>
      <c r="AE3" s="43">
        <f>EOMONTH(AD3,1)</f>
        <v>41213</v>
      </c>
      <c r="AF3" s="43">
        <f t="shared" si="0"/>
        <v>41243</v>
      </c>
      <c r="AG3" s="43">
        <f t="shared" si="0"/>
        <v>41274</v>
      </c>
      <c r="AH3" s="43">
        <f t="shared" si="0"/>
        <v>41305</v>
      </c>
      <c r="AI3" s="43">
        <f t="shared" ref="AI3" si="1">EOMONTH(AH3,1)</f>
        <v>41333</v>
      </c>
      <c r="AJ3" s="43">
        <f t="shared" ref="AJ3:AK3" si="2">EOMONTH(AI3,1)</f>
        <v>41364</v>
      </c>
      <c r="AK3" s="43">
        <f t="shared" si="2"/>
        <v>41394</v>
      </c>
      <c r="AL3" s="43">
        <f t="shared" ref="AL3" si="3">EOMONTH(AK3,1)</f>
        <v>41425</v>
      </c>
      <c r="AM3" s="43">
        <f t="shared" ref="AM3:AN3" si="4">EOMONTH(AL3,1)</f>
        <v>41455</v>
      </c>
      <c r="AN3" s="43">
        <f t="shared" si="4"/>
        <v>41486</v>
      </c>
      <c r="AO3" s="43">
        <f t="shared" ref="AO3" si="5">EOMONTH(AN3,1)</f>
        <v>41517</v>
      </c>
      <c r="AP3" s="43">
        <f t="shared" ref="AP3:AS3" si="6">EOMONTH(AO3,1)</f>
        <v>41547</v>
      </c>
      <c r="AQ3" s="43">
        <f t="shared" si="6"/>
        <v>41578</v>
      </c>
      <c r="AR3" s="43">
        <f t="shared" ref="AR3" si="7">EOMONTH(AQ3,1)</f>
        <v>41608</v>
      </c>
      <c r="AS3" s="43">
        <f t="shared" si="6"/>
        <v>41639</v>
      </c>
    </row>
    <row r="4" spans="1:71">
      <c r="B4" s="3" t="s">
        <v>0</v>
      </c>
      <c r="C4" s="3" t="s">
        <v>125</v>
      </c>
    </row>
    <row r="5" spans="1:71">
      <c r="A5" s="69">
        <v>1</v>
      </c>
      <c r="B5" t="s">
        <v>12</v>
      </c>
      <c r="C5" t="s">
        <v>126</v>
      </c>
      <c r="D5" s="20"/>
      <c r="E5" s="20"/>
      <c r="F5" s="20"/>
      <c r="G5" s="20">
        <f>-Calculations!AS8</f>
        <v>670027.01</v>
      </c>
      <c r="H5" s="20">
        <f>-Calculations!AT8</f>
        <v>0</v>
      </c>
      <c r="I5" s="20">
        <f>-Calculations!AU8</f>
        <v>0</v>
      </c>
      <c r="J5" s="20">
        <f>-Calculations!AV8</f>
        <v>0</v>
      </c>
      <c r="K5" s="20">
        <f>-Calculations!AW8</f>
        <v>0</v>
      </c>
      <c r="L5" s="20">
        <f>-Calculations!AX8</f>
        <v>0</v>
      </c>
      <c r="M5" s="20">
        <f>-Calculations!AY8</f>
        <v>0</v>
      </c>
      <c r="N5" s="20">
        <f>-Calculations!AZ8</f>
        <v>18838.41</v>
      </c>
      <c r="O5" s="20">
        <f>-Calculations!BA8</f>
        <v>0</v>
      </c>
      <c r="P5" s="20">
        <f>-Calculations!BB8</f>
        <v>0</v>
      </c>
      <c r="Q5" s="20">
        <f>-Calculations!BC8</f>
        <v>0</v>
      </c>
      <c r="R5" s="20">
        <f>-Calculations!BD8</f>
        <v>0</v>
      </c>
      <c r="S5" s="20">
        <f>-Calculations!BE8</f>
        <v>0</v>
      </c>
      <c r="T5" s="20">
        <f>-Calculations!BF8</f>
        <v>0</v>
      </c>
      <c r="U5" s="20">
        <f>-Calculations!BG8</f>
        <v>0</v>
      </c>
      <c r="V5" s="20">
        <f>-Calculations!BH8</f>
        <v>0</v>
      </c>
      <c r="W5" s="20">
        <f>-Calculations!BI8</f>
        <v>0</v>
      </c>
      <c r="X5" s="20">
        <f>-Calculations!BJ8</f>
        <v>0</v>
      </c>
      <c r="Y5" s="20">
        <f>-Calculations!BK8</f>
        <v>0</v>
      </c>
      <c r="Z5" s="20">
        <f>-Calculations!BL8</f>
        <v>0</v>
      </c>
      <c r="AA5" s="20">
        <f>-Calculations!BM8</f>
        <v>0</v>
      </c>
      <c r="AB5" s="20">
        <f>-Calculations!BN8</f>
        <v>0</v>
      </c>
      <c r="AC5" s="20">
        <f>-Calculations!BO8</f>
        <v>0</v>
      </c>
      <c r="AD5" s="20">
        <f>-Calculations!BP8</f>
        <v>0</v>
      </c>
      <c r="AE5" s="20">
        <f>-Calculations!BQ8</f>
        <v>0</v>
      </c>
      <c r="AF5" s="20">
        <f>-Calculations!BR8</f>
        <v>0</v>
      </c>
      <c r="AG5" s="20">
        <f>-Calculations!BS8</f>
        <v>0</v>
      </c>
    </row>
    <row r="6" spans="1:71">
      <c r="A6" s="69">
        <f>A5+1</f>
        <v>2</v>
      </c>
      <c r="B6" t="s">
        <v>31</v>
      </c>
      <c r="C6" t="s">
        <v>127</v>
      </c>
      <c r="D6" s="20"/>
      <c r="E6" s="20"/>
      <c r="F6" s="20">
        <v>383381</v>
      </c>
      <c r="G6" s="20">
        <f>-Calculations!AS9</f>
        <v>52900.19</v>
      </c>
      <c r="H6" s="20">
        <f>-Calculations!AT9</f>
        <v>0</v>
      </c>
      <c r="I6" s="20">
        <f>-Calculations!AU9</f>
        <v>54606.11</v>
      </c>
      <c r="J6" s="20">
        <f>-Calculations!AV9</f>
        <v>-49598.2</v>
      </c>
      <c r="K6" s="20">
        <f>-Calculations!AW9</f>
        <v>0</v>
      </c>
      <c r="L6" s="20">
        <f>-Calculations!AX9</f>
        <v>0</v>
      </c>
      <c r="M6" s="20">
        <f>-Calculations!AY9</f>
        <v>-3250.77</v>
      </c>
      <c r="N6" s="20">
        <f>-Calculations!AZ9</f>
        <v>0</v>
      </c>
      <c r="O6" s="20">
        <f>-Calculations!BA9</f>
        <v>0</v>
      </c>
      <c r="P6" s="20">
        <f>-Calculations!BB9</f>
        <v>0</v>
      </c>
      <c r="Q6" s="20">
        <f>-Calculations!BC9</f>
        <v>0</v>
      </c>
      <c r="R6" s="20">
        <f>-Calculations!BD9</f>
        <v>0</v>
      </c>
      <c r="S6" s="20">
        <f>-Calculations!BE9</f>
        <v>0</v>
      </c>
      <c r="T6" s="20">
        <f>-Calculations!BF9</f>
        <v>0</v>
      </c>
      <c r="U6" s="20">
        <f>-Calculations!BG9</f>
        <v>0</v>
      </c>
      <c r="V6" s="20">
        <f>-Calculations!BH9</f>
        <v>0</v>
      </c>
      <c r="W6" s="20">
        <f>-Calculations!BI9</f>
        <v>0</v>
      </c>
      <c r="X6" s="20">
        <f>-Calculations!BJ9</f>
        <v>0</v>
      </c>
      <c r="Y6" s="20">
        <f>-Calculations!BK9</f>
        <v>0</v>
      </c>
      <c r="Z6" s="20">
        <f>-Calculations!BL9</f>
        <v>0</v>
      </c>
      <c r="AA6" s="20">
        <f>-Calculations!BM9</f>
        <v>-5125.34</v>
      </c>
      <c r="AB6" s="20">
        <f>-Calculations!BN9</f>
        <v>0</v>
      </c>
      <c r="AC6" s="20">
        <f>-Calculations!BO9</f>
        <v>0</v>
      </c>
      <c r="AD6" s="20">
        <f>-Calculations!BP9</f>
        <v>0</v>
      </c>
      <c r="AE6" s="20">
        <f>-Calculations!BQ9</f>
        <v>0</v>
      </c>
      <c r="AF6" s="20">
        <f>-Calculations!BR9</f>
        <v>0</v>
      </c>
      <c r="AG6" s="20">
        <f>-Calculations!BS9</f>
        <v>0</v>
      </c>
    </row>
    <row r="7" spans="1:71">
      <c r="A7" s="69">
        <f t="shared" ref="A7:A49" si="8">A6+1</f>
        <v>3</v>
      </c>
      <c r="B7" t="s">
        <v>36</v>
      </c>
      <c r="C7" t="s">
        <v>128</v>
      </c>
      <c r="D7" s="20">
        <v>10750282.300000001</v>
      </c>
      <c r="E7" s="20"/>
      <c r="F7" s="20"/>
      <c r="G7" s="20">
        <f>-Calculations!AS10</f>
        <v>3856680.37</v>
      </c>
      <c r="H7" s="20">
        <f>-Calculations!AT10</f>
        <v>20371763.529999997</v>
      </c>
      <c r="I7" s="20">
        <f>-Calculations!AU10</f>
        <v>0</v>
      </c>
      <c r="J7" s="20">
        <f>-Calculations!AV10</f>
        <v>0</v>
      </c>
      <c r="K7" s="20">
        <f>-Calculations!AW10</f>
        <v>0</v>
      </c>
      <c r="L7" s="20">
        <f>-Calculations!AX10</f>
        <v>0</v>
      </c>
      <c r="M7" s="20">
        <f>-Calculations!AY10</f>
        <v>0</v>
      </c>
      <c r="N7" s="20">
        <f>-Calculations!AZ10</f>
        <v>890810.94</v>
      </c>
      <c r="O7" s="20">
        <f>-Calculations!BA10</f>
        <v>0</v>
      </c>
      <c r="P7" s="20">
        <f>-Calculations!BB10</f>
        <v>0</v>
      </c>
      <c r="Q7" s="20">
        <f>-Calculations!BC10</f>
        <v>0</v>
      </c>
      <c r="R7" s="20">
        <f>-Calculations!BD10</f>
        <v>300939.62</v>
      </c>
      <c r="S7" s="20">
        <f>-Calculations!BE10</f>
        <v>0</v>
      </c>
      <c r="T7" s="20">
        <f>-Calculations!BF10</f>
        <v>19045.150000000001</v>
      </c>
      <c r="U7" s="20">
        <f>-Calculations!BG10</f>
        <v>4750.3999999999996</v>
      </c>
      <c r="V7" s="20">
        <f>-Calculations!BH10</f>
        <v>17893.23</v>
      </c>
      <c r="W7" s="20">
        <f>-Calculations!BI10</f>
        <v>78998.58</v>
      </c>
      <c r="X7" s="20">
        <f>-Calculations!BJ10</f>
        <v>24731.79</v>
      </c>
      <c r="Y7" s="20">
        <f>-Calculations!BK10</f>
        <v>-47635.62</v>
      </c>
      <c r="Z7" s="20">
        <f>-Calculations!BL10</f>
        <v>0</v>
      </c>
      <c r="AA7" s="20">
        <f>-Calculations!BM10</f>
        <v>-68743.839999999997</v>
      </c>
      <c r="AB7" s="20">
        <f>-Calculations!BN10</f>
        <v>11121.86</v>
      </c>
      <c r="AC7" s="20">
        <f>-Calculations!BO10</f>
        <v>0</v>
      </c>
      <c r="AD7" s="20">
        <f>-Calculations!BP10</f>
        <v>0</v>
      </c>
      <c r="AE7" s="20">
        <f>-Calculations!BQ10</f>
        <v>0</v>
      </c>
      <c r="AF7" s="20">
        <f>-Calculations!BR10</f>
        <v>0</v>
      </c>
      <c r="AG7" s="20">
        <f>-Calculations!BS10</f>
        <v>0</v>
      </c>
    </row>
    <row r="8" spans="1:71">
      <c r="A8" s="69">
        <f t="shared" si="8"/>
        <v>4</v>
      </c>
      <c r="B8" s="10" t="s">
        <v>57</v>
      </c>
      <c r="C8" s="2" t="s">
        <v>141</v>
      </c>
      <c r="D8" s="20"/>
      <c r="E8" s="20"/>
      <c r="F8" s="20"/>
      <c r="G8" s="20">
        <f>-Calculations!AS11</f>
        <v>0</v>
      </c>
      <c r="H8" s="20">
        <f>-Calculations!AT11</f>
        <v>0</v>
      </c>
      <c r="I8" s="20">
        <f>-Calculations!AU11</f>
        <v>0</v>
      </c>
      <c r="J8" s="20">
        <f>-Calculations!AV11</f>
        <v>0</v>
      </c>
      <c r="K8" s="20">
        <f>-Calculations!AW11</f>
        <v>0</v>
      </c>
      <c r="L8" s="20">
        <f>-Calculations!AX11</f>
        <v>0</v>
      </c>
      <c r="M8" s="20">
        <f>-Calculations!AY11</f>
        <v>0</v>
      </c>
      <c r="N8" s="20">
        <f>-Calculations!AZ11</f>
        <v>0</v>
      </c>
      <c r="O8" s="20">
        <f>-Calculations!BA11</f>
        <v>0</v>
      </c>
      <c r="P8" s="20">
        <f>-Calculations!BB11</f>
        <v>0</v>
      </c>
      <c r="Q8" s="20">
        <f>-Calculations!BC11</f>
        <v>6216955.0899999999</v>
      </c>
      <c r="R8" s="20">
        <f>-Calculations!BD11</f>
        <v>110789.52</v>
      </c>
      <c r="S8" s="20">
        <f>-Calculations!BE11</f>
        <v>0</v>
      </c>
      <c r="T8" s="20">
        <f>-Calculations!BF11</f>
        <v>181184.54</v>
      </c>
      <c r="U8" s="20">
        <f>-Calculations!BG11</f>
        <v>-3824.9</v>
      </c>
      <c r="V8" s="20">
        <f>-Calculations!BH11</f>
        <v>0</v>
      </c>
      <c r="W8" s="20">
        <f>-Calculations!BI11</f>
        <v>0</v>
      </c>
      <c r="X8" s="20">
        <f>-Calculations!BJ11</f>
        <v>20142.810000000001</v>
      </c>
      <c r="Y8" s="20">
        <f>-Calculations!BK11</f>
        <v>201.04</v>
      </c>
      <c r="Z8" s="20">
        <f>-Calculations!BL11</f>
        <v>0</v>
      </c>
      <c r="AA8" s="20">
        <f>-Calculations!BM11</f>
        <v>-36884.82</v>
      </c>
      <c r="AB8" s="20">
        <f>-Calculations!BN11</f>
        <v>-122287</v>
      </c>
      <c r="AC8" s="20">
        <f>-Calculations!BO11</f>
        <v>0</v>
      </c>
      <c r="AD8" s="20">
        <f>-Calculations!BP11</f>
        <v>0</v>
      </c>
      <c r="AE8" s="20">
        <f>-Calculations!BQ11</f>
        <v>0</v>
      </c>
      <c r="AF8" s="20">
        <f>-Calculations!BR11</f>
        <v>0</v>
      </c>
      <c r="AG8" s="20">
        <f>-Calculations!BS11</f>
        <v>0</v>
      </c>
    </row>
    <row r="9" spans="1:71">
      <c r="A9" s="69">
        <f t="shared" si="8"/>
        <v>5</v>
      </c>
      <c r="B9" s="10" t="s">
        <v>330</v>
      </c>
      <c r="C9" s="215" t="s">
        <v>343</v>
      </c>
      <c r="D9" s="20"/>
      <c r="E9" s="20"/>
      <c r="F9" s="20"/>
      <c r="G9" s="20">
        <f>-Calculations!AS12</f>
        <v>0</v>
      </c>
      <c r="H9" s="20">
        <f>-Calculations!AT12</f>
        <v>0</v>
      </c>
      <c r="I9" s="20">
        <f>-Calculations!AU12</f>
        <v>0</v>
      </c>
      <c r="J9" s="20">
        <f>-Calculations!AV12</f>
        <v>0</v>
      </c>
      <c r="K9" s="20">
        <f>-Calculations!AW12</f>
        <v>0</v>
      </c>
      <c r="L9" s="20">
        <f>-Calculations!AX12</f>
        <v>0</v>
      </c>
      <c r="M9" s="20">
        <f>-Calculations!AY12</f>
        <v>0</v>
      </c>
      <c r="N9" s="20">
        <f>-Calculations!AZ12</f>
        <v>0</v>
      </c>
      <c r="O9" s="20">
        <f>-Calculations!BA12</f>
        <v>0</v>
      </c>
      <c r="P9" s="20">
        <f>-Calculations!BB12</f>
        <v>0</v>
      </c>
      <c r="Q9" s="20">
        <f>-Calculations!BC12</f>
        <v>0</v>
      </c>
      <c r="R9" s="20">
        <f>-Calculations!BD12</f>
        <v>0</v>
      </c>
      <c r="S9" s="20">
        <f>-Calculations!BE12</f>
        <v>0</v>
      </c>
      <c r="T9" s="20">
        <f>-Calculations!BF12</f>
        <v>0</v>
      </c>
      <c r="U9" s="20">
        <f>-Calculations!BG12</f>
        <v>173142.5</v>
      </c>
      <c r="V9" s="20">
        <f>-Calculations!BH12</f>
        <v>0</v>
      </c>
      <c r="W9" s="20">
        <f>-Calculations!BI12</f>
        <v>0</v>
      </c>
      <c r="X9" s="20">
        <f>-Calculations!BJ12</f>
        <v>869.8</v>
      </c>
      <c r="Y9" s="20">
        <f>-Calculations!BK12</f>
        <v>902.04</v>
      </c>
      <c r="Z9" s="20">
        <f>-Calculations!BL12</f>
        <v>0</v>
      </c>
      <c r="AA9" s="20">
        <f>-Calculations!BM12</f>
        <v>0</v>
      </c>
      <c r="AB9" s="20">
        <f>-Calculations!BN12</f>
        <v>174914.34</v>
      </c>
      <c r="AC9" s="20">
        <f>-Calculations!BO12</f>
        <v>0</v>
      </c>
      <c r="AD9" s="20">
        <f>-Calculations!BP12</f>
        <v>0</v>
      </c>
      <c r="AE9" s="20">
        <f>-Calculations!BQ12</f>
        <v>0</v>
      </c>
      <c r="AF9" s="20">
        <f>-Calculations!BR12</f>
        <v>0</v>
      </c>
      <c r="AG9" s="20">
        <f>-Calculations!BS12</f>
        <v>0</v>
      </c>
    </row>
    <row r="10" spans="1:71">
      <c r="A10" s="69">
        <f t="shared" si="8"/>
        <v>6</v>
      </c>
      <c r="B10" s="10" t="s">
        <v>332</v>
      </c>
      <c r="C10" s="215" t="s">
        <v>344</v>
      </c>
      <c r="D10" s="20"/>
      <c r="E10" s="20"/>
      <c r="F10" s="20"/>
      <c r="G10" s="20">
        <f>-Calculations!AS13</f>
        <v>0</v>
      </c>
      <c r="H10" s="20">
        <f>-Calculations!AT13</f>
        <v>0</v>
      </c>
      <c r="I10" s="20">
        <f>-Calculations!AU13</f>
        <v>0</v>
      </c>
      <c r="J10" s="20">
        <f>-Calculations!AV13</f>
        <v>0</v>
      </c>
      <c r="K10" s="20">
        <f>-Calculations!AW13</f>
        <v>0</v>
      </c>
      <c r="L10" s="20">
        <f>-Calculations!AX13</f>
        <v>0</v>
      </c>
      <c r="M10" s="20">
        <f>-Calculations!AY13</f>
        <v>0</v>
      </c>
      <c r="N10" s="20">
        <f>-Calculations!AZ13</f>
        <v>0</v>
      </c>
      <c r="O10" s="20">
        <f>-Calculations!BA13</f>
        <v>0</v>
      </c>
      <c r="P10" s="20">
        <f>-Calculations!BB13</f>
        <v>0</v>
      </c>
      <c r="Q10" s="20">
        <f>-Calculations!BC13</f>
        <v>0</v>
      </c>
      <c r="R10" s="20">
        <f>-Calculations!BD13</f>
        <v>0</v>
      </c>
      <c r="S10" s="20">
        <f>-Calculations!BE13</f>
        <v>0</v>
      </c>
      <c r="T10" s="20">
        <f>-Calculations!BF13</f>
        <v>0</v>
      </c>
      <c r="U10" s="20">
        <f>-Calculations!BG13</f>
        <v>136901.19</v>
      </c>
      <c r="V10" s="20">
        <f>-Calculations!BH13</f>
        <v>0</v>
      </c>
      <c r="W10" s="20">
        <f>-Calculations!BI13</f>
        <v>0</v>
      </c>
      <c r="X10" s="20">
        <f>-Calculations!BJ13</f>
        <v>133.83000000000001</v>
      </c>
      <c r="Y10" s="20">
        <f>-Calculations!BK13</f>
        <v>726.99</v>
      </c>
      <c r="Z10" s="20">
        <f>-Calculations!BL13</f>
        <v>0</v>
      </c>
      <c r="AA10" s="20">
        <f>-Calculations!BM13</f>
        <v>0</v>
      </c>
      <c r="AB10" s="20">
        <f>-Calculations!BN13</f>
        <v>0</v>
      </c>
      <c r="AC10" s="20">
        <f>-Calculations!BO13</f>
        <v>0</v>
      </c>
      <c r="AD10" s="20">
        <f>-Calculations!BP13</f>
        <v>0</v>
      </c>
      <c r="AE10" s="20">
        <f>-Calculations!BQ13</f>
        <v>0</v>
      </c>
      <c r="AF10" s="20">
        <f>-Calculations!BR13</f>
        <v>0</v>
      </c>
      <c r="AG10" s="20">
        <f>-Calculations!BS13</f>
        <v>0</v>
      </c>
    </row>
    <row r="11" spans="1:71">
      <c r="A11" s="69">
        <f t="shared" si="8"/>
        <v>7</v>
      </c>
      <c r="B11" s="10" t="s">
        <v>305</v>
      </c>
      <c r="C11" s="215" t="s">
        <v>315</v>
      </c>
      <c r="D11" s="20"/>
      <c r="E11" s="20"/>
      <c r="F11" s="20"/>
      <c r="G11" s="20">
        <f>-Calculations!AS14</f>
        <v>0</v>
      </c>
      <c r="H11" s="20">
        <f>-Calculations!AT14</f>
        <v>0</v>
      </c>
      <c r="I11" s="20">
        <f>-Calculations!AU14</f>
        <v>0</v>
      </c>
      <c r="J11" s="20">
        <f>-Calculations!AV14</f>
        <v>0</v>
      </c>
      <c r="K11" s="20">
        <f>-Calculations!AW14</f>
        <v>0</v>
      </c>
      <c r="L11" s="20">
        <f>-Calculations!AX14</f>
        <v>0</v>
      </c>
      <c r="M11" s="20">
        <f>-Calculations!AY14</f>
        <v>0</v>
      </c>
      <c r="N11" s="20">
        <f>-Calculations!AZ14</f>
        <v>0</v>
      </c>
      <c r="O11" s="20">
        <f>-Calculations!BA14</f>
        <v>0</v>
      </c>
      <c r="P11" s="20">
        <f>-Calculations!BB14</f>
        <v>0</v>
      </c>
      <c r="Q11" s="20">
        <f>-Calculations!BC14</f>
        <v>0</v>
      </c>
      <c r="R11" s="20">
        <f>-Calculations!BD14</f>
        <v>0</v>
      </c>
      <c r="S11" s="20">
        <f>-Calculations!BE14</f>
        <v>0</v>
      </c>
      <c r="T11" s="20">
        <f>-Calculations!BF14</f>
        <v>249499.37</v>
      </c>
      <c r="U11" s="20">
        <f>-Calculations!BG14</f>
        <v>0</v>
      </c>
      <c r="V11" s="20">
        <f>-Calculations!BH14</f>
        <v>0</v>
      </c>
      <c r="W11" s="20">
        <f>-Calculations!BI14</f>
        <v>0</v>
      </c>
      <c r="X11" s="20">
        <f>-Calculations!BJ14</f>
        <v>-2280</v>
      </c>
      <c r="Y11" s="20">
        <f>-Calculations!BK14</f>
        <v>0</v>
      </c>
      <c r="Z11" s="20">
        <f>-Calculations!BL14</f>
        <v>0</v>
      </c>
      <c r="AA11" s="20">
        <f>-Calculations!BM14</f>
        <v>0</v>
      </c>
      <c r="AB11" s="20">
        <f>-Calculations!BN14</f>
        <v>-2280</v>
      </c>
      <c r="AC11" s="20">
        <f>-Calculations!BO14</f>
        <v>0</v>
      </c>
      <c r="AD11" s="20">
        <f>-Calculations!BP14</f>
        <v>0</v>
      </c>
      <c r="AE11" s="20">
        <f>-Calculations!BQ14</f>
        <v>0</v>
      </c>
      <c r="AF11" s="20">
        <f>-Calculations!BR14</f>
        <v>0</v>
      </c>
      <c r="AG11" s="20">
        <f>-Calculations!BS14</f>
        <v>0</v>
      </c>
    </row>
    <row r="12" spans="1:71">
      <c r="A12" s="69">
        <f t="shared" si="8"/>
        <v>8</v>
      </c>
      <c r="B12" s="10" t="s">
        <v>58</v>
      </c>
      <c r="C12" s="215" t="s">
        <v>314</v>
      </c>
      <c r="D12" s="20"/>
      <c r="E12" s="20"/>
      <c r="F12" s="20"/>
      <c r="G12" s="20">
        <f>-Calculations!AS15</f>
        <v>0</v>
      </c>
      <c r="H12" s="20">
        <f>-Calculations!AT15</f>
        <v>0</v>
      </c>
      <c r="I12" s="20">
        <f>-Calculations!AU15</f>
        <v>0</v>
      </c>
      <c r="J12" s="20">
        <f>-Calculations!AV15</f>
        <v>0</v>
      </c>
      <c r="K12" s="20">
        <f>-Calculations!AW15</f>
        <v>0</v>
      </c>
      <c r="L12" s="20">
        <f>-Calculations!AX15</f>
        <v>0</v>
      </c>
      <c r="M12" s="20">
        <f>-Calculations!AY15</f>
        <v>0</v>
      </c>
      <c r="N12" s="20">
        <f>-Calculations!AZ15</f>
        <v>0</v>
      </c>
      <c r="O12" s="20">
        <f>-Calculations!BA15</f>
        <v>0</v>
      </c>
      <c r="P12" s="20">
        <f>-Calculations!BB15</f>
        <v>0</v>
      </c>
      <c r="Q12" s="20">
        <f>-Calculations!BC15</f>
        <v>18991053.130000003</v>
      </c>
      <c r="R12" s="20">
        <f>-Calculations!BD15</f>
        <v>288904.96999999997</v>
      </c>
      <c r="S12" s="20">
        <f>-Calculations!BE15</f>
        <v>0</v>
      </c>
      <c r="T12" s="20">
        <f>-Calculations!BF15</f>
        <v>449392.73</v>
      </c>
      <c r="U12" s="20">
        <f>-Calculations!BG15</f>
        <v>12135.93</v>
      </c>
      <c r="V12" s="20">
        <f>-Calculations!BH15</f>
        <v>0</v>
      </c>
      <c r="W12" s="20">
        <f>-Calculations!BI15</f>
        <v>0</v>
      </c>
      <c r="X12" s="20">
        <f>-Calculations!BJ15</f>
        <v>16810.830000000002</v>
      </c>
      <c r="Y12" s="20">
        <f>-Calculations!BK15</f>
        <v>-83.28</v>
      </c>
      <c r="Z12" s="20">
        <f>-Calculations!BL15</f>
        <v>5790.37</v>
      </c>
      <c r="AA12" s="20">
        <f>-Calculations!BM15</f>
        <v>-203351.26</v>
      </c>
      <c r="AB12" s="20">
        <f>-Calculations!BN15</f>
        <v>-168697.41</v>
      </c>
      <c r="AC12" s="20">
        <f>-Calculations!BO15</f>
        <v>0</v>
      </c>
      <c r="AD12" s="20">
        <f>-Calculations!BP15</f>
        <v>0</v>
      </c>
      <c r="AE12" s="20">
        <f>-Calculations!BQ15</f>
        <v>0</v>
      </c>
      <c r="AF12" s="20">
        <f>-Calculations!BR15</f>
        <v>0</v>
      </c>
      <c r="AG12" s="20">
        <f>-Calculations!BS15</f>
        <v>0</v>
      </c>
    </row>
    <row r="13" spans="1:71">
      <c r="A13" s="69">
        <f t="shared" si="8"/>
        <v>9</v>
      </c>
      <c r="B13" s="10" t="s">
        <v>59</v>
      </c>
      <c r="C13" s="2" t="s">
        <v>142</v>
      </c>
      <c r="D13" s="20"/>
      <c r="E13" s="20"/>
      <c r="F13" s="20"/>
      <c r="G13" s="20">
        <f>-Calculations!AS16</f>
        <v>0</v>
      </c>
      <c r="H13" s="20">
        <f>-Calculations!AT16</f>
        <v>0</v>
      </c>
      <c r="I13" s="20">
        <f>-Calculations!AU16</f>
        <v>0</v>
      </c>
      <c r="J13" s="20">
        <f>-Calculations!AV16</f>
        <v>0</v>
      </c>
      <c r="K13" s="20">
        <f>-Calculations!AW16</f>
        <v>0</v>
      </c>
      <c r="L13" s="20">
        <f>-Calculations!AX16</f>
        <v>0</v>
      </c>
      <c r="M13" s="20">
        <f>-Calculations!AY16</f>
        <v>0</v>
      </c>
      <c r="N13" s="20">
        <f>-Calculations!AZ16</f>
        <v>0</v>
      </c>
      <c r="O13" s="20">
        <f>-Calculations!BA16</f>
        <v>0</v>
      </c>
      <c r="P13" s="20">
        <f>-Calculations!BB16</f>
        <v>0</v>
      </c>
      <c r="Q13" s="20">
        <f>-Calculations!BC16</f>
        <v>5448678.0799999991</v>
      </c>
      <c r="R13" s="20">
        <f>-Calculations!BD16</f>
        <v>136756.13</v>
      </c>
      <c r="S13" s="20">
        <f>-Calculations!BE16</f>
        <v>0</v>
      </c>
      <c r="T13" s="20">
        <f>-Calculations!BF16</f>
        <v>284646.34000000003</v>
      </c>
      <c r="U13" s="20">
        <f>-Calculations!BG16</f>
        <v>0</v>
      </c>
      <c r="V13" s="20">
        <f>-Calculations!BH16</f>
        <v>0</v>
      </c>
      <c r="W13" s="20">
        <f>-Calculations!BI16</f>
        <v>0</v>
      </c>
      <c r="X13" s="20">
        <f>-Calculations!BJ16</f>
        <v>123959.44</v>
      </c>
      <c r="Y13" s="20">
        <f>-Calculations!BK16</f>
        <v>-18919.21</v>
      </c>
      <c r="Z13" s="20">
        <f>-Calculations!BL16</f>
        <v>17880.61</v>
      </c>
      <c r="AA13" s="20">
        <f>-Calculations!BM16</f>
        <v>-77304.179999999993</v>
      </c>
      <c r="AB13" s="20">
        <f>-Calculations!BN16</f>
        <v>60169.08</v>
      </c>
      <c r="AC13" s="20">
        <f>-Calculations!BO16</f>
        <v>0</v>
      </c>
      <c r="AD13" s="20">
        <f>-Calculations!BP16</f>
        <v>0</v>
      </c>
      <c r="AE13" s="20">
        <f>-Calculations!BQ16</f>
        <v>0</v>
      </c>
      <c r="AF13" s="20">
        <f>-Calculations!BR16</f>
        <v>0</v>
      </c>
      <c r="AG13" s="20">
        <f>-Calculations!BS16</f>
        <v>0</v>
      </c>
    </row>
    <row r="14" spans="1:71" s="5" customFormat="1">
      <c r="A14" s="238">
        <f t="shared" si="8"/>
        <v>10</v>
      </c>
      <c r="B14" s="70" t="s">
        <v>306</v>
      </c>
      <c r="C14" s="234" t="s">
        <v>313</v>
      </c>
      <c r="D14" s="216"/>
      <c r="E14" s="216"/>
      <c r="F14" s="216"/>
      <c r="G14" s="216">
        <f>-Calculations!AS17</f>
        <v>0</v>
      </c>
      <c r="H14" s="216">
        <f>-Calculations!AT17</f>
        <v>0</v>
      </c>
      <c r="I14" s="216">
        <f>-Calculations!AU17</f>
        <v>0</v>
      </c>
      <c r="J14" s="216">
        <f>-Calculations!AV17</f>
        <v>0</v>
      </c>
      <c r="K14" s="216">
        <f>-Calculations!AW17</f>
        <v>0</v>
      </c>
      <c r="L14" s="216">
        <f>-Calculations!AX17</f>
        <v>167105.60000000001</v>
      </c>
      <c r="M14" s="216">
        <f>-Calculations!AY17</f>
        <v>4507.22</v>
      </c>
      <c r="N14" s="216">
        <f>-Calculations!AZ17</f>
        <v>0</v>
      </c>
      <c r="O14" s="216">
        <f>-Calculations!BA17</f>
        <v>-85401.47</v>
      </c>
      <c r="P14" s="216">
        <f>-Calculations!BB17</f>
        <v>85401.47</v>
      </c>
      <c r="Q14" s="216">
        <f>-Calculations!BC17</f>
        <v>0</v>
      </c>
      <c r="R14" s="216">
        <f>-Calculations!BD17</f>
        <v>0</v>
      </c>
      <c r="S14" s="216">
        <f>-Calculations!BE17</f>
        <v>0</v>
      </c>
      <c r="T14" s="216">
        <f>-Calculations!BF17</f>
        <v>0</v>
      </c>
      <c r="U14" s="216">
        <f>-Calculations!BG17</f>
        <v>0</v>
      </c>
      <c r="V14" s="216">
        <f>-Calculations!BH17</f>
        <v>0</v>
      </c>
      <c r="W14" s="216">
        <f>-Calculations!BI17</f>
        <v>0</v>
      </c>
      <c r="X14" s="216">
        <f>-Calculations!BJ17</f>
        <v>0</v>
      </c>
      <c r="Y14" s="216">
        <f>-Calculations!BK17</f>
        <v>-6460.5</v>
      </c>
      <c r="Z14" s="216">
        <f>-Calculations!BL17</f>
        <v>0</v>
      </c>
      <c r="AA14" s="216">
        <f>-Calculations!BM17</f>
        <v>224.13</v>
      </c>
      <c r="AB14" s="20">
        <f>-Calculations!BN17</f>
        <v>-6236.37</v>
      </c>
      <c r="AC14" s="20">
        <f>-Calculations!BO17</f>
        <v>0</v>
      </c>
      <c r="AD14" s="20">
        <f>-Calculations!BP17</f>
        <v>0</v>
      </c>
      <c r="AE14" s="20">
        <f>-Calculations!BQ17</f>
        <v>0</v>
      </c>
      <c r="AF14" s="20">
        <f>-Calculations!BR17</f>
        <v>0</v>
      </c>
      <c r="AG14" s="20">
        <f>-Calculations!BS17</f>
        <v>0</v>
      </c>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row>
    <row r="15" spans="1:71" s="5" customFormat="1">
      <c r="A15" s="238">
        <f t="shared" si="8"/>
        <v>11</v>
      </c>
      <c r="B15" s="70" t="s">
        <v>364</v>
      </c>
      <c r="C15" s="234" t="s">
        <v>369</v>
      </c>
      <c r="D15" s="216"/>
      <c r="E15" s="216"/>
      <c r="F15" s="216"/>
      <c r="G15" s="216">
        <f>-Calculations!AS18</f>
        <v>0</v>
      </c>
      <c r="H15" s="216">
        <f>-Calculations!AT18</f>
        <v>0</v>
      </c>
      <c r="I15" s="216">
        <f>-Calculations!AU18</f>
        <v>0</v>
      </c>
      <c r="J15" s="216">
        <f>-Calculations!AV18</f>
        <v>0</v>
      </c>
      <c r="K15" s="216">
        <f>-Calculations!AW18</f>
        <v>0</v>
      </c>
      <c r="L15" s="216">
        <f>-Calculations!AX18</f>
        <v>0</v>
      </c>
      <c r="M15" s="216">
        <f>-Calculations!AY18</f>
        <v>0</v>
      </c>
      <c r="N15" s="216">
        <f>-Calculations!AZ18</f>
        <v>0</v>
      </c>
      <c r="O15" s="216">
        <f>-Calculations!BA18</f>
        <v>0</v>
      </c>
      <c r="P15" s="216">
        <f>-Calculations!BB18</f>
        <v>0</v>
      </c>
      <c r="Q15" s="216">
        <f>-Calculations!BC18</f>
        <v>0</v>
      </c>
      <c r="R15" s="216">
        <f>-Calculations!BD18</f>
        <v>0</v>
      </c>
      <c r="S15" s="216">
        <f>-Calculations!BE18</f>
        <v>0</v>
      </c>
      <c r="T15" s="216">
        <f>-Calculations!BF18</f>
        <v>0</v>
      </c>
      <c r="U15" s="216">
        <f>-Calculations!BG18</f>
        <v>92429.05</v>
      </c>
      <c r="V15" s="216">
        <f>-Calculations!BH18</f>
        <v>0</v>
      </c>
      <c r="W15" s="216">
        <f>-Calculations!BI18</f>
        <v>0</v>
      </c>
      <c r="X15" s="216">
        <f>-Calculations!BJ18</f>
        <v>358.61</v>
      </c>
      <c r="Y15" s="216">
        <f>-Calculations!BK18</f>
        <v>1539.94</v>
      </c>
      <c r="Z15" s="216">
        <f>-Calculations!BL18</f>
        <v>0</v>
      </c>
      <c r="AA15" s="216">
        <f>-Calculations!BM18</f>
        <v>0</v>
      </c>
      <c r="AB15" s="20">
        <f>-Calculations!BN18</f>
        <v>0</v>
      </c>
      <c r="AC15" s="20">
        <f>-Calculations!BO18</f>
        <v>0</v>
      </c>
      <c r="AD15" s="20">
        <f>-Calculations!BP18</f>
        <v>0</v>
      </c>
      <c r="AE15" s="20">
        <f>-Calculations!BQ18</f>
        <v>0</v>
      </c>
      <c r="AF15" s="20">
        <f>-Calculations!BR18</f>
        <v>0</v>
      </c>
      <c r="AG15" s="20">
        <f>-Calculations!BS18</f>
        <v>0</v>
      </c>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row>
    <row r="16" spans="1:71" s="5" customFormat="1">
      <c r="A16" s="238">
        <f t="shared" si="8"/>
        <v>12</v>
      </c>
      <c r="B16" s="70" t="s">
        <v>60</v>
      </c>
      <c r="C16" s="235" t="s">
        <v>143</v>
      </c>
      <c r="D16" s="216"/>
      <c r="E16" s="216"/>
      <c r="F16" s="216"/>
      <c r="G16" s="216">
        <f>-Calculations!AS19</f>
        <v>0</v>
      </c>
      <c r="H16" s="216">
        <f>-Calculations!AT19</f>
        <v>0</v>
      </c>
      <c r="I16" s="216">
        <f>-Calculations!AU19</f>
        <v>0</v>
      </c>
      <c r="J16" s="216">
        <f>-Calculations!AV19</f>
        <v>0</v>
      </c>
      <c r="K16" s="216">
        <f>-Calculations!AW19</f>
        <v>0</v>
      </c>
      <c r="L16" s="216">
        <f>-Calculations!AX19</f>
        <v>0</v>
      </c>
      <c r="M16" s="216">
        <f>-Calculations!AY19</f>
        <v>0</v>
      </c>
      <c r="N16" s="216">
        <f>-Calculations!AZ19</f>
        <v>0</v>
      </c>
      <c r="O16" s="216">
        <f>-Calculations!BA19</f>
        <v>0</v>
      </c>
      <c r="P16" s="216">
        <f>-Calculations!BB19</f>
        <v>0</v>
      </c>
      <c r="Q16" s="216">
        <f>-Calculations!BC19</f>
        <v>116112.02</v>
      </c>
      <c r="R16" s="216">
        <f>-Calculations!BD19</f>
        <v>0</v>
      </c>
      <c r="S16" s="216">
        <f>-Calculations!BE19</f>
        <v>0</v>
      </c>
      <c r="T16" s="216">
        <f>-Calculations!BF19</f>
        <v>0</v>
      </c>
      <c r="U16" s="216">
        <f>-Calculations!BG19</f>
        <v>0</v>
      </c>
      <c r="V16" s="216">
        <f>-Calculations!BH19</f>
        <v>0</v>
      </c>
      <c r="W16" s="216">
        <f>-Calculations!BI19</f>
        <v>0</v>
      </c>
      <c r="X16" s="216">
        <f>-Calculations!BJ19</f>
        <v>0</v>
      </c>
      <c r="Y16" s="216">
        <f>-Calculations!BK19</f>
        <v>15868.53</v>
      </c>
      <c r="Z16" s="216">
        <f>-Calculations!BL19</f>
        <v>0</v>
      </c>
      <c r="AA16" s="216">
        <f>-Calculations!BM19</f>
        <v>0</v>
      </c>
      <c r="AB16" s="20">
        <f>-Calculations!BN19</f>
        <v>15868.55</v>
      </c>
      <c r="AC16" s="20">
        <f>-Calculations!BO19</f>
        <v>0</v>
      </c>
      <c r="AD16" s="20">
        <f>-Calculations!BP19</f>
        <v>0</v>
      </c>
      <c r="AE16" s="20">
        <f>-Calculations!BQ19</f>
        <v>0</v>
      </c>
      <c r="AF16" s="20">
        <f>-Calculations!BR19</f>
        <v>0</v>
      </c>
      <c r="AG16" s="20">
        <f>-Calculations!BS19</f>
        <v>0</v>
      </c>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row>
    <row r="17" spans="1:71" s="5" customFormat="1">
      <c r="A17" s="238">
        <f t="shared" si="8"/>
        <v>13</v>
      </c>
      <c r="B17" s="5" t="s">
        <v>61</v>
      </c>
      <c r="C17" s="5" t="s">
        <v>316</v>
      </c>
      <c r="D17" s="216"/>
      <c r="E17" s="216"/>
      <c r="F17" s="216"/>
      <c r="G17" s="216">
        <f>-Calculations!AS20</f>
        <v>0</v>
      </c>
      <c r="H17" s="216">
        <f>-Calculations!AT20</f>
        <v>0</v>
      </c>
      <c r="I17" s="216">
        <f>-Calculations!AU20</f>
        <v>0</v>
      </c>
      <c r="J17" s="216">
        <f>-Calculations!AV20</f>
        <v>0</v>
      </c>
      <c r="K17" s="216">
        <f>-Calculations!AW20</f>
        <v>0</v>
      </c>
      <c r="L17" s="216">
        <f>-Calculations!AX20</f>
        <v>0</v>
      </c>
      <c r="M17" s="216">
        <f>-Calculations!AY20</f>
        <v>0</v>
      </c>
      <c r="N17" s="216">
        <f>-Calculations!AZ20</f>
        <v>0</v>
      </c>
      <c r="O17" s="216">
        <f>-Calculations!BA20</f>
        <v>0</v>
      </c>
      <c r="P17" s="216">
        <f>-Calculations!BB20</f>
        <v>2379563.4500000002</v>
      </c>
      <c r="Q17" s="216">
        <f>-Calculations!BC20</f>
        <v>120467.54999999999</v>
      </c>
      <c r="R17" s="216">
        <f>-Calculations!BD20</f>
        <v>90949.73</v>
      </c>
      <c r="S17" s="216">
        <f>-Calculations!BE20</f>
        <v>-90949.73</v>
      </c>
      <c r="T17" s="216">
        <f>-Calculations!BF20</f>
        <v>16336.9</v>
      </c>
      <c r="U17" s="216">
        <f>-Calculations!BG20</f>
        <v>361.45</v>
      </c>
      <c r="V17" s="216">
        <f>-Calculations!BH20</f>
        <v>0</v>
      </c>
      <c r="W17" s="216">
        <f>-Calculations!BI20</f>
        <v>0</v>
      </c>
      <c r="X17" s="216">
        <f>-Calculations!BJ20</f>
        <v>14776.86</v>
      </c>
      <c r="Y17" s="216">
        <f>-Calculations!BK20</f>
        <v>331.5</v>
      </c>
      <c r="Z17" s="216">
        <f>-Calculations!BL20</f>
        <v>0</v>
      </c>
      <c r="AA17" s="216">
        <f>-Calculations!BM20</f>
        <v>-28134.34</v>
      </c>
      <c r="AB17" s="20">
        <f>-Calculations!BN20</f>
        <v>-12664.53</v>
      </c>
      <c r="AC17" s="20">
        <f>-Calculations!BO20</f>
        <v>0</v>
      </c>
      <c r="AD17" s="20">
        <f>-Calculations!BP20</f>
        <v>0</v>
      </c>
      <c r="AE17" s="20">
        <f>-Calculations!BQ20</f>
        <v>0</v>
      </c>
      <c r="AF17" s="20">
        <f>-Calculations!BR20</f>
        <v>0</v>
      </c>
      <c r="AG17" s="20">
        <f>-Calculations!BS20</f>
        <v>0</v>
      </c>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row>
    <row r="18" spans="1:71" s="5" customFormat="1">
      <c r="A18" s="238">
        <f t="shared" si="8"/>
        <v>14</v>
      </c>
      <c r="B18" s="70" t="s">
        <v>308</v>
      </c>
      <c r="C18" s="5" t="s">
        <v>310</v>
      </c>
      <c r="D18" s="216"/>
      <c r="E18" s="216"/>
      <c r="F18" s="216"/>
      <c r="G18" s="216">
        <f>-Calculations!AS21</f>
        <v>0</v>
      </c>
      <c r="H18" s="216">
        <f>-Calculations!AT21</f>
        <v>0</v>
      </c>
      <c r="I18" s="216">
        <f>-Calculations!AU21</f>
        <v>0</v>
      </c>
      <c r="J18" s="216">
        <f>-Calculations!AV21</f>
        <v>0</v>
      </c>
      <c r="K18" s="216">
        <f>-Calculations!AW21</f>
        <v>0</v>
      </c>
      <c r="L18" s="216">
        <f>-Calculations!AX21</f>
        <v>0</v>
      </c>
      <c r="M18" s="216">
        <f>-Calculations!AY21</f>
        <v>0</v>
      </c>
      <c r="N18" s="216">
        <f>-Calculations!AZ21</f>
        <v>0</v>
      </c>
      <c r="O18" s="216">
        <f>-Calculations!BA21</f>
        <v>0</v>
      </c>
      <c r="P18" s="216">
        <f>-Calculations!BB21</f>
        <v>0</v>
      </c>
      <c r="Q18" s="216">
        <f>-Calculations!BC21</f>
        <v>0</v>
      </c>
      <c r="R18" s="216">
        <f>-Calculations!BD21</f>
        <v>0</v>
      </c>
      <c r="S18" s="216">
        <f>-Calculations!BE21</f>
        <v>0</v>
      </c>
      <c r="T18" s="216">
        <f>-Calculations!BF21</f>
        <v>153478.67000000001</v>
      </c>
      <c r="U18" s="216">
        <f>-Calculations!BG21</f>
        <v>2788.71</v>
      </c>
      <c r="V18" s="216">
        <f>-Calculations!BH21</f>
        <v>0</v>
      </c>
      <c r="W18" s="216">
        <f>-Calculations!BI21</f>
        <v>0</v>
      </c>
      <c r="X18" s="216">
        <f>-Calculations!BJ21</f>
        <v>0</v>
      </c>
      <c r="Y18" s="216">
        <f>-Calculations!BK21</f>
        <v>0</v>
      </c>
      <c r="Z18" s="216">
        <f>-Calculations!BL21</f>
        <v>0</v>
      </c>
      <c r="AA18" s="216">
        <f>-Calculations!BM21</f>
        <v>0</v>
      </c>
      <c r="AB18" s="20">
        <f>-Calculations!BN21</f>
        <v>2788.71</v>
      </c>
      <c r="AC18" s="20">
        <f>-Calculations!BO21</f>
        <v>0</v>
      </c>
      <c r="AD18" s="20">
        <f>-Calculations!BP21</f>
        <v>0</v>
      </c>
      <c r="AE18" s="20">
        <f>-Calculations!BQ21</f>
        <v>0</v>
      </c>
      <c r="AF18" s="20">
        <f>-Calculations!BR21</f>
        <v>0</v>
      </c>
      <c r="AG18" s="20">
        <f>-Calculations!BS21</f>
        <v>0</v>
      </c>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row>
    <row r="19" spans="1:71" s="5" customFormat="1">
      <c r="A19" s="238">
        <f t="shared" si="8"/>
        <v>15</v>
      </c>
      <c r="B19" s="70" t="s">
        <v>311</v>
      </c>
      <c r="C19" s="5" t="s">
        <v>312</v>
      </c>
      <c r="D19" s="216"/>
      <c r="E19" s="216"/>
      <c r="F19" s="216"/>
      <c r="G19" s="216">
        <f>-Calculations!AS22</f>
        <v>0</v>
      </c>
      <c r="H19" s="216">
        <f>-Calculations!AT22</f>
        <v>0</v>
      </c>
      <c r="I19" s="216">
        <f>-Calculations!AU22</f>
        <v>0</v>
      </c>
      <c r="J19" s="216">
        <f>-Calculations!AV22</f>
        <v>0</v>
      </c>
      <c r="K19" s="216">
        <f>-Calculations!AW22</f>
        <v>0</v>
      </c>
      <c r="L19" s="216">
        <f>-Calculations!AX22</f>
        <v>0</v>
      </c>
      <c r="M19" s="216">
        <f>-Calculations!AY22</f>
        <v>0</v>
      </c>
      <c r="N19" s="216">
        <f>-Calculations!AZ22</f>
        <v>0</v>
      </c>
      <c r="O19" s="216">
        <f>-Calculations!BA22</f>
        <v>0</v>
      </c>
      <c r="P19" s="216">
        <f>-Calculations!BB22</f>
        <v>0</v>
      </c>
      <c r="Q19" s="216">
        <f>-Calculations!BC22</f>
        <v>0</v>
      </c>
      <c r="R19" s="216">
        <f>-Calculations!BD22</f>
        <v>0</v>
      </c>
      <c r="S19" s="216">
        <f>-Calculations!BE22</f>
        <v>0</v>
      </c>
      <c r="T19" s="216">
        <f>-Calculations!BF22</f>
        <v>0</v>
      </c>
      <c r="U19" s="216">
        <f>-Calculations!BG22</f>
        <v>20459885.140000001</v>
      </c>
      <c r="V19" s="216">
        <f>-Calculations!BH22</f>
        <v>0</v>
      </c>
      <c r="W19" s="216">
        <f>-Calculations!BI22</f>
        <v>0</v>
      </c>
      <c r="X19" s="216">
        <f>-Calculations!BJ22</f>
        <v>0</v>
      </c>
      <c r="Y19" s="216">
        <f>-Calculations!BK22</f>
        <v>0</v>
      </c>
      <c r="Z19" s="216">
        <f>-Calculations!BL22</f>
        <v>0</v>
      </c>
      <c r="AA19" s="216">
        <f>-Calculations!BM22</f>
        <v>0</v>
      </c>
      <c r="AB19" s="20">
        <f>-Calculations!BN22</f>
        <v>11929083.49</v>
      </c>
      <c r="AC19" s="20">
        <f>-Calculations!BO22</f>
        <v>0</v>
      </c>
      <c r="AD19" s="20">
        <f>-Calculations!BP22</f>
        <v>0</v>
      </c>
      <c r="AE19" s="20">
        <f>-Calculations!BQ22</f>
        <v>0</v>
      </c>
      <c r="AF19" s="20">
        <f>-Calculations!BR22</f>
        <v>0</v>
      </c>
      <c r="AG19" s="20">
        <f>-Calculations!BS22</f>
        <v>0</v>
      </c>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row>
    <row r="20" spans="1:71" s="5" customFormat="1">
      <c r="A20" s="238">
        <f t="shared" si="8"/>
        <v>16</v>
      </c>
      <c r="B20" s="70" t="s">
        <v>333</v>
      </c>
      <c r="C20" s="5" t="s">
        <v>345</v>
      </c>
      <c r="D20" s="216"/>
      <c r="E20" s="216"/>
      <c r="F20" s="216"/>
      <c r="G20" s="216">
        <f>-Calculations!AS23</f>
        <v>0</v>
      </c>
      <c r="H20" s="216">
        <f>-Calculations!AT23</f>
        <v>0</v>
      </c>
      <c r="I20" s="216">
        <f>-Calculations!AU23</f>
        <v>0</v>
      </c>
      <c r="J20" s="216">
        <f>-Calculations!AV23</f>
        <v>0</v>
      </c>
      <c r="K20" s="216">
        <f>-Calculations!AW23</f>
        <v>0</v>
      </c>
      <c r="L20" s="216">
        <f>-Calculations!AX23</f>
        <v>0</v>
      </c>
      <c r="M20" s="216">
        <f>-Calculations!AY23</f>
        <v>0</v>
      </c>
      <c r="N20" s="216">
        <f>-Calculations!AZ23</f>
        <v>0</v>
      </c>
      <c r="O20" s="216">
        <f>-Calculations!BA23</f>
        <v>0</v>
      </c>
      <c r="P20" s="216">
        <f>-Calculations!BB23</f>
        <v>0</v>
      </c>
      <c r="Q20" s="216">
        <f>-Calculations!BC23</f>
        <v>0</v>
      </c>
      <c r="R20" s="216">
        <f>-Calculations!BD23</f>
        <v>0</v>
      </c>
      <c r="S20" s="216">
        <f>-Calculations!BE23</f>
        <v>0</v>
      </c>
      <c r="T20" s="216">
        <f>-Calculations!BF23</f>
        <v>0</v>
      </c>
      <c r="U20" s="216">
        <f>-Calculations!BG23</f>
        <v>0</v>
      </c>
      <c r="V20" s="216">
        <f>-Calculations!BH23</f>
        <v>0</v>
      </c>
      <c r="W20" s="216">
        <f>-Calculations!BI23</f>
        <v>0</v>
      </c>
      <c r="X20" s="216">
        <f>-Calculations!BJ23</f>
        <v>0</v>
      </c>
      <c r="Y20" s="216">
        <f>-Calculations!BK23</f>
        <v>15124.6</v>
      </c>
      <c r="Z20" s="216">
        <f>-Calculations!BL23</f>
        <v>0</v>
      </c>
      <c r="AA20" s="216">
        <f>-Calculations!BM23</f>
        <v>0</v>
      </c>
      <c r="AB20" s="20">
        <f>-Calculations!BN23</f>
        <v>0</v>
      </c>
      <c r="AC20" s="20">
        <f>-Calculations!BO23</f>
        <v>0</v>
      </c>
      <c r="AD20" s="20">
        <f>-Calculations!BP23</f>
        <v>0</v>
      </c>
      <c r="AE20" s="20">
        <f>-Calculations!BQ23</f>
        <v>0</v>
      </c>
      <c r="AF20" s="20">
        <f>-Calculations!BR23</f>
        <v>0</v>
      </c>
      <c r="AG20" s="20">
        <f>-Calculations!BS23</f>
        <v>0</v>
      </c>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row>
    <row r="21" spans="1:71" s="5" customFormat="1">
      <c r="A21" s="238">
        <f t="shared" si="8"/>
        <v>17</v>
      </c>
      <c r="B21" s="70" t="s">
        <v>307</v>
      </c>
      <c r="C21" s="5" t="s">
        <v>309</v>
      </c>
      <c r="D21" s="216"/>
      <c r="E21" s="216"/>
      <c r="F21" s="216"/>
      <c r="G21" s="216">
        <f>-Calculations!AS24</f>
        <v>0</v>
      </c>
      <c r="H21" s="216">
        <f>-Calculations!AT24</f>
        <v>0</v>
      </c>
      <c r="I21" s="216">
        <f>-Calculations!AU24</f>
        <v>0</v>
      </c>
      <c r="J21" s="216">
        <f>-Calculations!AV24</f>
        <v>0</v>
      </c>
      <c r="K21" s="216">
        <f>-Calculations!AW24</f>
        <v>0</v>
      </c>
      <c r="L21" s="216">
        <f>-Calculations!AX24</f>
        <v>0</v>
      </c>
      <c r="M21" s="216">
        <f>-Calculations!AY24</f>
        <v>0</v>
      </c>
      <c r="N21" s="216">
        <f>-Calculations!AZ24</f>
        <v>0</v>
      </c>
      <c r="O21" s="216">
        <f>-Calculations!BA24</f>
        <v>0</v>
      </c>
      <c r="P21" s="216">
        <f>-Calculations!BB24</f>
        <v>0</v>
      </c>
      <c r="Q21" s="216">
        <f>-Calculations!BC24</f>
        <v>0</v>
      </c>
      <c r="R21" s="216">
        <f>-Calculations!BD24</f>
        <v>0</v>
      </c>
      <c r="S21" s="216">
        <f>-Calculations!BE24</f>
        <v>0</v>
      </c>
      <c r="T21" s="216">
        <f>-Calculations!BF24</f>
        <v>207640.65</v>
      </c>
      <c r="U21" s="216">
        <f>-Calculations!BG24</f>
        <v>4406.6400000000003</v>
      </c>
      <c r="V21" s="216">
        <f>-Calculations!BH24</f>
        <v>0</v>
      </c>
      <c r="W21" s="216">
        <f>-Calculations!BI24</f>
        <v>0</v>
      </c>
      <c r="X21" s="216">
        <f>-Calculations!BJ24</f>
        <v>277.22000000000003</v>
      </c>
      <c r="Y21" s="216">
        <f>-Calculations!BK24</f>
        <v>531.61</v>
      </c>
      <c r="Z21" s="216">
        <f>-Calculations!BL24</f>
        <v>0</v>
      </c>
      <c r="AA21" s="216">
        <f>-Calculations!BM24</f>
        <v>0</v>
      </c>
      <c r="AB21" s="20">
        <f>-Calculations!BN24</f>
        <v>5215.47</v>
      </c>
      <c r="AC21" s="20">
        <f>-Calculations!BO24</f>
        <v>0</v>
      </c>
      <c r="AD21" s="20">
        <f>-Calculations!BP24</f>
        <v>0</v>
      </c>
      <c r="AE21" s="20">
        <f>-Calculations!BQ24</f>
        <v>0</v>
      </c>
      <c r="AF21" s="20">
        <f>-Calculations!BR24</f>
        <v>0</v>
      </c>
      <c r="AG21" s="20">
        <f>-Calculations!BS24</f>
        <v>0</v>
      </c>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row>
    <row r="22" spans="1:71" s="5" customFormat="1">
      <c r="A22" s="238">
        <f t="shared" si="8"/>
        <v>18</v>
      </c>
      <c r="B22" s="70" t="s">
        <v>334</v>
      </c>
      <c r="C22" s="5" t="s">
        <v>346</v>
      </c>
      <c r="D22" s="216"/>
      <c r="E22" s="216"/>
      <c r="F22" s="216"/>
      <c r="G22" s="216">
        <f>-Calculations!AS25</f>
        <v>0</v>
      </c>
      <c r="H22" s="216">
        <f>-Calculations!AT25</f>
        <v>0</v>
      </c>
      <c r="I22" s="216">
        <f>-Calculations!AU25</f>
        <v>0</v>
      </c>
      <c r="J22" s="216">
        <f>-Calculations!AV25</f>
        <v>0</v>
      </c>
      <c r="K22" s="216">
        <f>-Calculations!AW25</f>
        <v>0</v>
      </c>
      <c r="L22" s="216">
        <f>-Calculations!AX25</f>
        <v>0</v>
      </c>
      <c r="M22" s="216">
        <f>-Calculations!AY25</f>
        <v>0</v>
      </c>
      <c r="N22" s="216">
        <f>-Calculations!AZ25</f>
        <v>0</v>
      </c>
      <c r="O22" s="216">
        <f>-Calculations!BA25</f>
        <v>0</v>
      </c>
      <c r="P22" s="216">
        <f>-Calculations!BB25</f>
        <v>0</v>
      </c>
      <c r="Q22" s="216">
        <f>-Calculations!BC25</f>
        <v>0</v>
      </c>
      <c r="R22" s="216">
        <f>-Calculations!BD25</f>
        <v>0</v>
      </c>
      <c r="S22" s="216">
        <f>-Calculations!BE25</f>
        <v>0</v>
      </c>
      <c r="T22" s="216">
        <f>-Calculations!BF25</f>
        <v>0</v>
      </c>
      <c r="U22" s="216">
        <f>-Calculations!BG25</f>
        <v>173863.29</v>
      </c>
      <c r="V22" s="216">
        <f>-Calculations!BH25</f>
        <v>0</v>
      </c>
      <c r="W22" s="216">
        <f>-Calculations!BI25</f>
        <v>0</v>
      </c>
      <c r="X22" s="216">
        <f>-Calculations!BJ25</f>
        <v>102.5</v>
      </c>
      <c r="Y22" s="216">
        <f>-Calculations!BK25</f>
        <v>0</v>
      </c>
      <c r="Z22" s="216">
        <f>-Calculations!BL25</f>
        <v>0</v>
      </c>
      <c r="AA22" s="216">
        <f>-Calculations!BM25</f>
        <v>0</v>
      </c>
      <c r="AB22" s="20">
        <f>-Calculations!BN25</f>
        <v>192005.04</v>
      </c>
      <c r="AC22" s="20">
        <f>-Calculations!BO25</f>
        <v>0</v>
      </c>
      <c r="AD22" s="20">
        <f>-Calculations!BP25</f>
        <v>0</v>
      </c>
      <c r="AE22" s="20">
        <f>-Calculations!BQ25</f>
        <v>0</v>
      </c>
      <c r="AF22" s="20">
        <f>-Calculations!BR25</f>
        <v>0</v>
      </c>
      <c r="AG22" s="20">
        <f>-Calculations!BS25</f>
        <v>0</v>
      </c>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row>
    <row r="23" spans="1:71" s="5" customFormat="1">
      <c r="A23" s="238">
        <f t="shared" si="8"/>
        <v>19</v>
      </c>
      <c r="B23" s="70" t="s">
        <v>335</v>
      </c>
      <c r="C23" s="5" t="s">
        <v>347</v>
      </c>
      <c r="D23" s="216"/>
      <c r="E23" s="216"/>
      <c r="F23" s="216"/>
      <c r="G23" s="216">
        <f>-Calculations!AS26</f>
        <v>0</v>
      </c>
      <c r="H23" s="216">
        <f>-Calculations!AT26</f>
        <v>0</v>
      </c>
      <c r="I23" s="216">
        <f>-Calculations!AU26</f>
        <v>0</v>
      </c>
      <c r="J23" s="216">
        <f>-Calculations!AV26</f>
        <v>0</v>
      </c>
      <c r="K23" s="216">
        <f>-Calculations!AW26</f>
        <v>0</v>
      </c>
      <c r="L23" s="216">
        <f>-Calculations!AX26</f>
        <v>0</v>
      </c>
      <c r="M23" s="216">
        <f>-Calculations!AY26</f>
        <v>0</v>
      </c>
      <c r="N23" s="216">
        <f>-Calculations!AZ26</f>
        <v>0</v>
      </c>
      <c r="O23" s="216">
        <f>-Calculations!BA26</f>
        <v>0</v>
      </c>
      <c r="P23" s="216">
        <f>-Calculations!BB26</f>
        <v>0</v>
      </c>
      <c r="Q23" s="216">
        <f>-Calculations!BC26</f>
        <v>0</v>
      </c>
      <c r="R23" s="216">
        <f>-Calculations!BD26</f>
        <v>0</v>
      </c>
      <c r="S23" s="216">
        <f>-Calculations!BE26</f>
        <v>0</v>
      </c>
      <c r="T23" s="216">
        <f>-Calculations!BF26</f>
        <v>0</v>
      </c>
      <c r="U23" s="216">
        <f>-Calculations!BG26</f>
        <v>50445.43</v>
      </c>
      <c r="V23" s="216">
        <f>-Calculations!BH26</f>
        <v>0</v>
      </c>
      <c r="W23" s="216">
        <f>-Calculations!BI26</f>
        <v>0</v>
      </c>
      <c r="X23" s="216">
        <f>-Calculations!BJ26</f>
        <v>0</v>
      </c>
      <c r="Y23" s="216">
        <f>-Calculations!BK26</f>
        <v>425.25</v>
      </c>
      <c r="Z23" s="216">
        <f>-Calculations!BL26</f>
        <v>0</v>
      </c>
      <c r="AA23" s="216">
        <f>-Calculations!BM26</f>
        <v>0</v>
      </c>
      <c r="AB23" s="20">
        <f>-Calculations!BN26</f>
        <v>50870.68</v>
      </c>
      <c r="AC23" s="20">
        <f>-Calculations!BO26</f>
        <v>0</v>
      </c>
      <c r="AD23" s="20">
        <f>-Calculations!BP26</f>
        <v>0</v>
      </c>
      <c r="AE23" s="20">
        <f>-Calculations!BQ26</f>
        <v>0</v>
      </c>
      <c r="AF23" s="20">
        <f>-Calculations!BR26</f>
        <v>0</v>
      </c>
      <c r="AG23" s="20">
        <f>-Calculations!BS26</f>
        <v>0</v>
      </c>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row>
    <row r="24" spans="1:71" s="5" customFormat="1">
      <c r="A24" s="238">
        <f t="shared" si="8"/>
        <v>20</v>
      </c>
      <c r="B24" s="70" t="s">
        <v>331</v>
      </c>
      <c r="C24" s="5" t="s">
        <v>366</v>
      </c>
      <c r="D24" s="216"/>
      <c r="E24" s="216"/>
      <c r="F24" s="216"/>
      <c r="G24" s="216">
        <f>-Calculations!AS27</f>
        <v>0</v>
      </c>
      <c r="H24" s="216">
        <f>-Calculations!AT27</f>
        <v>0</v>
      </c>
      <c r="I24" s="216">
        <f>-Calculations!AU27</f>
        <v>0</v>
      </c>
      <c r="J24" s="216">
        <f>-Calculations!AV27</f>
        <v>0</v>
      </c>
      <c r="K24" s="216">
        <f>-Calculations!AW27</f>
        <v>0</v>
      </c>
      <c r="L24" s="216">
        <f>-Calculations!AX27</f>
        <v>0</v>
      </c>
      <c r="M24" s="216">
        <f>-Calculations!AY27</f>
        <v>0</v>
      </c>
      <c r="N24" s="216">
        <f>-Calculations!AZ27</f>
        <v>0</v>
      </c>
      <c r="O24" s="216">
        <f>-Calculations!BA27</f>
        <v>0</v>
      </c>
      <c r="P24" s="216">
        <f>-Calculations!BB27</f>
        <v>0</v>
      </c>
      <c r="Q24" s="216">
        <f>-Calculations!BC27</f>
        <v>0</v>
      </c>
      <c r="R24" s="216">
        <f>-Calculations!BD27</f>
        <v>0</v>
      </c>
      <c r="S24" s="216">
        <f>-Calculations!BE27</f>
        <v>0</v>
      </c>
      <c r="T24" s="216">
        <f>-Calculations!BF27</f>
        <v>0</v>
      </c>
      <c r="U24" s="216">
        <f>-Calculations!BG27</f>
        <v>0</v>
      </c>
      <c r="V24" s="216">
        <f>-Calculations!BH27</f>
        <v>0</v>
      </c>
      <c r="W24" s="216">
        <f>-Calculations!BI27</f>
        <v>0</v>
      </c>
      <c r="X24" s="216">
        <f>-Calculations!BJ27</f>
        <v>0</v>
      </c>
      <c r="Y24" s="216">
        <f>-Calculations!BK27</f>
        <v>0</v>
      </c>
      <c r="Z24" s="216">
        <f>-Calculations!BL27</f>
        <v>0</v>
      </c>
      <c r="AA24" s="216">
        <f>-Calculations!BM27</f>
        <v>0</v>
      </c>
      <c r="AB24" s="20">
        <f>-Calculations!BN27</f>
        <v>2198471.9300000002</v>
      </c>
      <c r="AC24" s="20">
        <f>-Calculations!BO27</f>
        <v>0</v>
      </c>
      <c r="AD24" s="20">
        <f>-Calculations!BP27</f>
        <v>0</v>
      </c>
      <c r="AE24" s="20">
        <f>-Calculations!BQ27</f>
        <v>0</v>
      </c>
      <c r="AF24" s="20">
        <f>-Calculations!BR27</f>
        <v>0</v>
      </c>
      <c r="AG24" s="20">
        <f>-Calculations!BS27</f>
        <v>0</v>
      </c>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row>
    <row r="25" spans="1:71" s="5" customFormat="1">
      <c r="A25" s="238">
        <f t="shared" si="8"/>
        <v>21</v>
      </c>
      <c r="B25" s="70" t="s">
        <v>328</v>
      </c>
      <c r="C25" s="5" t="s">
        <v>367</v>
      </c>
      <c r="D25" s="216"/>
      <c r="E25" s="216"/>
      <c r="F25" s="216"/>
      <c r="G25" s="216">
        <f>-Calculations!AS28</f>
        <v>0</v>
      </c>
      <c r="H25" s="216">
        <f>-Calculations!AT28</f>
        <v>0</v>
      </c>
      <c r="I25" s="216">
        <f>-Calculations!AU28</f>
        <v>0</v>
      </c>
      <c r="J25" s="216">
        <f>-Calculations!AV28</f>
        <v>0</v>
      </c>
      <c r="K25" s="216">
        <f>-Calculations!AW28</f>
        <v>0</v>
      </c>
      <c r="L25" s="216">
        <f>-Calculations!AX28</f>
        <v>0</v>
      </c>
      <c r="M25" s="216">
        <f>-Calculations!AY28</f>
        <v>0</v>
      </c>
      <c r="N25" s="216">
        <f>-Calculations!AZ28</f>
        <v>0</v>
      </c>
      <c r="O25" s="216">
        <f>-Calculations!BA28</f>
        <v>0</v>
      </c>
      <c r="P25" s="216">
        <f>-Calculations!BB28</f>
        <v>0</v>
      </c>
      <c r="Q25" s="216">
        <f>-Calculations!BC28</f>
        <v>0</v>
      </c>
      <c r="R25" s="216">
        <f>-Calculations!BD28</f>
        <v>0</v>
      </c>
      <c r="S25" s="216">
        <f>-Calculations!BE28</f>
        <v>0</v>
      </c>
      <c r="T25" s="216">
        <f>-Calculations!BF28</f>
        <v>0</v>
      </c>
      <c r="U25" s="216">
        <f>-Calculations!BG28</f>
        <v>0</v>
      </c>
      <c r="V25" s="216">
        <f>-Calculations!BH28</f>
        <v>0</v>
      </c>
      <c r="W25" s="216">
        <f>-Calculations!BI28</f>
        <v>0</v>
      </c>
      <c r="X25" s="216">
        <f>-Calculations!BJ28</f>
        <v>0</v>
      </c>
      <c r="Y25" s="216">
        <f>-Calculations!BK28</f>
        <v>0</v>
      </c>
      <c r="Z25" s="216">
        <f>-Calculations!BL28</f>
        <v>0</v>
      </c>
      <c r="AA25" s="216">
        <f>-Calculations!BM28</f>
        <v>0</v>
      </c>
      <c r="AB25" s="20">
        <f>-Calculations!BN28</f>
        <v>531740.48</v>
      </c>
      <c r="AC25" s="20">
        <f>-Calculations!BO28</f>
        <v>0</v>
      </c>
      <c r="AD25" s="20">
        <f>-Calculations!BP28</f>
        <v>0</v>
      </c>
      <c r="AE25" s="20">
        <f>-Calculations!BQ28</f>
        <v>0</v>
      </c>
      <c r="AF25" s="20">
        <f>-Calculations!BR28</f>
        <v>0</v>
      </c>
      <c r="AG25" s="20">
        <f>-Calculations!BS28</f>
        <v>0</v>
      </c>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row>
    <row r="26" spans="1:71" s="5" customFormat="1">
      <c r="A26" s="238">
        <f t="shared" si="8"/>
        <v>22</v>
      </c>
      <c r="B26" s="70" t="s">
        <v>327</v>
      </c>
      <c r="C26" s="5" t="s">
        <v>348</v>
      </c>
      <c r="D26" s="216"/>
      <c r="E26" s="216"/>
      <c r="F26" s="216"/>
      <c r="G26" s="216">
        <f>-Calculations!AS29</f>
        <v>0</v>
      </c>
      <c r="H26" s="216">
        <f>-Calculations!AT29</f>
        <v>0</v>
      </c>
      <c r="I26" s="216">
        <f>-Calculations!AU29</f>
        <v>0</v>
      </c>
      <c r="J26" s="216">
        <f>-Calculations!AV29</f>
        <v>0</v>
      </c>
      <c r="K26" s="216">
        <f>-Calculations!AW29</f>
        <v>0</v>
      </c>
      <c r="L26" s="216">
        <f>-Calculations!AX29</f>
        <v>0</v>
      </c>
      <c r="M26" s="216">
        <f>-Calculations!AY29</f>
        <v>0</v>
      </c>
      <c r="N26" s="216">
        <f>-Calculations!AZ29</f>
        <v>0</v>
      </c>
      <c r="O26" s="216">
        <f>-Calculations!BA29</f>
        <v>0</v>
      </c>
      <c r="P26" s="216">
        <f>-Calculations!BB29</f>
        <v>0</v>
      </c>
      <c r="Q26" s="216">
        <f>-Calculations!BC29</f>
        <v>0</v>
      </c>
      <c r="R26" s="216">
        <f>-Calculations!BD29</f>
        <v>0</v>
      </c>
      <c r="S26" s="216">
        <f>-Calculations!BE29</f>
        <v>0</v>
      </c>
      <c r="T26" s="216">
        <f>-Calculations!BF29</f>
        <v>0</v>
      </c>
      <c r="U26" s="216">
        <f>-Calculations!BG29</f>
        <v>0</v>
      </c>
      <c r="V26" s="216">
        <f>-Calculations!BH29</f>
        <v>0</v>
      </c>
      <c r="W26" s="216">
        <f>-Calculations!BI29</f>
        <v>0</v>
      </c>
      <c r="X26" s="216">
        <f>-Calculations!BJ29</f>
        <v>0</v>
      </c>
      <c r="Y26" s="216">
        <f>-Calculations!BK29</f>
        <v>0</v>
      </c>
      <c r="Z26" s="216">
        <f>-Calculations!BL29</f>
        <v>0</v>
      </c>
      <c r="AA26" s="216">
        <f>-Calculations!BM29</f>
        <v>104710.1</v>
      </c>
      <c r="AB26" s="20">
        <f>-Calculations!BN29</f>
        <v>104710.1</v>
      </c>
      <c r="AC26" s="20">
        <f>-Calculations!BO29</f>
        <v>0</v>
      </c>
      <c r="AD26" s="20">
        <f>-Calculations!BP29</f>
        <v>0</v>
      </c>
      <c r="AE26" s="20">
        <f>-Calculations!BQ29</f>
        <v>0</v>
      </c>
      <c r="AF26" s="20">
        <f>-Calculations!BR29</f>
        <v>0</v>
      </c>
      <c r="AG26" s="20">
        <f>-Calculations!BS29</f>
        <v>0</v>
      </c>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row>
    <row r="27" spans="1:71" s="5" customFormat="1">
      <c r="A27" s="238">
        <f t="shared" si="8"/>
        <v>23</v>
      </c>
      <c r="B27" s="70" t="s">
        <v>329</v>
      </c>
      <c r="C27" s="5" t="s">
        <v>349</v>
      </c>
      <c r="D27" s="216"/>
      <c r="E27" s="216"/>
      <c r="F27" s="216"/>
      <c r="G27" s="216">
        <f>-Calculations!AS30</f>
        <v>0</v>
      </c>
      <c r="H27" s="216">
        <f>-Calculations!AT30</f>
        <v>0</v>
      </c>
      <c r="I27" s="216">
        <f>-Calculations!AU30</f>
        <v>0</v>
      </c>
      <c r="J27" s="216">
        <f>-Calculations!AV30</f>
        <v>0</v>
      </c>
      <c r="K27" s="216">
        <f>-Calculations!AW30</f>
        <v>0</v>
      </c>
      <c r="L27" s="216">
        <f>-Calculations!AX30</f>
        <v>0</v>
      </c>
      <c r="M27" s="216">
        <f>-Calculations!AY30</f>
        <v>0</v>
      </c>
      <c r="N27" s="216">
        <f>-Calculations!AZ30</f>
        <v>0</v>
      </c>
      <c r="O27" s="216">
        <f>-Calculations!BA30</f>
        <v>0</v>
      </c>
      <c r="P27" s="216">
        <f>-Calculations!BB30</f>
        <v>0</v>
      </c>
      <c r="Q27" s="216">
        <f>-Calculations!BC30</f>
        <v>0</v>
      </c>
      <c r="R27" s="216">
        <f>-Calculations!BD30</f>
        <v>0</v>
      </c>
      <c r="S27" s="216">
        <f>-Calculations!BE30</f>
        <v>0</v>
      </c>
      <c r="T27" s="216">
        <f>-Calculations!BF30</f>
        <v>0</v>
      </c>
      <c r="U27" s="216">
        <f>-Calculations!BG30</f>
        <v>0</v>
      </c>
      <c r="V27" s="216">
        <f>-Calculations!BH30</f>
        <v>0</v>
      </c>
      <c r="W27" s="216">
        <f>-Calculations!BI30</f>
        <v>0</v>
      </c>
      <c r="X27" s="216">
        <f>-Calculations!BJ30</f>
        <v>0</v>
      </c>
      <c r="Y27" s="216">
        <f>-Calculations!BK30</f>
        <v>0</v>
      </c>
      <c r="Z27" s="216">
        <f>-Calculations!BL30</f>
        <v>0</v>
      </c>
      <c r="AA27" s="216">
        <f>-Calculations!BM30</f>
        <v>343548.72</v>
      </c>
      <c r="AB27" s="20">
        <f>-Calculations!BN30</f>
        <v>343548.72</v>
      </c>
      <c r="AC27" s="20">
        <f>-Calculations!BO30</f>
        <v>0</v>
      </c>
      <c r="AD27" s="20">
        <f>-Calculations!BP30</f>
        <v>0</v>
      </c>
      <c r="AE27" s="20">
        <f>-Calculations!BQ30</f>
        <v>0</v>
      </c>
      <c r="AF27" s="20">
        <f>-Calculations!BR30</f>
        <v>0</v>
      </c>
      <c r="AG27" s="20">
        <f>-Calculations!BS30</f>
        <v>0</v>
      </c>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row>
    <row r="28" spans="1:71" s="5" customFormat="1">
      <c r="A28" s="238">
        <f t="shared" si="8"/>
        <v>24</v>
      </c>
      <c r="B28" s="70" t="s">
        <v>336</v>
      </c>
      <c r="C28" s="5" t="s">
        <v>350</v>
      </c>
      <c r="D28" s="216"/>
      <c r="E28" s="216"/>
      <c r="F28" s="216"/>
      <c r="G28" s="216">
        <f>-Calculations!AS31</f>
        <v>0</v>
      </c>
      <c r="H28" s="216">
        <f>-Calculations!AT31</f>
        <v>0</v>
      </c>
      <c r="I28" s="216">
        <f>-Calculations!AU31</f>
        <v>0</v>
      </c>
      <c r="J28" s="216">
        <f>-Calculations!AV31</f>
        <v>0</v>
      </c>
      <c r="K28" s="216">
        <f>-Calculations!AW31</f>
        <v>0</v>
      </c>
      <c r="L28" s="216">
        <f>-Calculations!AX31</f>
        <v>0</v>
      </c>
      <c r="M28" s="216">
        <f>-Calculations!AY31</f>
        <v>0</v>
      </c>
      <c r="N28" s="216">
        <f>-Calculations!AZ31</f>
        <v>0</v>
      </c>
      <c r="O28" s="216">
        <f>-Calculations!BA31</f>
        <v>0</v>
      </c>
      <c r="P28" s="216">
        <f>-Calculations!BB31</f>
        <v>0</v>
      </c>
      <c r="Q28" s="216">
        <f>-Calculations!BC31</f>
        <v>0</v>
      </c>
      <c r="R28" s="216">
        <f>-Calculations!BD31</f>
        <v>0</v>
      </c>
      <c r="S28" s="216">
        <f>-Calculations!BE31</f>
        <v>0</v>
      </c>
      <c r="T28" s="216">
        <f>-Calculations!BF31</f>
        <v>0</v>
      </c>
      <c r="U28" s="216">
        <f>-Calculations!BG31</f>
        <v>156898.01</v>
      </c>
      <c r="V28" s="216">
        <f>-Calculations!BH31</f>
        <v>0</v>
      </c>
      <c r="W28" s="216">
        <f>-Calculations!BI31</f>
        <v>0</v>
      </c>
      <c r="X28" s="216">
        <f>-Calculations!BJ31</f>
        <v>-4424.96</v>
      </c>
      <c r="Y28" s="216">
        <f>-Calculations!BK31</f>
        <v>-732.59</v>
      </c>
      <c r="Z28" s="216">
        <f>-Calculations!BL31</f>
        <v>0</v>
      </c>
      <c r="AA28" s="216">
        <f>-Calculations!BM31</f>
        <v>0</v>
      </c>
      <c r="AB28" s="20">
        <f>-Calculations!BN31</f>
        <v>166200.57</v>
      </c>
      <c r="AC28" s="20">
        <f>-Calculations!BO31</f>
        <v>0</v>
      </c>
      <c r="AD28" s="20">
        <f>-Calculations!BP31</f>
        <v>0</v>
      </c>
      <c r="AE28" s="20">
        <f>-Calculations!BQ31</f>
        <v>0</v>
      </c>
      <c r="AF28" s="20">
        <f>-Calculations!BR31</f>
        <v>0</v>
      </c>
      <c r="AG28" s="20">
        <f>-Calculations!BS31</f>
        <v>0</v>
      </c>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row>
    <row r="29" spans="1:71" s="5" customFormat="1">
      <c r="A29" s="238">
        <f t="shared" si="8"/>
        <v>25</v>
      </c>
      <c r="B29" s="70" t="s">
        <v>337</v>
      </c>
      <c r="C29" s="5" t="s">
        <v>351</v>
      </c>
      <c r="D29" s="216"/>
      <c r="E29" s="216"/>
      <c r="F29" s="216"/>
      <c r="G29" s="216">
        <f>-Calculations!AS32</f>
        <v>0</v>
      </c>
      <c r="H29" s="216">
        <f>-Calculations!AT32</f>
        <v>0</v>
      </c>
      <c r="I29" s="216">
        <f>-Calculations!AU32</f>
        <v>0</v>
      </c>
      <c r="J29" s="216">
        <f>-Calculations!AV32</f>
        <v>0</v>
      </c>
      <c r="K29" s="216">
        <f>-Calculations!AW32</f>
        <v>0</v>
      </c>
      <c r="L29" s="216">
        <f>-Calculations!AX32</f>
        <v>0</v>
      </c>
      <c r="M29" s="216">
        <f>-Calculations!AY32</f>
        <v>0</v>
      </c>
      <c r="N29" s="216">
        <f>-Calculations!AZ32</f>
        <v>0</v>
      </c>
      <c r="O29" s="216">
        <f>-Calculations!BA32</f>
        <v>0</v>
      </c>
      <c r="P29" s="216">
        <f>-Calculations!BB32</f>
        <v>0</v>
      </c>
      <c r="Q29" s="216">
        <f>-Calculations!BC32</f>
        <v>0</v>
      </c>
      <c r="R29" s="216">
        <f>-Calculations!BD32</f>
        <v>0</v>
      </c>
      <c r="S29" s="216">
        <f>-Calculations!BE32</f>
        <v>0</v>
      </c>
      <c r="T29" s="216">
        <f>-Calculations!BF32</f>
        <v>0</v>
      </c>
      <c r="U29" s="216">
        <f>-Calculations!BG32</f>
        <v>0</v>
      </c>
      <c r="V29" s="216">
        <f>-Calculations!BH32</f>
        <v>0</v>
      </c>
      <c r="W29" s="216">
        <f>-Calculations!BI32</f>
        <v>0</v>
      </c>
      <c r="X29" s="216">
        <f>-Calculations!BJ32</f>
        <v>0</v>
      </c>
      <c r="Y29" s="216">
        <f>-Calculations!BK32</f>
        <v>61964.24</v>
      </c>
      <c r="Z29" s="216">
        <f>-Calculations!BL32</f>
        <v>116.45</v>
      </c>
      <c r="AA29" s="216">
        <f>-Calculations!BM32</f>
        <v>0</v>
      </c>
      <c r="AB29" s="20">
        <f>-Calculations!BN32</f>
        <v>118007.17</v>
      </c>
      <c r="AC29" s="20">
        <f>-Calculations!BO32</f>
        <v>0</v>
      </c>
      <c r="AD29" s="20">
        <f>-Calculations!BP32</f>
        <v>0</v>
      </c>
      <c r="AE29" s="20">
        <f>-Calculations!BQ32</f>
        <v>0</v>
      </c>
      <c r="AF29" s="20">
        <f>-Calculations!BR32</f>
        <v>0</v>
      </c>
      <c r="AG29" s="20">
        <f>-Calculations!BS32</f>
        <v>0</v>
      </c>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row>
    <row r="30" spans="1:71" s="5" customFormat="1">
      <c r="A30" s="238">
        <f t="shared" si="8"/>
        <v>26</v>
      </c>
      <c r="B30" s="70" t="s">
        <v>365</v>
      </c>
      <c r="C30" s="5" t="s">
        <v>368</v>
      </c>
      <c r="D30" s="216"/>
      <c r="E30" s="216"/>
      <c r="F30" s="216"/>
      <c r="G30" s="216">
        <f>-Calculations!AS33</f>
        <v>0</v>
      </c>
      <c r="H30" s="216">
        <f>-Calculations!AT33</f>
        <v>0</v>
      </c>
      <c r="I30" s="216">
        <f>-Calculations!AU33</f>
        <v>0</v>
      </c>
      <c r="J30" s="216">
        <f>-Calculations!AV33</f>
        <v>0</v>
      </c>
      <c r="K30" s="216">
        <f>-Calculations!AW33</f>
        <v>0</v>
      </c>
      <c r="L30" s="216">
        <f>-Calculations!AX33</f>
        <v>0</v>
      </c>
      <c r="M30" s="216">
        <f>-Calculations!AY33</f>
        <v>0</v>
      </c>
      <c r="N30" s="216">
        <f>-Calculations!AZ33</f>
        <v>0</v>
      </c>
      <c r="O30" s="216">
        <f>-Calculations!BA33</f>
        <v>0</v>
      </c>
      <c r="P30" s="216">
        <f>-Calculations!BB33</f>
        <v>0</v>
      </c>
      <c r="Q30" s="216">
        <f>-Calculations!BC33</f>
        <v>0</v>
      </c>
      <c r="R30" s="216">
        <f>-Calculations!BD33</f>
        <v>0</v>
      </c>
      <c r="S30" s="216">
        <f>-Calculations!BE33</f>
        <v>0</v>
      </c>
      <c r="T30" s="216">
        <f>-Calculations!BF33</f>
        <v>0</v>
      </c>
      <c r="U30" s="216">
        <f>-Calculations!BG33</f>
        <v>0</v>
      </c>
      <c r="V30" s="216">
        <f>-Calculations!BH33</f>
        <v>0</v>
      </c>
      <c r="W30" s="216">
        <f>-Calculations!BI33</f>
        <v>0</v>
      </c>
      <c r="X30" s="216">
        <f>-Calculations!BJ33</f>
        <v>0</v>
      </c>
      <c r="Y30" s="216">
        <f>-Calculations!BK33</f>
        <v>0</v>
      </c>
      <c r="Z30" s="216">
        <f>-Calculations!BL33</f>
        <v>0</v>
      </c>
      <c r="AA30" s="216">
        <f>-Calculations!BM33</f>
        <v>139078.37</v>
      </c>
      <c r="AB30" s="20">
        <f>-Calculations!BN33</f>
        <v>0</v>
      </c>
      <c r="AC30" s="20">
        <f>-Calculations!BO33</f>
        <v>0</v>
      </c>
      <c r="AD30" s="20">
        <f>-Calculations!BP33</f>
        <v>0</v>
      </c>
      <c r="AE30" s="20">
        <f>-Calculations!BQ33</f>
        <v>0</v>
      </c>
      <c r="AF30" s="20">
        <f>-Calculations!BR33</f>
        <v>0</v>
      </c>
      <c r="AG30" s="20">
        <f>-Calculations!BS33</f>
        <v>0</v>
      </c>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row>
    <row r="31" spans="1:71" s="5" customFormat="1">
      <c r="A31" s="238">
        <f t="shared" si="8"/>
        <v>27</v>
      </c>
      <c r="B31" s="70" t="s">
        <v>338</v>
      </c>
      <c r="C31" s="5" t="s">
        <v>356</v>
      </c>
      <c r="D31" s="216"/>
      <c r="E31" s="216"/>
      <c r="F31" s="216"/>
      <c r="G31" s="216">
        <f>-Calculations!AS34</f>
        <v>0</v>
      </c>
      <c r="H31" s="216">
        <f>-Calculations!AT34</f>
        <v>0</v>
      </c>
      <c r="I31" s="216">
        <f>-Calculations!AU34</f>
        <v>0</v>
      </c>
      <c r="J31" s="216">
        <f>-Calculations!AV34</f>
        <v>0</v>
      </c>
      <c r="K31" s="216">
        <f>-Calculations!AW34</f>
        <v>0</v>
      </c>
      <c r="L31" s="216">
        <f>-Calculations!AX34</f>
        <v>0</v>
      </c>
      <c r="M31" s="216">
        <f>-Calculations!AY34</f>
        <v>0</v>
      </c>
      <c r="N31" s="216">
        <f>-Calculations!AZ34</f>
        <v>0</v>
      </c>
      <c r="O31" s="216">
        <f>-Calculations!BA34</f>
        <v>0</v>
      </c>
      <c r="P31" s="216">
        <f>-Calculations!BB34</f>
        <v>0</v>
      </c>
      <c r="Q31" s="216">
        <f>-Calculations!BC34</f>
        <v>0</v>
      </c>
      <c r="R31" s="216">
        <f>-Calculations!BD34</f>
        <v>0</v>
      </c>
      <c r="S31" s="216">
        <f>-Calculations!BE34</f>
        <v>0</v>
      </c>
      <c r="T31" s="216">
        <f>-Calculations!BF34</f>
        <v>0</v>
      </c>
      <c r="U31" s="216">
        <f>-Calculations!BG34</f>
        <v>32805.660000000003</v>
      </c>
      <c r="V31" s="216">
        <f>-Calculations!BH34</f>
        <v>0</v>
      </c>
      <c r="W31" s="216">
        <f>-Calculations!BI34</f>
        <v>0</v>
      </c>
      <c r="X31" s="216">
        <f>-Calculations!BJ34</f>
        <v>0</v>
      </c>
      <c r="Y31" s="216">
        <f>-Calculations!BK34</f>
        <v>0</v>
      </c>
      <c r="Z31" s="216">
        <f>-Calculations!BL34</f>
        <v>0</v>
      </c>
      <c r="AA31" s="216">
        <f>-Calculations!BM34</f>
        <v>0</v>
      </c>
      <c r="AB31" s="20">
        <f>-Calculations!BN34</f>
        <v>0</v>
      </c>
      <c r="AC31" s="20">
        <f>-Calculations!BO34</f>
        <v>0</v>
      </c>
      <c r="AD31" s="20">
        <f>-Calculations!BP34</f>
        <v>0</v>
      </c>
      <c r="AE31" s="20">
        <f>-Calculations!BQ34</f>
        <v>0</v>
      </c>
      <c r="AF31" s="20">
        <f>-Calculations!BR34</f>
        <v>0</v>
      </c>
      <c r="AG31" s="20">
        <f>-Calculations!BS34</f>
        <v>0</v>
      </c>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1" s="5" customFormat="1">
      <c r="A32" s="238">
        <f t="shared" si="8"/>
        <v>28</v>
      </c>
      <c r="B32" s="70" t="s">
        <v>339</v>
      </c>
      <c r="C32" s="5" t="s">
        <v>352</v>
      </c>
      <c r="D32" s="216"/>
      <c r="E32" s="216"/>
      <c r="F32" s="216"/>
      <c r="G32" s="216">
        <f>-Calculations!AS35</f>
        <v>0</v>
      </c>
      <c r="H32" s="216">
        <f>-Calculations!AT35</f>
        <v>0</v>
      </c>
      <c r="I32" s="216">
        <f>-Calculations!AU35</f>
        <v>0</v>
      </c>
      <c r="J32" s="216">
        <f>-Calculations!AV35</f>
        <v>0</v>
      </c>
      <c r="K32" s="216">
        <f>-Calculations!AW35</f>
        <v>0</v>
      </c>
      <c r="L32" s="216">
        <f>-Calculations!AX35</f>
        <v>0</v>
      </c>
      <c r="M32" s="216">
        <f>-Calculations!AY35</f>
        <v>0</v>
      </c>
      <c r="N32" s="216">
        <f>-Calculations!AZ35</f>
        <v>0</v>
      </c>
      <c r="O32" s="216">
        <f>-Calculations!BA35</f>
        <v>0</v>
      </c>
      <c r="P32" s="216">
        <f>-Calculations!BB35</f>
        <v>0</v>
      </c>
      <c r="Q32" s="216">
        <f>-Calculations!BC35</f>
        <v>0</v>
      </c>
      <c r="R32" s="216">
        <f>-Calculations!BD35</f>
        <v>0</v>
      </c>
      <c r="S32" s="216">
        <f>-Calculations!BE35</f>
        <v>0</v>
      </c>
      <c r="T32" s="216">
        <f>-Calculations!BF35</f>
        <v>0</v>
      </c>
      <c r="U32" s="216">
        <f>-Calculations!BG35</f>
        <v>0</v>
      </c>
      <c r="V32" s="216">
        <f>-Calculations!BH35</f>
        <v>0</v>
      </c>
      <c r="W32" s="216">
        <f>-Calculations!BI35</f>
        <v>0</v>
      </c>
      <c r="X32" s="216">
        <f>-Calculations!BJ35</f>
        <v>0</v>
      </c>
      <c r="Y32" s="216">
        <f>-Calculations!BK35</f>
        <v>9060.9699999999993</v>
      </c>
      <c r="Z32" s="216">
        <f>-Calculations!BL35</f>
        <v>0</v>
      </c>
      <c r="AA32" s="216">
        <f>-Calculations!BM35</f>
        <v>42775.98</v>
      </c>
      <c r="AB32" s="20">
        <f>-Calculations!BN35</f>
        <v>0</v>
      </c>
      <c r="AC32" s="20">
        <f>-Calculations!BO35</f>
        <v>0</v>
      </c>
      <c r="AD32" s="20">
        <f>-Calculations!BP35</f>
        <v>0</v>
      </c>
      <c r="AE32" s="20">
        <f>-Calculations!BQ35</f>
        <v>0</v>
      </c>
      <c r="AF32" s="20">
        <f>-Calculations!BR35</f>
        <v>0</v>
      </c>
      <c r="AG32" s="20">
        <f>-Calculations!BS35</f>
        <v>0</v>
      </c>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row>
    <row r="33" spans="1:71" s="5" customFormat="1">
      <c r="A33" s="238">
        <f t="shared" si="8"/>
        <v>29</v>
      </c>
      <c r="B33" s="70" t="s">
        <v>340</v>
      </c>
      <c r="C33" s="5" t="s">
        <v>353</v>
      </c>
      <c r="D33" s="216"/>
      <c r="E33" s="216"/>
      <c r="F33" s="216"/>
      <c r="G33" s="216">
        <f>-Calculations!AS36</f>
        <v>0</v>
      </c>
      <c r="H33" s="216">
        <f>-Calculations!AT36</f>
        <v>0</v>
      </c>
      <c r="I33" s="216">
        <f>-Calculations!AU36</f>
        <v>0</v>
      </c>
      <c r="J33" s="216">
        <f>-Calculations!AV36</f>
        <v>0</v>
      </c>
      <c r="K33" s="216">
        <f>-Calculations!AW36</f>
        <v>0</v>
      </c>
      <c r="L33" s="216">
        <f>-Calculations!AX36</f>
        <v>0</v>
      </c>
      <c r="M33" s="216">
        <f>-Calculations!AY36</f>
        <v>0</v>
      </c>
      <c r="N33" s="216">
        <f>-Calculations!AZ36</f>
        <v>0</v>
      </c>
      <c r="O33" s="216">
        <f>-Calculations!BA36</f>
        <v>0</v>
      </c>
      <c r="P33" s="216">
        <f>-Calculations!BB36</f>
        <v>0</v>
      </c>
      <c r="Q33" s="216">
        <f>-Calculations!BC36</f>
        <v>0</v>
      </c>
      <c r="R33" s="216">
        <f>-Calculations!BD36</f>
        <v>0</v>
      </c>
      <c r="S33" s="216">
        <f>-Calculations!BE36</f>
        <v>0</v>
      </c>
      <c r="T33" s="216">
        <f>-Calculations!BF36</f>
        <v>0</v>
      </c>
      <c r="U33" s="216">
        <f>-Calculations!BG36</f>
        <v>0</v>
      </c>
      <c r="V33" s="216">
        <f>-Calculations!BH36</f>
        <v>0</v>
      </c>
      <c r="W33" s="216">
        <f>-Calculations!BI36</f>
        <v>0</v>
      </c>
      <c r="X33" s="216">
        <f>-Calculations!BJ36</f>
        <v>0</v>
      </c>
      <c r="Y33" s="216">
        <f>-Calculations!BK36</f>
        <v>0</v>
      </c>
      <c r="Z33" s="216">
        <f>-Calculations!BL36</f>
        <v>13725.11</v>
      </c>
      <c r="AA33" s="216">
        <f>-Calculations!BM36</f>
        <v>22138.33</v>
      </c>
      <c r="AB33" s="20">
        <f>-Calculations!BN36</f>
        <v>0</v>
      </c>
      <c r="AC33" s="20">
        <f>-Calculations!BO36</f>
        <v>0</v>
      </c>
      <c r="AD33" s="20">
        <f>-Calculations!BP36</f>
        <v>0</v>
      </c>
      <c r="AE33" s="20">
        <f>-Calculations!BQ36</f>
        <v>0</v>
      </c>
      <c r="AF33" s="20">
        <f>-Calculations!BR36</f>
        <v>0</v>
      </c>
      <c r="AG33" s="20">
        <f>-Calculations!BS36</f>
        <v>0</v>
      </c>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row>
    <row r="34" spans="1:71" s="5" customFormat="1">
      <c r="A34" s="238">
        <f t="shared" si="8"/>
        <v>30</v>
      </c>
      <c r="B34" s="70" t="s">
        <v>341</v>
      </c>
      <c r="C34" s="5" t="s">
        <v>354</v>
      </c>
      <c r="D34" s="216"/>
      <c r="E34" s="216"/>
      <c r="F34" s="216"/>
      <c r="G34" s="216">
        <f>-Calculations!AS37</f>
        <v>0</v>
      </c>
      <c r="H34" s="216">
        <f>-Calculations!AT37</f>
        <v>0</v>
      </c>
      <c r="I34" s="216">
        <f>-Calculations!AU37</f>
        <v>0</v>
      </c>
      <c r="J34" s="216">
        <f>-Calculations!AV37</f>
        <v>0</v>
      </c>
      <c r="K34" s="216">
        <f>-Calculations!AW37</f>
        <v>0</v>
      </c>
      <c r="L34" s="216">
        <f>-Calculations!AX37</f>
        <v>0</v>
      </c>
      <c r="M34" s="216">
        <f>-Calculations!AY37</f>
        <v>0</v>
      </c>
      <c r="N34" s="216">
        <f>-Calculations!AZ37</f>
        <v>0</v>
      </c>
      <c r="O34" s="216">
        <f>-Calculations!BA37</f>
        <v>0</v>
      </c>
      <c r="P34" s="216">
        <f>-Calculations!BB37</f>
        <v>0</v>
      </c>
      <c r="Q34" s="216">
        <f>-Calculations!BC37</f>
        <v>0</v>
      </c>
      <c r="R34" s="216">
        <f>-Calculations!BD37</f>
        <v>0</v>
      </c>
      <c r="S34" s="216">
        <f>-Calculations!BE37</f>
        <v>0</v>
      </c>
      <c r="T34" s="216">
        <f>-Calculations!BF37</f>
        <v>0</v>
      </c>
      <c r="U34" s="216">
        <f>-Calculations!BG37</f>
        <v>168631.27</v>
      </c>
      <c r="V34" s="216">
        <f>-Calculations!BH37</f>
        <v>0</v>
      </c>
      <c r="W34" s="216">
        <f>-Calculations!BI37</f>
        <v>-16904.900000000001</v>
      </c>
      <c r="X34" s="216">
        <f>-Calculations!BJ37</f>
        <v>0</v>
      </c>
      <c r="Y34" s="216">
        <f>-Calculations!BK37</f>
        <v>0</v>
      </c>
      <c r="Z34" s="216">
        <f>-Calculations!BL37</f>
        <v>0</v>
      </c>
      <c r="AA34" s="216">
        <f>-Calculations!BM37</f>
        <v>0</v>
      </c>
      <c r="AB34" s="20">
        <f>-Calculations!BN37</f>
        <v>0</v>
      </c>
      <c r="AC34" s="20">
        <f>-Calculations!BO37</f>
        <v>0</v>
      </c>
      <c r="AD34" s="20">
        <f>-Calculations!BP37</f>
        <v>0</v>
      </c>
      <c r="AE34" s="20">
        <f>-Calculations!BQ37</f>
        <v>0</v>
      </c>
      <c r="AF34" s="20">
        <f>-Calculations!BR37</f>
        <v>0</v>
      </c>
      <c r="AG34" s="20">
        <f>-Calculations!BS37</f>
        <v>0</v>
      </c>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row>
    <row r="35" spans="1:71" s="5" customFormat="1">
      <c r="A35" s="238">
        <f t="shared" si="8"/>
        <v>31</v>
      </c>
      <c r="B35" s="70" t="s">
        <v>342</v>
      </c>
      <c r="C35" s="5" t="s">
        <v>355</v>
      </c>
      <c r="D35" s="216"/>
      <c r="E35" s="216"/>
      <c r="F35" s="216"/>
      <c r="G35" s="216">
        <f>-Calculations!AS38</f>
        <v>0</v>
      </c>
      <c r="H35" s="216">
        <f>-Calculations!AT38</f>
        <v>0</v>
      </c>
      <c r="I35" s="216">
        <f>-Calculations!AU38</f>
        <v>0</v>
      </c>
      <c r="J35" s="216">
        <f>-Calculations!AV38</f>
        <v>0</v>
      </c>
      <c r="K35" s="216">
        <f>-Calculations!AW38</f>
        <v>0</v>
      </c>
      <c r="L35" s="216">
        <f>-Calculations!AX38</f>
        <v>0</v>
      </c>
      <c r="M35" s="216">
        <f>-Calculations!AY38</f>
        <v>0</v>
      </c>
      <c r="N35" s="216">
        <f>-Calculations!AZ38</f>
        <v>0</v>
      </c>
      <c r="O35" s="216">
        <f>-Calculations!BA38</f>
        <v>0</v>
      </c>
      <c r="P35" s="216">
        <f>-Calculations!BB38</f>
        <v>0</v>
      </c>
      <c r="Q35" s="216">
        <f>-Calculations!BC38</f>
        <v>0</v>
      </c>
      <c r="R35" s="216">
        <f>-Calculations!BD38</f>
        <v>0</v>
      </c>
      <c r="S35" s="216">
        <f>-Calculations!BE38</f>
        <v>0</v>
      </c>
      <c r="T35" s="216">
        <f>-Calculations!BF38</f>
        <v>0</v>
      </c>
      <c r="U35" s="216">
        <f>-Calculations!BG38</f>
        <v>1682784.72</v>
      </c>
      <c r="V35" s="216">
        <f>-Calculations!BH38</f>
        <v>36192.639999999999</v>
      </c>
      <c r="W35" s="216">
        <f>-Calculations!BI38</f>
        <v>2414.58</v>
      </c>
      <c r="X35" s="216">
        <f>-Calculations!BJ38</f>
        <v>0</v>
      </c>
      <c r="Y35" s="216">
        <f>-Calculations!BK38</f>
        <v>0</v>
      </c>
      <c r="Z35" s="216">
        <f>-Calculations!BL38</f>
        <v>0</v>
      </c>
      <c r="AA35" s="216">
        <f>-Calculations!BM38</f>
        <v>0</v>
      </c>
      <c r="AB35" s="20">
        <f>-Calculations!BN38</f>
        <v>0</v>
      </c>
      <c r="AC35" s="20">
        <f>-Calculations!BO38</f>
        <v>0</v>
      </c>
      <c r="AD35" s="20">
        <f>-Calculations!BP38</f>
        <v>0</v>
      </c>
      <c r="AE35" s="20">
        <f>-Calculations!BQ38</f>
        <v>0</v>
      </c>
      <c r="AF35" s="20">
        <f>-Calculations!BR38</f>
        <v>0</v>
      </c>
      <c r="AG35" s="20">
        <f>-Calculations!BS38</f>
        <v>0</v>
      </c>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row>
    <row r="36" spans="1:71" s="5" customFormat="1">
      <c r="A36" s="238">
        <f t="shared" si="8"/>
        <v>32</v>
      </c>
      <c r="B36" s="70"/>
      <c r="C36" s="5" t="s">
        <v>371</v>
      </c>
      <c r="D36" s="216"/>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0">
        <v>-9903.3700000000008</v>
      </c>
      <c r="AC36" s="20"/>
      <c r="AD36" s="20"/>
      <c r="AE36" s="20"/>
      <c r="AF36" s="20"/>
      <c r="AG36" s="20"/>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row>
    <row r="37" spans="1:71" s="5" customFormat="1">
      <c r="A37" s="238">
        <f t="shared" si="8"/>
        <v>33</v>
      </c>
      <c r="C37" s="235" t="s">
        <v>148</v>
      </c>
      <c r="D37" s="216"/>
      <c r="E37" s="216"/>
      <c r="F37" s="216"/>
      <c r="G37" s="216"/>
      <c r="H37" s="216"/>
      <c r="I37" s="216"/>
      <c r="J37" s="216"/>
      <c r="K37" s="216"/>
      <c r="L37" s="216"/>
      <c r="M37" s="216"/>
      <c r="N37" s="216"/>
      <c r="O37" s="216"/>
      <c r="P37" s="216"/>
      <c r="Q37" s="216">
        <v>-352690.22</v>
      </c>
      <c r="R37" s="216"/>
      <c r="S37" s="216"/>
      <c r="T37" s="216"/>
      <c r="U37" s="216"/>
      <c r="V37" s="216"/>
      <c r="W37" s="216"/>
      <c r="X37" s="216"/>
      <c r="Y37" s="216"/>
      <c r="Z37" s="216"/>
      <c r="AA37" s="216"/>
      <c r="AB37" s="216"/>
      <c r="AC37" s="216"/>
      <c r="AD37" s="216"/>
      <c r="AE37" s="216"/>
      <c r="AF37" s="216"/>
      <c r="AG37" s="216"/>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row>
    <row r="38" spans="1:71">
      <c r="A38" s="238">
        <f t="shared" si="8"/>
        <v>34</v>
      </c>
      <c r="C38" s="2" t="s">
        <v>149</v>
      </c>
      <c r="D38" s="20"/>
      <c r="E38" s="20"/>
      <c r="F38" s="20"/>
      <c r="G38" s="20"/>
      <c r="H38" s="20"/>
      <c r="I38" s="20"/>
      <c r="J38" s="20"/>
      <c r="K38" s="20"/>
      <c r="L38" s="20"/>
      <c r="M38" s="20"/>
      <c r="N38" s="20"/>
      <c r="O38" s="20"/>
      <c r="P38" s="20"/>
      <c r="Q38" s="216">
        <v>-762863.21</v>
      </c>
      <c r="R38" s="20"/>
      <c r="S38" s="20"/>
      <c r="T38" s="20"/>
      <c r="U38" s="20"/>
      <c r="V38" s="20"/>
      <c r="W38" s="20"/>
      <c r="X38" s="20"/>
      <c r="Y38" s="20"/>
      <c r="Z38" s="20"/>
      <c r="AA38" s="20"/>
      <c r="AB38" s="20"/>
      <c r="AC38" s="20"/>
      <c r="AD38" s="20"/>
      <c r="AE38" s="20"/>
      <c r="AF38" s="20"/>
      <c r="AG38" s="20"/>
    </row>
    <row r="39" spans="1:71">
      <c r="A39" s="238">
        <f t="shared" si="8"/>
        <v>35</v>
      </c>
      <c r="C39" s="2" t="s">
        <v>150</v>
      </c>
      <c r="D39" s="20"/>
      <c r="E39" s="20"/>
      <c r="F39" s="20"/>
      <c r="G39" s="20"/>
      <c r="H39" s="20"/>
      <c r="I39" s="20"/>
      <c r="J39" s="20"/>
      <c r="K39" s="20"/>
      <c r="L39" s="20"/>
      <c r="M39" s="20"/>
      <c r="N39" s="20"/>
      <c r="O39" s="20"/>
      <c r="P39" s="20"/>
      <c r="Q39" s="216">
        <v>-154639.31</v>
      </c>
      <c r="R39" s="20"/>
      <c r="S39" s="20"/>
      <c r="T39" s="20"/>
      <c r="U39" s="20"/>
      <c r="V39" s="20"/>
      <c r="W39" s="20"/>
      <c r="X39" s="20"/>
      <c r="Y39" s="20"/>
      <c r="Z39" s="20"/>
      <c r="AA39" s="20"/>
      <c r="AB39" s="20"/>
      <c r="AC39" s="20"/>
      <c r="AD39" s="20"/>
      <c r="AE39" s="20"/>
      <c r="AF39" s="20"/>
      <c r="AG39" s="20"/>
    </row>
    <row r="40" spans="1:71">
      <c r="A40" s="238">
        <f t="shared" si="8"/>
        <v>36</v>
      </c>
      <c r="C40" s="215" t="s">
        <v>321</v>
      </c>
      <c r="D40" s="20"/>
      <c r="E40" s="20"/>
      <c r="F40" s="20"/>
      <c r="G40" s="20"/>
      <c r="H40" s="20">
        <v>-651869</v>
      </c>
      <c r="I40" s="20"/>
      <c r="J40" s="20"/>
      <c r="K40" s="20"/>
      <c r="L40" s="20"/>
      <c r="M40" s="20"/>
      <c r="N40" s="20"/>
      <c r="O40" s="20"/>
      <c r="P40" s="20"/>
      <c r="Q40" s="20"/>
      <c r="R40" s="20"/>
      <c r="S40" s="20"/>
      <c r="T40" s="20"/>
      <c r="U40" s="20"/>
      <c r="V40" s="20"/>
      <c r="W40" s="20"/>
      <c r="X40" s="20"/>
      <c r="Y40" s="20"/>
      <c r="Z40" s="20"/>
      <c r="AA40" s="20"/>
      <c r="AB40" s="20">
        <v>-195482.4</v>
      </c>
      <c r="AC40" s="20"/>
      <c r="AD40" s="20"/>
      <c r="AE40" s="20"/>
      <c r="AF40" s="20"/>
      <c r="AG40" s="20"/>
    </row>
    <row r="41" spans="1:71">
      <c r="A41" s="238">
        <f t="shared" si="8"/>
        <v>37</v>
      </c>
      <c r="C41" s="215" t="s">
        <v>370</v>
      </c>
      <c r="D41" s="20"/>
      <c r="E41" s="20"/>
      <c r="F41" s="20"/>
      <c r="G41" s="20"/>
      <c r="H41" s="20"/>
      <c r="I41" s="20"/>
      <c r="J41" s="20"/>
      <c r="K41" s="20"/>
      <c r="L41" s="20"/>
      <c r="M41" s="20"/>
      <c r="N41" s="20"/>
      <c r="O41" s="20"/>
      <c r="P41" s="20"/>
      <c r="Q41" s="20"/>
      <c r="R41" s="20"/>
      <c r="S41" s="20"/>
      <c r="T41" s="20"/>
      <c r="U41" s="20"/>
      <c r="V41" s="20"/>
      <c r="W41" s="20"/>
      <c r="X41" s="20"/>
      <c r="Y41" s="20"/>
      <c r="Z41" s="20"/>
      <c r="AA41" s="20"/>
      <c r="AB41" s="20">
        <v>-644.83000000000004</v>
      </c>
      <c r="AC41" s="20"/>
      <c r="AD41" s="20"/>
      <c r="AE41" s="20"/>
      <c r="AF41" s="20"/>
      <c r="AG41" s="20"/>
    </row>
    <row r="42" spans="1:71">
      <c r="A42" s="238">
        <f t="shared" si="8"/>
        <v>38</v>
      </c>
      <c r="C42" s="215" t="s">
        <v>320</v>
      </c>
      <c r="D42" s="20"/>
      <c r="E42" s="20"/>
      <c r="F42" s="20"/>
      <c r="G42" s="20"/>
      <c r="H42" s="20"/>
      <c r="I42" s="20"/>
      <c r="J42" s="20"/>
      <c r="K42" s="20"/>
      <c r="L42" s="20"/>
      <c r="M42" s="20"/>
      <c r="N42" s="20"/>
      <c r="O42" s="20"/>
      <c r="P42" s="20"/>
      <c r="Q42" s="20"/>
      <c r="R42" s="20"/>
      <c r="S42" s="20"/>
      <c r="T42" s="20"/>
      <c r="U42" s="216">
        <v>-464004.12</v>
      </c>
      <c r="V42" s="20"/>
      <c r="W42" s="20"/>
      <c r="X42" s="20"/>
      <c r="Y42" s="20"/>
      <c r="Z42" s="20"/>
      <c r="AA42" s="20"/>
      <c r="AB42" s="20"/>
      <c r="AC42" s="20"/>
      <c r="AD42" s="20"/>
      <c r="AE42" s="20"/>
      <c r="AF42" s="20"/>
      <c r="AG42" s="20"/>
    </row>
    <row r="43" spans="1:71">
      <c r="A43" s="238">
        <f t="shared" si="8"/>
        <v>39</v>
      </c>
      <c r="C43" s="215" t="s">
        <v>373</v>
      </c>
      <c r="D43" s="20"/>
      <c r="E43" s="20"/>
      <c r="F43" s="20"/>
      <c r="G43" s="20"/>
      <c r="H43" s="20"/>
      <c r="I43" s="20"/>
      <c r="J43" s="20"/>
      <c r="K43" s="20"/>
      <c r="L43" s="20"/>
      <c r="M43" s="20"/>
      <c r="N43" s="20"/>
      <c r="O43" s="20"/>
      <c r="P43" s="20"/>
      <c r="Q43" s="20"/>
      <c r="R43" s="20"/>
      <c r="S43" s="20"/>
      <c r="T43" s="20"/>
      <c r="U43" s="216"/>
      <c r="V43" s="20"/>
      <c r="W43" s="20"/>
      <c r="X43" s="20"/>
      <c r="Y43" s="20"/>
      <c r="Z43" s="20"/>
      <c r="AA43" s="20"/>
      <c r="AB43" s="20">
        <v>-1204.83</v>
      </c>
      <c r="AC43" s="20"/>
      <c r="AD43" s="20"/>
      <c r="AE43" s="20"/>
      <c r="AF43" s="20"/>
      <c r="AG43" s="20"/>
    </row>
    <row r="44" spans="1:71">
      <c r="A44" s="238">
        <f t="shared" si="8"/>
        <v>40</v>
      </c>
      <c r="C44" s="215" t="s">
        <v>372</v>
      </c>
      <c r="D44" s="20"/>
      <c r="E44" s="20"/>
      <c r="F44" s="20"/>
      <c r="G44" s="20"/>
      <c r="H44" s="20"/>
      <c r="I44" s="20"/>
      <c r="J44" s="20"/>
      <c r="K44" s="20"/>
      <c r="L44" s="20"/>
      <c r="M44" s="20"/>
      <c r="N44" s="20"/>
      <c r="O44" s="20"/>
      <c r="P44" s="20"/>
      <c r="Q44" s="20"/>
      <c r="R44" s="20"/>
      <c r="S44" s="20"/>
      <c r="T44" s="20"/>
      <c r="U44" s="216"/>
      <c r="V44" s="20"/>
      <c r="W44" s="20"/>
      <c r="X44" s="20"/>
      <c r="Y44" s="20"/>
      <c r="Z44" s="20"/>
      <c r="AA44" s="20"/>
      <c r="AB44" s="20">
        <v>-4756.34</v>
      </c>
      <c r="AC44" s="20"/>
      <c r="AD44" s="20"/>
      <c r="AE44" s="20"/>
      <c r="AF44" s="20"/>
      <c r="AG44" s="20"/>
    </row>
    <row r="45" spans="1:71">
      <c r="A45" s="238">
        <f t="shared" si="8"/>
        <v>41</v>
      </c>
      <c r="C45" s="215" t="s">
        <v>374</v>
      </c>
      <c r="D45" s="20"/>
      <c r="E45" s="20"/>
      <c r="F45" s="20"/>
      <c r="G45" s="20"/>
      <c r="H45" s="20"/>
      <c r="I45" s="20"/>
      <c r="J45" s="20"/>
      <c r="K45" s="20"/>
      <c r="L45" s="20"/>
      <c r="M45" s="20"/>
      <c r="N45" s="20"/>
      <c r="O45" s="20"/>
      <c r="P45" s="20"/>
      <c r="Q45" s="20"/>
      <c r="R45" s="20"/>
      <c r="S45" s="20"/>
      <c r="T45" s="20"/>
      <c r="U45" s="216"/>
      <c r="V45" s="20"/>
      <c r="W45" s="20"/>
      <c r="X45" s="20"/>
      <c r="Y45" s="20"/>
      <c r="Z45" s="20"/>
      <c r="AA45" s="20"/>
      <c r="AB45" s="20">
        <v>-5000</v>
      </c>
      <c r="AC45" s="20"/>
      <c r="AD45" s="20"/>
      <c r="AE45" s="20"/>
      <c r="AF45" s="20"/>
      <c r="AG45" s="20"/>
    </row>
    <row r="46" spans="1:71" ht="13.5" thickBot="1">
      <c r="A46" s="69">
        <f>A42+1</f>
        <v>39</v>
      </c>
      <c r="C46" s="3" t="s">
        <v>129</v>
      </c>
      <c r="D46" s="52">
        <f>SUM(D5:D45)</f>
        <v>10750282.300000001</v>
      </c>
      <c r="E46" s="52">
        <f t="shared" ref="E46:AS46" si="9">SUM(E5:E45)</f>
        <v>0</v>
      </c>
      <c r="F46" s="52">
        <f t="shared" si="9"/>
        <v>383381</v>
      </c>
      <c r="G46" s="52">
        <f t="shared" si="9"/>
        <v>4579607.57</v>
      </c>
      <c r="H46" s="52">
        <f t="shared" si="9"/>
        <v>19719894.529999997</v>
      </c>
      <c r="I46" s="52">
        <f t="shared" si="9"/>
        <v>54606.11</v>
      </c>
      <c r="J46" s="52">
        <f t="shared" si="9"/>
        <v>-49598.2</v>
      </c>
      <c r="K46" s="52">
        <f t="shared" si="9"/>
        <v>0</v>
      </c>
      <c r="L46" s="52">
        <f t="shared" si="9"/>
        <v>167105.60000000001</v>
      </c>
      <c r="M46" s="52">
        <f t="shared" si="9"/>
        <v>1256.4500000000003</v>
      </c>
      <c r="N46" s="52">
        <f t="shared" si="9"/>
        <v>909649.35</v>
      </c>
      <c r="O46" s="52">
        <f t="shared" si="9"/>
        <v>-85401.47</v>
      </c>
      <c r="P46" s="52">
        <f t="shared" si="9"/>
        <v>2464964.9200000004</v>
      </c>
      <c r="Q46" s="52">
        <f t="shared" si="9"/>
        <v>29623073.130000003</v>
      </c>
      <c r="R46" s="52">
        <f t="shared" si="9"/>
        <v>928339.97</v>
      </c>
      <c r="S46" s="52">
        <f t="shared" si="9"/>
        <v>-90949.73</v>
      </c>
      <c r="T46" s="52">
        <f t="shared" si="9"/>
        <v>1561224.3499999999</v>
      </c>
      <c r="U46" s="52">
        <f t="shared" si="9"/>
        <v>22684400.369999997</v>
      </c>
      <c r="V46" s="52">
        <f t="shared" si="9"/>
        <v>54085.869999999995</v>
      </c>
      <c r="W46" s="52">
        <f t="shared" si="9"/>
        <v>64508.26</v>
      </c>
      <c r="X46" s="52">
        <f t="shared" si="9"/>
        <v>195458.72999999998</v>
      </c>
      <c r="Y46" s="52">
        <f t="shared" si="9"/>
        <v>32845.509999999995</v>
      </c>
      <c r="Z46" s="52">
        <f t="shared" si="9"/>
        <v>37512.54</v>
      </c>
      <c r="AA46" s="52">
        <f t="shared" si="9"/>
        <v>232931.84999999992</v>
      </c>
      <c r="AB46" s="52">
        <f t="shared" si="9"/>
        <v>15375559.110000001</v>
      </c>
      <c r="AC46" s="52">
        <f t="shared" si="9"/>
        <v>0</v>
      </c>
      <c r="AD46" s="52">
        <f t="shared" si="9"/>
        <v>0</v>
      </c>
      <c r="AE46" s="52">
        <f t="shared" si="9"/>
        <v>0</v>
      </c>
      <c r="AF46" s="52">
        <f t="shared" si="9"/>
        <v>0</v>
      </c>
      <c r="AG46" s="52">
        <f t="shared" si="9"/>
        <v>0</v>
      </c>
      <c r="AH46" s="52">
        <f t="shared" si="9"/>
        <v>0</v>
      </c>
      <c r="AI46" s="52">
        <f t="shared" si="9"/>
        <v>0</v>
      </c>
      <c r="AJ46" s="52">
        <f t="shared" si="9"/>
        <v>0</v>
      </c>
      <c r="AK46" s="52">
        <f t="shared" si="9"/>
        <v>0</v>
      </c>
      <c r="AL46" s="52">
        <f t="shared" si="9"/>
        <v>0</v>
      </c>
      <c r="AM46" s="52">
        <f t="shared" si="9"/>
        <v>0</v>
      </c>
      <c r="AN46" s="52">
        <f t="shared" si="9"/>
        <v>0</v>
      </c>
      <c r="AO46" s="52">
        <f t="shared" si="9"/>
        <v>0</v>
      </c>
      <c r="AP46" s="52">
        <f t="shared" si="9"/>
        <v>0</v>
      </c>
      <c r="AQ46" s="52">
        <f t="shared" si="9"/>
        <v>0</v>
      </c>
      <c r="AR46" s="52">
        <f t="shared" si="9"/>
        <v>0</v>
      </c>
      <c r="AS46" s="52">
        <f t="shared" si="9"/>
        <v>0</v>
      </c>
    </row>
    <row r="47" spans="1:71" ht="13.5" thickTop="1">
      <c r="A47" s="69">
        <f t="shared" si="8"/>
        <v>40</v>
      </c>
      <c r="C47" s="215" t="s">
        <v>297</v>
      </c>
      <c r="H47" s="20">
        <v>-18718.990000000002</v>
      </c>
      <c r="Q47" s="20">
        <v>-109249.52</v>
      </c>
      <c r="R47" s="20"/>
      <c r="S47" s="20"/>
      <c r="T47" s="20"/>
      <c r="U47" s="20"/>
      <c r="AB47" s="20">
        <v>-34794.01</v>
      </c>
    </row>
    <row r="48" spans="1:71">
      <c r="A48" s="69">
        <f t="shared" si="8"/>
        <v>41</v>
      </c>
      <c r="C48" s="2" t="s">
        <v>130</v>
      </c>
      <c r="D48" s="20">
        <v>-10100000</v>
      </c>
    </row>
    <row r="49" spans="1:71">
      <c r="A49" s="69">
        <f t="shared" si="8"/>
        <v>42</v>
      </c>
      <c r="C49" s="2" t="s">
        <v>131</v>
      </c>
      <c r="D49" s="20">
        <f>SUM(D48,D46)</f>
        <v>650282.30000000075</v>
      </c>
    </row>
    <row r="51" spans="1:71">
      <c r="A51" s="69">
        <f>A49+1</f>
        <v>43</v>
      </c>
      <c r="C51" s="2" t="s">
        <v>132</v>
      </c>
      <c r="D51" s="1">
        <f>D46</f>
        <v>10750282.300000001</v>
      </c>
      <c r="E51" s="1">
        <f>D51+E46</f>
        <v>10750282.300000001</v>
      </c>
      <c r="F51" s="1">
        <f t="shared" ref="F51:AG51" si="10">E51+F46</f>
        <v>11133663.300000001</v>
      </c>
      <c r="G51" s="1">
        <f t="shared" si="10"/>
        <v>15713270.870000001</v>
      </c>
      <c r="H51" s="1">
        <f t="shared" si="10"/>
        <v>35433165.399999999</v>
      </c>
      <c r="I51" s="1">
        <f t="shared" si="10"/>
        <v>35487771.509999998</v>
      </c>
      <c r="J51" s="1">
        <f t="shared" si="10"/>
        <v>35438173.309999995</v>
      </c>
      <c r="K51" s="1">
        <f t="shared" si="10"/>
        <v>35438173.309999995</v>
      </c>
      <c r="L51" s="1">
        <f t="shared" si="10"/>
        <v>35605278.909999996</v>
      </c>
      <c r="M51" s="1">
        <f t="shared" si="10"/>
        <v>35606535.359999999</v>
      </c>
      <c r="N51" s="1">
        <f t="shared" si="10"/>
        <v>36516184.710000001</v>
      </c>
      <c r="O51" s="1">
        <f t="shared" si="10"/>
        <v>36430783.240000002</v>
      </c>
      <c r="P51" s="1">
        <f t="shared" si="10"/>
        <v>38895748.160000004</v>
      </c>
      <c r="Q51" s="1">
        <f t="shared" si="10"/>
        <v>68518821.290000007</v>
      </c>
      <c r="R51" s="1">
        <f t="shared" si="10"/>
        <v>69447161.260000005</v>
      </c>
      <c r="S51" s="1">
        <f t="shared" si="10"/>
        <v>69356211.530000001</v>
      </c>
      <c r="T51" s="1">
        <f t="shared" si="10"/>
        <v>70917435.879999995</v>
      </c>
      <c r="U51" s="1">
        <f t="shared" si="10"/>
        <v>93601836.25</v>
      </c>
      <c r="V51" s="1">
        <f t="shared" si="10"/>
        <v>93655922.120000005</v>
      </c>
      <c r="W51" s="1">
        <f t="shared" si="10"/>
        <v>93720430.38000001</v>
      </c>
      <c r="X51" s="1">
        <f t="shared" si="10"/>
        <v>93915889.110000014</v>
      </c>
      <c r="Y51" s="1">
        <f t="shared" si="10"/>
        <v>93948734.62000002</v>
      </c>
      <c r="Z51" s="1">
        <f t="shared" si="10"/>
        <v>93986247.160000026</v>
      </c>
      <c r="AA51" s="1">
        <f t="shared" si="10"/>
        <v>94219179.01000002</v>
      </c>
      <c r="AB51" s="1">
        <f t="shared" si="10"/>
        <v>109594738.12000002</v>
      </c>
      <c r="AC51" s="1">
        <f t="shared" si="10"/>
        <v>109594738.12000002</v>
      </c>
      <c r="AD51" s="1">
        <f t="shared" si="10"/>
        <v>109594738.12000002</v>
      </c>
      <c r="AE51" s="1">
        <f t="shared" si="10"/>
        <v>109594738.12000002</v>
      </c>
      <c r="AF51" s="1">
        <f t="shared" si="10"/>
        <v>109594738.12000002</v>
      </c>
      <c r="AG51" s="1">
        <f t="shared" si="10"/>
        <v>109594738.12000002</v>
      </c>
      <c r="AH51" s="1">
        <f t="shared" ref="AH51" si="11">AG51+AH46</f>
        <v>109594738.12000002</v>
      </c>
      <c r="AI51" s="1">
        <f t="shared" ref="AI51" si="12">AH51+AI46</f>
        <v>109594738.12000002</v>
      </c>
      <c r="AJ51" s="1">
        <f t="shared" ref="AJ51" si="13">AI51+AJ46</f>
        <v>109594738.12000002</v>
      </c>
      <c r="AK51" s="1">
        <f t="shared" ref="AK51" si="14">AJ51+AK46</f>
        <v>109594738.12000002</v>
      </c>
      <c r="AL51" s="1">
        <f t="shared" ref="AL51" si="15">AK51+AL46</f>
        <v>109594738.12000002</v>
      </c>
      <c r="AM51" s="1">
        <f t="shared" ref="AM51" si="16">AL51+AM46</f>
        <v>109594738.12000002</v>
      </c>
      <c r="AN51" s="1">
        <f t="shared" ref="AN51" si="17">AM51+AN46</f>
        <v>109594738.12000002</v>
      </c>
      <c r="AO51" s="1">
        <f t="shared" ref="AO51" si="18">AN51+AO46</f>
        <v>109594738.12000002</v>
      </c>
      <c r="AP51" s="1">
        <f t="shared" ref="AP51" si="19">AO51+AP46</f>
        <v>109594738.12000002</v>
      </c>
      <c r="AQ51" s="1">
        <f t="shared" ref="AQ51" si="20">AP51+AQ46</f>
        <v>109594738.12000002</v>
      </c>
      <c r="AR51" s="1">
        <f t="shared" ref="AR51" si="21">AQ51+AR46</f>
        <v>109594738.12000002</v>
      </c>
      <c r="AS51" s="1">
        <f t="shared" ref="AS51" si="22">AR51+AS46</f>
        <v>109594738.12000002</v>
      </c>
    </row>
    <row r="52" spans="1:71">
      <c r="A52" s="69">
        <f>A51+1</f>
        <v>44</v>
      </c>
      <c r="C52" s="2" t="s">
        <v>133</v>
      </c>
      <c r="D52" s="1">
        <f>D49</f>
        <v>650282.30000000075</v>
      </c>
      <c r="E52" s="1">
        <f>D52+E46</f>
        <v>650282.30000000075</v>
      </c>
      <c r="F52" s="1">
        <f t="shared" ref="F52:AF52" si="23">E52+F46</f>
        <v>1033663.3000000007</v>
      </c>
      <c r="G52" s="1">
        <f t="shared" si="23"/>
        <v>5613270.870000001</v>
      </c>
      <c r="H52" s="1">
        <f t="shared" si="23"/>
        <v>25333165.399999999</v>
      </c>
      <c r="I52" s="1">
        <f t="shared" si="23"/>
        <v>25387771.509999998</v>
      </c>
      <c r="J52" s="1">
        <f t="shared" si="23"/>
        <v>25338173.309999999</v>
      </c>
      <c r="K52" s="1">
        <f t="shared" si="23"/>
        <v>25338173.309999999</v>
      </c>
      <c r="L52" s="1">
        <f t="shared" si="23"/>
        <v>25505278.91</v>
      </c>
      <c r="M52" s="1">
        <f t="shared" si="23"/>
        <v>25506535.359999999</v>
      </c>
      <c r="N52" s="1">
        <f t="shared" si="23"/>
        <v>26416184.710000001</v>
      </c>
      <c r="O52" s="1">
        <f t="shared" si="23"/>
        <v>26330783.240000002</v>
      </c>
      <c r="P52" s="1">
        <f t="shared" si="23"/>
        <v>28795748.160000004</v>
      </c>
      <c r="Q52" s="1">
        <f t="shared" si="23"/>
        <v>58418821.290000007</v>
      </c>
      <c r="R52" s="1">
        <f t="shared" si="23"/>
        <v>59347161.260000005</v>
      </c>
      <c r="S52" s="1">
        <f t="shared" si="23"/>
        <v>59256211.530000009</v>
      </c>
      <c r="T52" s="1">
        <f t="shared" si="23"/>
        <v>60817435.88000001</v>
      </c>
      <c r="U52" s="1">
        <f t="shared" si="23"/>
        <v>83501836.25</v>
      </c>
      <c r="V52" s="1">
        <f t="shared" si="23"/>
        <v>83555922.120000005</v>
      </c>
      <c r="W52" s="1">
        <f t="shared" si="23"/>
        <v>83620430.38000001</v>
      </c>
      <c r="X52" s="1">
        <f t="shared" si="23"/>
        <v>83815889.110000014</v>
      </c>
      <c r="Y52" s="1">
        <f t="shared" si="23"/>
        <v>83848734.62000002</v>
      </c>
      <c r="Z52" s="1">
        <f t="shared" si="23"/>
        <v>83886247.160000026</v>
      </c>
      <c r="AA52" s="1">
        <f t="shared" si="23"/>
        <v>84119179.01000002</v>
      </c>
      <c r="AB52" s="1">
        <f t="shared" si="23"/>
        <v>99494738.12000002</v>
      </c>
      <c r="AC52" s="1">
        <f t="shared" si="23"/>
        <v>99494738.12000002</v>
      </c>
      <c r="AD52" s="1">
        <f t="shared" si="23"/>
        <v>99494738.12000002</v>
      </c>
      <c r="AE52" s="1">
        <f t="shared" si="23"/>
        <v>99494738.12000002</v>
      </c>
      <c r="AF52" s="1">
        <f t="shared" si="23"/>
        <v>99494738.12000002</v>
      </c>
      <c r="AG52" s="1">
        <f>AF52+AG46</f>
        <v>99494738.12000002</v>
      </c>
      <c r="AH52" s="1">
        <f t="shared" ref="AH52:AS52" si="24">AG52+AH46</f>
        <v>99494738.12000002</v>
      </c>
      <c r="AI52" s="1">
        <f t="shared" si="24"/>
        <v>99494738.12000002</v>
      </c>
      <c r="AJ52" s="1">
        <f t="shared" si="24"/>
        <v>99494738.12000002</v>
      </c>
      <c r="AK52" s="1">
        <f t="shared" si="24"/>
        <v>99494738.12000002</v>
      </c>
      <c r="AL52" s="1">
        <f t="shared" si="24"/>
        <v>99494738.12000002</v>
      </c>
      <c r="AM52" s="1">
        <f t="shared" si="24"/>
        <v>99494738.12000002</v>
      </c>
      <c r="AN52" s="1">
        <f t="shared" si="24"/>
        <v>99494738.12000002</v>
      </c>
      <c r="AO52" s="1">
        <f t="shared" si="24"/>
        <v>99494738.12000002</v>
      </c>
      <c r="AP52" s="1">
        <f t="shared" si="24"/>
        <v>99494738.12000002</v>
      </c>
      <c r="AQ52" s="1">
        <f t="shared" si="24"/>
        <v>99494738.12000002</v>
      </c>
      <c r="AR52" s="1">
        <f t="shared" si="24"/>
        <v>99494738.12000002</v>
      </c>
      <c r="AS52" s="1">
        <f t="shared" si="24"/>
        <v>99494738.12000002</v>
      </c>
    </row>
    <row r="53" spans="1:71">
      <c r="A53" s="69">
        <f t="shared" ref="A53:A64" si="25">A52+1</f>
        <v>45</v>
      </c>
      <c r="C53" s="2" t="s">
        <v>134</v>
      </c>
      <c r="D53" s="25">
        <f t="shared" ref="D53:AS53" si="26">0.021/12</f>
        <v>1.75E-3</v>
      </c>
      <c r="E53" s="25">
        <f t="shared" si="26"/>
        <v>1.75E-3</v>
      </c>
      <c r="F53" s="25">
        <f t="shared" si="26"/>
        <v>1.75E-3</v>
      </c>
      <c r="G53" s="25">
        <f t="shared" si="26"/>
        <v>1.75E-3</v>
      </c>
      <c r="H53" s="25">
        <f t="shared" si="26"/>
        <v>1.75E-3</v>
      </c>
      <c r="I53" s="25">
        <f t="shared" si="26"/>
        <v>1.75E-3</v>
      </c>
      <c r="J53" s="25">
        <f t="shared" si="26"/>
        <v>1.75E-3</v>
      </c>
      <c r="K53" s="25">
        <f t="shared" si="26"/>
        <v>1.75E-3</v>
      </c>
      <c r="L53" s="25">
        <f t="shared" si="26"/>
        <v>1.75E-3</v>
      </c>
      <c r="M53" s="25">
        <f t="shared" si="26"/>
        <v>1.75E-3</v>
      </c>
      <c r="N53" s="25">
        <f t="shared" si="26"/>
        <v>1.75E-3</v>
      </c>
      <c r="O53" s="25">
        <f t="shared" si="26"/>
        <v>1.75E-3</v>
      </c>
      <c r="P53" s="25">
        <f t="shared" si="26"/>
        <v>1.75E-3</v>
      </c>
      <c r="Q53" s="25">
        <f t="shared" si="26"/>
        <v>1.75E-3</v>
      </c>
      <c r="R53" s="25">
        <f t="shared" si="26"/>
        <v>1.75E-3</v>
      </c>
      <c r="S53" s="25">
        <f t="shared" si="26"/>
        <v>1.75E-3</v>
      </c>
      <c r="T53" s="25">
        <f t="shared" si="26"/>
        <v>1.75E-3</v>
      </c>
      <c r="U53" s="25">
        <f t="shared" si="26"/>
        <v>1.75E-3</v>
      </c>
      <c r="V53" s="25">
        <f t="shared" si="26"/>
        <v>1.75E-3</v>
      </c>
      <c r="W53" s="25">
        <f t="shared" si="26"/>
        <v>1.75E-3</v>
      </c>
      <c r="X53" s="25">
        <f t="shared" si="26"/>
        <v>1.75E-3</v>
      </c>
      <c r="Y53" s="25">
        <f t="shared" si="26"/>
        <v>1.75E-3</v>
      </c>
      <c r="Z53" s="25">
        <f t="shared" si="26"/>
        <v>1.75E-3</v>
      </c>
      <c r="AA53" s="25">
        <f t="shared" si="26"/>
        <v>1.75E-3</v>
      </c>
      <c r="AB53" s="25">
        <f t="shared" si="26"/>
        <v>1.75E-3</v>
      </c>
      <c r="AC53" s="25">
        <f t="shared" si="26"/>
        <v>1.75E-3</v>
      </c>
      <c r="AD53" s="25">
        <f t="shared" si="26"/>
        <v>1.75E-3</v>
      </c>
      <c r="AE53" s="25">
        <f t="shared" si="26"/>
        <v>1.75E-3</v>
      </c>
      <c r="AF53" s="25">
        <f t="shared" si="26"/>
        <v>1.75E-3</v>
      </c>
      <c r="AG53" s="25">
        <f t="shared" si="26"/>
        <v>1.75E-3</v>
      </c>
      <c r="AH53" s="25">
        <f t="shared" si="26"/>
        <v>1.75E-3</v>
      </c>
      <c r="AI53" s="25">
        <f t="shared" si="26"/>
        <v>1.75E-3</v>
      </c>
      <c r="AJ53" s="25">
        <f t="shared" si="26"/>
        <v>1.75E-3</v>
      </c>
      <c r="AK53" s="25">
        <f t="shared" si="26"/>
        <v>1.75E-3</v>
      </c>
      <c r="AL53" s="25">
        <f t="shared" si="26"/>
        <v>1.75E-3</v>
      </c>
      <c r="AM53" s="25">
        <f t="shared" si="26"/>
        <v>1.75E-3</v>
      </c>
      <c r="AN53" s="25">
        <f t="shared" si="26"/>
        <v>1.75E-3</v>
      </c>
      <c r="AO53" s="25">
        <f t="shared" si="26"/>
        <v>1.75E-3</v>
      </c>
      <c r="AP53" s="25">
        <f t="shared" si="26"/>
        <v>1.75E-3</v>
      </c>
      <c r="AQ53" s="25">
        <f t="shared" si="26"/>
        <v>1.75E-3</v>
      </c>
      <c r="AR53" s="25">
        <f t="shared" si="26"/>
        <v>1.75E-3</v>
      </c>
      <c r="AS53" s="25">
        <f t="shared" si="26"/>
        <v>1.75E-3</v>
      </c>
    </row>
    <row r="54" spans="1:71">
      <c r="A54" s="69">
        <f t="shared" si="25"/>
        <v>46</v>
      </c>
      <c r="C54" s="2" t="s">
        <v>135</v>
      </c>
      <c r="D54" s="44">
        <f>D52*D53</f>
        <v>1137.9940250000013</v>
      </c>
      <c r="E54" s="44">
        <f t="shared" ref="E54:AF54" si="27">E52*E53</f>
        <v>1137.9940250000013</v>
      </c>
      <c r="F54" s="44">
        <f t="shared" si="27"/>
        <v>1808.9107750000014</v>
      </c>
      <c r="G54" s="44">
        <f t="shared" si="27"/>
        <v>9823.2240225000023</v>
      </c>
      <c r="H54" s="44">
        <f>H52*H53</f>
        <v>44333.039449999997</v>
      </c>
      <c r="I54" s="44">
        <f t="shared" si="27"/>
        <v>44428.600142499999</v>
      </c>
      <c r="J54" s="44">
        <f t="shared" si="27"/>
        <v>44341.803292500001</v>
      </c>
      <c r="K54" s="44">
        <f t="shared" si="27"/>
        <v>44341.803292500001</v>
      </c>
      <c r="L54" s="44">
        <f t="shared" si="27"/>
        <v>44634.238092500003</v>
      </c>
      <c r="M54" s="44">
        <f t="shared" si="27"/>
        <v>44636.436880000001</v>
      </c>
      <c r="N54" s="44">
        <f t="shared" si="27"/>
        <v>46228.323242500002</v>
      </c>
      <c r="O54" s="44">
        <f t="shared" si="27"/>
        <v>46078.870670000004</v>
      </c>
      <c r="P54" s="44">
        <f t="shared" si="27"/>
        <v>50392.559280000009</v>
      </c>
      <c r="Q54" s="44">
        <f>Q52*Q53</f>
        <v>102232.93725750002</v>
      </c>
      <c r="R54" s="44">
        <f t="shared" si="27"/>
        <v>103857.53220500001</v>
      </c>
      <c r="S54" s="44">
        <f t="shared" si="27"/>
        <v>103698.37017750002</v>
      </c>
      <c r="T54" s="44">
        <f t="shared" si="27"/>
        <v>106430.51279000002</v>
      </c>
      <c r="U54" s="44">
        <f t="shared" si="27"/>
        <v>146128.2134375</v>
      </c>
      <c r="V54" s="44">
        <f t="shared" si="27"/>
        <v>146222.86371000001</v>
      </c>
      <c r="W54" s="44">
        <f t="shared" si="27"/>
        <v>146335.75316500003</v>
      </c>
      <c r="X54" s="44">
        <f t="shared" si="27"/>
        <v>146677.80594250004</v>
      </c>
      <c r="Y54" s="44">
        <f t="shared" si="27"/>
        <v>146735.28558500003</v>
      </c>
      <c r="Z54" s="44">
        <f t="shared" si="27"/>
        <v>146800.93253000005</v>
      </c>
      <c r="AA54" s="44">
        <f t="shared" si="27"/>
        <v>147208.56326750005</v>
      </c>
      <c r="AB54" s="44">
        <f t="shared" si="27"/>
        <v>174115.79171000005</v>
      </c>
      <c r="AC54" s="44">
        <f t="shared" si="27"/>
        <v>174115.79171000005</v>
      </c>
      <c r="AD54" s="44">
        <f t="shared" si="27"/>
        <v>174115.79171000005</v>
      </c>
      <c r="AE54" s="44">
        <f t="shared" si="27"/>
        <v>174115.79171000005</v>
      </c>
      <c r="AF54" s="44">
        <f t="shared" si="27"/>
        <v>174115.79171000005</v>
      </c>
      <c r="AG54" s="44">
        <f>AG52*AG53</f>
        <v>174115.79171000005</v>
      </c>
      <c r="AH54" s="44">
        <f t="shared" ref="AH54:AS54" si="28">AH52*AH53</f>
        <v>174115.79171000005</v>
      </c>
      <c r="AI54" s="44">
        <f t="shared" si="28"/>
        <v>174115.79171000005</v>
      </c>
      <c r="AJ54" s="44">
        <f t="shared" si="28"/>
        <v>174115.79171000005</v>
      </c>
      <c r="AK54" s="44">
        <f t="shared" si="28"/>
        <v>174115.79171000005</v>
      </c>
      <c r="AL54" s="44">
        <f t="shared" si="28"/>
        <v>174115.79171000005</v>
      </c>
      <c r="AM54" s="44">
        <f t="shared" si="28"/>
        <v>174115.79171000005</v>
      </c>
      <c r="AN54" s="44">
        <f t="shared" si="28"/>
        <v>174115.79171000005</v>
      </c>
      <c r="AO54" s="44">
        <f t="shared" si="28"/>
        <v>174115.79171000005</v>
      </c>
      <c r="AP54" s="44">
        <f t="shared" si="28"/>
        <v>174115.79171000005</v>
      </c>
      <c r="AQ54" s="44">
        <f t="shared" si="28"/>
        <v>174115.79171000005</v>
      </c>
      <c r="AR54" s="44">
        <f t="shared" si="28"/>
        <v>174115.79171000005</v>
      </c>
      <c r="AS54" s="44">
        <f t="shared" si="28"/>
        <v>174115.79171000005</v>
      </c>
    </row>
    <row r="55" spans="1:71">
      <c r="A55" s="69">
        <f t="shared" si="25"/>
        <v>47</v>
      </c>
      <c r="C55" s="2" t="s">
        <v>273</v>
      </c>
      <c r="D55" s="1">
        <f>Calculations!H97</f>
        <v>1287254.1387708341</v>
      </c>
      <c r="E55" s="1">
        <f>Calculations!I97</f>
        <v>1287254.1387708341</v>
      </c>
      <c r="F55" s="1">
        <f>Calculations!J97</f>
        <v>1287254.1387708341</v>
      </c>
      <c r="G55" s="1">
        <f>Calculations!K97</f>
        <v>1287254.1387708341</v>
      </c>
      <c r="H55" s="1">
        <f>Calculations!L97</f>
        <v>1287254.1387708341</v>
      </c>
      <c r="I55" s="1">
        <f>Calculations!M97</f>
        <v>1287254.1387708341</v>
      </c>
      <c r="J55" s="1">
        <f>Calculations!N97</f>
        <v>4964569.4820125829</v>
      </c>
      <c r="K55" s="1">
        <f>Calculations!O97</f>
        <v>4964569.4820125829</v>
      </c>
      <c r="L55" s="1">
        <f>Calculations!P97</f>
        <v>4964569.4820125829</v>
      </c>
      <c r="M55" s="1">
        <f>Calculations!Q97</f>
        <v>4964569.4820125829</v>
      </c>
      <c r="N55" s="1">
        <f>Calculations!R97</f>
        <v>4964569.4820125829</v>
      </c>
      <c r="O55" s="1">
        <f>Calculations!S97</f>
        <v>4964569.4820125829</v>
      </c>
      <c r="P55" s="1">
        <f>Calculations!T97</f>
        <v>4964569.4820125829</v>
      </c>
      <c r="Q55" s="1">
        <f>Calculations!U97</f>
        <v>4964569.4820125829</v>
      </c>
      <c r="R55" s="1">
        <f>Calculations!V97</f>
        <v>4964569.4820125829</v>
      </c>
      <c r="S55" s="1">
        <f>Calculations!W97</f>
        <v>4964569.4820125829</v>
      </c>
      <c r="T55" s="1">
        <f>Calculations!X97</f>
        <v>4964569.4820125829</v>
      </c>
      <c r="U55" s="1">
        <f>Calculations!Y97</f>
        <v>4964569.4820125829</v>
      </c>
      <c r="V55" s="1">
        <f>Calculations!Z97</f>
        <v>788676.68472224975</v>
      </c>
      <c r="W55" s="1">
        <f>Calculations!AA97</f>
        <v>788676.68472224975</v>
      </c>
      <c r="X55" s="1">
        <f>Calculations!AB97</f>
        <v>788676.68472224975</v>
      </c>
      <c r="Y55" s="1">
        <f>Calculations!AC97</f>
        <v>788676.68472224975</v>
      </c>
      <c r="Z55" s="1">
        <f>Calculations!AD97</f>
        <v>788676.68472224975</v>
      </c>
      <c r="AA55" s="1">
        <f>Calculations!AE97</f>
        <v>788676.68472224975</v>
      </c>
      <c r="AB55" s="1">
        <f>Calculations!AF97</f>
        <v>788676.68472224975</v>
      </c>
      <c r="AC55" s="1">
        <f>Calculations!AG97</f>
        <v>788676.68472224975</v>
      </c>
      <c r="AD55" s="1">
        <f>Calculations!AH97</f>
        <v>788676.68472224975</v>
      </c>
      <c r="AE55" s="1">
        <f>Calculations!AI97</f>
        <v>788676.68472224975</v>
      </c>
      <c r="AF55" s="1">
        <f>Calculations!AJ97</f>
        <v>788676.68472224975</v>
      </c>
      <c r="AG55" s="1">
        <f>Calculations!AK97</f>
        <v>788676.68472224975</v>
      </c>
      <c r="AH55" s="1">
        <f>Calculations!AL97</f>
        <v>128019.67206724992</v>
      </c>
      <c r="AI55" s="1">
        <f>Calculations!AM97</f>
        <v>128019.67206724992</v>
      </c>
      <c r="AJ55" s="1">
        <f>Calculations!AN97</f>
        <v>128019.67206724992</v>
      </c>
      <c r="AK55" s="1">
        <f>Calculations!AO97</f>
        <v>128019.67206724992</v>
      </c>
      <c r="AL55" s="1">
        <f>Calculations!AP97</f>
        <v>128019.67206724992</v>
      </c>
      <c r="AM55" s="1">
        <f>Calculations!AQ97</f>
        <v>128019.67206724992</v>
      </c>
      <c r="AN55" s="1">
        <f>Calculations!AR97</f>
        <v>128019.67206724992</v>
      </c>
      <c r="AO55" s="1">
        <f>Calculations!AS97</f>
        <v>128019.67206724992</v>
      </c>
      <c r="AP55" s="1">
        <f>Calculations!AT97</f>
        <v>128019.67206724992</v>
      </c>
      <c r="AQ55" s="1">
        <f>Calculations!AU97</f>
        <v>128019.67206724992</v>
      </c>
      <c r="AR55" s="1">
        <f>Calculations!AV97</f>
        <v>128019.67206724992</v>
      </c>
      <c r="AS55" s="1">
        <f>Calculations!AW97</f>
        <v>128019.67206724992</v>
      </c>
    </row>
    <row r="56" spans="1:71">
      <c r="A56" s="69">
        <f t="shared" si="25"/>
        <v>48</v>
      </c>
      <c r="C56" s="2" t="s">
        <v>151</v>
      </c>
      <c r="D56" s="1">
        <f>D54-D55</f>
        <v>-1286116.1447458342</v>
      </c>
      <c r="E56" s="1">
        <f t="shared" ref="E56:S56" si="29">E54-E55</f>
        <v>-1286116.1447458342</v>
      </c>
      <c r="F56" s="1">
        <f t="shared" si="29"/>
        <v>-1285445.2279958341</v>
      </c>
      <c r="G56" s="1">
        <f t="shared" si="29"/>
        <v>-1277430.9147483341</v>
      </c>
      <c r="H56" s="1">
        <f t="shared" si="29"/>
        <v>-1242921.099320834</v>
      </c>
      <c r="I56" s="1">
        <f t="shared" si="29"/>
        <v>-1242825.5386283342</v>
      </c>
      <c r="J56" s="1">
        <f t="shared" si="29"/>
        <v>-4920227.6787200831</v>
      </c>
      <c r="K56" s="1">
        <f t="shared" si="29"/>
        <v>-4920227.6787200831</v>
      </c>
      <c r="L56" s="1">
        <f t="shared" si="29"/>
        <v>-4919935.2439200832</v>
      </c>
      <c r="M56" s="1">
        <f t="shared" si="29"/>
        <v>-4919933.045132583</v>
      </c>
      <c r="N56" s="1">
        <f t="shared" si="29"/>
        <v>-4918341.1587700825</v>
      </c>
      <c r="O56" s="1">
        <f t="shared" si="29"/>
        <v>-4918490.6113425829</v>
      </c>
      <c r="P56" s="1">
        <f t="shared" si="29"/>
        <v>-4914176.9227325832</v>
      </c>
      <c r="Q56" s="1">
        <f t="shared" si="29"/>
        <v>-4862336.5447550826</v>
      </c>
      <c r="R56" s="1">
        <f t="shared" si="29"/>
        <v>-4860711.9498075834</v>
      </c>
      <c r="S56" s="1">
        <f t="shared" si="29"/>
        <v>-4860871.111835083</v>
      </c>
      <c r="T56" s="1">
        <f>T54-T55</f>
        <v>-4858138.9692225829</v>
      </c>
      <c r="U56" s="1">
        <f t="shared" ref="U56" si="30">U54-U55</f>
        <v>-4818441.2685750825</v>
      </c>
      <c r="V56" s="1">
        <f t="shared" ref="V56" si="31">V54-V55</f>
        <v>-642453.82101224968</v>
      </c>
      <c r="W56" s="1">
        <f t="shared" ref="W56" si="32">W54-W55</f>
        <v>-642340.93155724974</v>
      </c>
      <c r="X56" s="1">
        <f t="shared" ref="X56" si="33">X54-X55</f>
        <v>-641998.87877974974</v>
      </c>
      <c r="Y56" s="1">
        <f t="shared" ref="Y56" si="34">Y54-Y55</f>
        <v>-641941.39913724968</v>
      </c>
      <c r="Z56" s="1">
        <f t="shared" ref="Z56" si="35">Z54-Z55</f>
        <v>-641875.75219224975</v>
      </c>
      <c r="AA56" s="1">
        <f t="shared" ref="AA56" si="36">AA54-AA55</f>
        <v>-641468.12145474972</v>
      </c>
      <c r="AB56" s="1">
        <f t="shared" ref="AB56" si="37">AB54-AB55</f>
        <v>-614560.89301224973</v>
      </c>
      <c r="AC56" s="1">
        <f t="shared" ref="AC56" si="38">AC54-AC55</f>
        <v>-614560.89301224973</v>
      </c>
      <c r="AD56" s="1">
        <f t="shared" ref="AD56" si="39">AD54-AD55</f>
        <v>-614560.89301224973</v>
      </c>
      <c r="AE56" s="1">
        <f t="shared" ref="AE56" si="40">AE54-AE55</f>
        <v>-614560.89301224973</v>
      </c>
      <c r="AF56" s="1">
        <f t="shared" ref="AF56" si="41">AF54-AF55</f>
        <v>-614560.89301224973</v>
      </c>
      <c r="AG56" s="1">
        <f t="shared" ref="AG56:AS56" si="42">AG54-AG55</f>
        <v>-614560.89301224973</v>
      </c>
      <c r="AH56" s="1">
        <f t="shared" si="42"/>
        <v>46096.119642750127</v>
      </c>
      <c r="AI56" s="1">
        <f t="shared" si="42"/>
        <v>46096.119642750127</v>
      </c>
      <c r="AJ56" s="1">
        <f t="shared" si="42"/>
        <v>46096.119642750127</v>
      </c>
      <c r="AK56" s="1">
        <f t="shared" si="42"/>
        <v>46096.119642750127</v>
      </c>
      <c r="AL56" s="1">
        <f t="shared" si="42"/>
        <v>46096.119642750127</v>
      </c>
      <c r="AM56" s="1">
        <f t="shared" si="42"/>
        <v>46096.119642750127</v>
      </c>
      <c r="AN56" s="1">
        <f t="shared" si="42"/>
        <v>46096.119642750127</v>
      </c>
      <c r="AO56" s="1">
        <f t="shared" si="42"/>
        <v>46096.119642750127</v>
      </c>
      <c r="AP56" s="1">
        <f t="shared" si="42"/>
        <v>46096.119642750127</v>
      </c>
      <c r="AQ56" s="1">
        <f t="shared" si="42"/>
        <v>46096.119642750127</v>
      </c>
      <c r="AR56" s="1">
        <f t="shared" si="42"/>
        <v>46096.119642750127</v>
      </c>
      <c r="AS56" s="1">
        <f t="shared" si="42"/>
        <v>46096.119642750127</v>
      </c>
    </row>
    <row r="57" spans="1:71">
      <c r="A57" s="69">
        <f t="shared" si="25"/>
        <v>49</v>
      </c>
      <c r="C57" s="2" t="s">
        <v>274</v>
      </c>
      <c r="D57" s="1">
        <f t="shared" ref="D57:AS57" si="43">D56*0.38</f>
        <v>-488724.13500341697</v>
      </c>
      <c r="E57" s="1">
        <f t="shared" si="43"/>
        <v>-488724.13500341697</v>
      </c>
      <c r="F57" s="1">
        <f t="shared" si="43"/>
        <v>-488469.18663841696</v>
      </c>
      <c r="G57" s="1">
        <f t="shared" si="43"/>
        <v>-485423.74760436697</v>
      </c>
      <c r="H57" s="1">
        <f t="shared" si="43"/>
        <v>-472310.01774191693</v>
      </c>
      <c r="I57" s="1">
        <f t="shared" si="43"/>
        <v>-472273.70467876701</v>
      </c>
      <c r="J57" s="1">
        <f t="shared" si="43"/>
        <v>-1869686.5179136316</v>
      </c>
      <c r="K57" s="1">
        <f t="shared" si="43"/>
        <v>-1869686.5179136316</v>
      </c>
      <c r="L57" s="1">
        <f t="shared" si="43"/>
        <v>-1869575.3926896316</v>
      </c>
      <c r="M57" s="1">
        <f t="shared" si="43"/>
        <v>-1869574.5571503816</v>
      </c>
      <c r="N57" s="1">
        <f t="shared" si="43"/>
        <v>-1868969.6403326313</v>
      </c>
      <c r="O57" s="1">
        <f t="shared" si="43"/>
        <v>-1869026.4323101814</v>
      </c>
      <c r="P57" s="1">
        <f t="shared" si="43"/>
        <v>-1867387.2306383816</v>
      </c>
      <c r="Q57" s="1">
        <f t="shared" si="43"/>
        <v>-1847687.8870069315</v>
      </c>
      <c r="R57" s="1">
        <f t="shared" si="43"/>
        <v>-1847070.5409268816</v>
      </c>
      <c r="S57" s="1">
        <f t="shared" si="43"/>
        <v>-1847131.0224973315</v>
      </c>
      <c r="T57" s="1">
        <f t="shared" si="43"/>
        <v>-1846092.8083045816</v>
      </c>
      <c r="U57" s="1">
        <f t="shared" si="43"/>
        <v>-1831007.6820585313</v>
      </c>
      <c r="V57" s="1">
        <f t="shared" si="43"/>
        <v>-244132.45198465488</v>
      </c>
      <c r="W57" s="1">
        <f t="shared" si="43"/>
        <v>-244089.55399175492</v>
      </c>
      <c r="X57" s="1">
        <f t="shared" si="43"/>
        <v>-243959.57393630489</v>
      </c>
      <c r="Y57" s="1">
        <f t="shared" si="43"/>
        <v>-243937.73167215489</v>
      </c>
      <c r="Z57" s="1">
        <f t="shared" si="43"/>
        <v>-243912.78583305492</v>
      </c>
      <c r="AA57" s="1">
        <f t="shared" si="43"/>
        <v>-243757.88615280489</v>
      </c>
      <c r="AB57" s="1">
        <f t="shared" si="43"/>
        <v>-233533.13934465489</v>
      </c>
      <c r="AC57" s="1">
        <f t="shared" si="43"/>
        <v>-233533.13934465489</v>
      </c>
      <c r="AD57" s="1">
        <f t="shared" si="43"/>
        <v>-233533.13934465489</v>
      </c>
      <c r="AE57" s="1">
        <f t="shared" si="43"/>
        <v>-233533.13934465489</v>
      </c>
      <c r="AF57" s="1">
        <f t="shared" si="43"/>
        <v>-233533.13934465489</v>
      </c>
      <c r="AG57" s="1">
        <f t="shared" si="43"/>
        <v>-233533.13934465489</v>
      </c>
      <c r="AH57" s="1">
        <f t="shared" si="43"/>
        <v>17516.525464245049</v>
      </c>
      <c r="AI57" s="1">
        <f t="shared" si="43"/>
        <v>17516.525464245049</v>
      </c>
      <c r="AJ57" s="1">
        <f t="shared" si="43"/>
        <v>17516.525464245049</v>
      </c>
      <c r="AK57" s="1">
        <f t="shared" si="43"/>
        <v>17516.525464245049</v>
      </c>
      <c r="AL57" s="1">
        <f t="shared" si="43"/>
        <v>17516.525464245049</v>
      </c>
      <c r="AM57" s="1">
        <f t="shared" si="43"/>
        <v>17516.525464245049</v>
      </c>
      <c r="AN57" s="1">
        <f t="shared" si="43"/>
        <v>17516.525464245049</v>
      </c>
      <c r="AO57" s="1">
        <f t="shared" si="43"/>
        <v>17516.525464245049</v>
      </c>
      <c r="AP57" s="1">
        <f t="shared" si="43"/>
        <v>17516.525464245049</v>
      </c>
      <c r="AQ57" s="1">
        <f t="shared" si="43"/>
        <v>17516.525464245049</v>
      </c>
      <c r="AR57" s="1">
        <f t="shared" si="43"/>
        <v>17516.525464245049</v>
      </c>
      <c r="AS57" s="1">
        <f t="shared" si="43"/>
        <v>17516.525464245049</v>
      </c>
    </row>
    <row r="58" spans="1:71">
      <c r="A58" s="69">
        <f t="shared" si="25"/>
        <v>50</v>
      </c>
      <c r="C58" s="2" t="s">
        <v>152</v>
      </c>
      <c r="D58" s="1">
        <f>-Calculations!H102</f>
        <v>-3423663.5714009185</v>
      </c>
      <c r="E58" s="1">
        <f>D58+E57</f>
        <v>-3912387.7064043353</v>
      </c>
      <c r="F58" s="1">
        <f t="shared" ref="F58:AF58" si="44">E58+F57</f>
        <v>-4400856.8930427525</v>
      </c>
      <c r="G58" s="1">
        <f t="shared" si="44"/>
        <v>-4886280.6406471198</v>
      </c>
      <c r="H58" s="1">
        <f t="shared" si="44"/>
        <v>-5358590.6583890365</v>
      </c>
      <c r="I58" s="1">
        <f t="shared" si="44"/>
        <v>-5830864.3630678039</v>
      </c>
      <c r="J58" s="1">
        <f t="shared" si="44"/>
        <v>-7700550.880981436</v>
      </c>
      <c r="K58" s="1">
        <f t="shared" si="44"/>
        <v>-9570237.3988950681</v>
      </c>
      <c r="L58" s="1">
        <f t="shared" si="44"/>
        <v>-11439812.7915847</v>
      </c>
      <c r="M58" s="1">
        <f t="shared" si="44"/>
        <v>-13309387.348735083</v>
      </c>
      <c r="N58" s="1">
        <f t="shared" si="44"/>
        <v>-15178356.989067715</v>
      </c>
      <c r="O58" s="1">
        <f t="shared" si="44"/>
        <v>-17047383.421377897</v>
      </c>
      <c r="P58" s="1">
        <f t="shared" si="44"/>
        <v>-18914770.652016278</v>
      </c>
      <c r="Q58" s="1">
        <f t="shared" si="44"/>
        <v>-20762458.539023209</v>
      </c>
      <c r="R58" s="1">
        <f t="shared" si="44"/>
        <v>-22609529.07995009</v>
      </c>
      <c r="S58" s="1">
        <f t="shared" si="44"/>
        <v>-24456660.10244742</v>
      </c>
      <c r="T58" s="1">
        <f t="shared" si="44"/>
        <v>-26302752.910752002</v>
      </c>
      <c r="U58" s="1">
        <f t="shared" si="44"/>
        <v>-28133760.592810534</v>
      </c>
      <c r="V58" s="1">
        <f t="shared" si="44"/>
        <v>-28377893.044795189</v>
      </c>
      <c r="W58" s="1">
        <f t="shared" si="44"/>
        <v>-28621982.598786943</v>
      </c>
      <c r="X58" s="1">
        <f t="shared" si="44"/>
        <v>-28865942.172723249</v>
      </c>
      <c r="Y58" s="1">
        <f t="shared" si="44"/>
        <v>-29109879.904395405</v>
      </c>
      <c r="Z58" s="1">
        <f t="shared" si="44"/>
        <v>-29353792.690228458</v>
      </c>
      <c r="AA58" s="1">
        <f t="shared" si="44"/>
        <v>-29597550.576381262</v>
      </c>
      <c r="AB58" s="1">
        <f t="shared" si="44"/>
        <v>-29831083.715725917</v>
      </c>
      <c r="AC58" s="1">
        <f t="shared" si="44"/>
        <v>-30064616.855070572</v>
      </c>
      <c r="AD58" s="1">
        <f t="shared" si="44"/>
        <v>-30298149.994415227</v>
      </c>
      <c r="AE58" s="1">
        <f t="shared" si="44"/>
        <v>-30531683.133759882</v>
      </c>
      <c r="AF58" s="1">
        <f t="shared" si="44"/>
        <v>-30765216.273104537</v>
      </c>
      <c r="AG58" s="1">
        <f>AF58+AG57</f>
        <v>-30998749.412449192</v>
      </c>
      <c r="AH58" s="1">
        <f t="shared" ref="AH58:AS58" si="45">AG58+AH57</f>
        <v>-30981232.886984948</v>
      </c>
      <c r="AI58" s="1">
        <f t="shared" si="45"/>
        <v>-30963716.361520704</v>
      </c>
      <c r="AJ58" s="1">
        <f t="shared" si="45"/>
        <v>-30946199.83605646</v>
      </c>
      <c r="AK58" s="1">
        <f t="shared" si="45"/>
        <v>-30928683.310592216</v>
      </c>
      <c r="AL58" s="1">
        <f t="shared" si="45"/>
        <v>-30911166.785127971</v>
      </c>
      <c r="AM58" s="1">
        <f t="shared" si="45"/>
        <v>-30893650.259663727</v>
      </c>
      <c r="AN58" s="1">
        <f t="shared" si="45"/>
        <v>-30876133.734199483</v>
      </c>
      <c r="AO58" s="1">
        <f t="shared" si="45"/>
        <v>-30858617.208735239</v>
      </c>
      <c r="AP58" s="1">
        <f t="shared" si="45"/>
        <v>-30841100.683270995</v>
      </c>
      <c r="AQ58" s="1">
        <f t="shared" si="45"/>
        <v>-30823584.15780675</v>
      </c>
      <c r="AR58" s="1">
        <f t="shared" si="45"/>
        <v>-30806067.632342506</v>
      </c>
      <c r="AS58" s="1">
        <f t="shared" si="45"/>
        <v>-30788551.106878262</v>
      </c>
    </row>
    <row r="59" spans="1:71">
      <c r="A59" s="69">
        <f t="shared" si="25"/>
        <v>51</v>
      </c>
      <c r="C59" s="2" t="s">
        <v>136</v>
      </c>
      <c r="D59" s="1">
        <f>D54</f>
        <v>1137.9940250000013</v>
      </c>
      <c r="E59" s="1">
        <f>D59+E54+SUM(E36:E45)+E47</f>
        <v>2275.9880500000027</v>
      </c>
      <c r="F59" s="1">
        <f t="shared" ref="F59:AS59" si="46">E59+F54+SUM(F36:F45)+F47</f>
        <v>4084.8988250000039</v>
      </c>
      <c r="G59" s="1">
        <f t="shared" si="46"/>
        <v>13908.122847500006</v>
      </c>
      <c r="H59" s="1">
        <f t="shared" si="46"/>
        <v>-612346.82770249993</v>
      </c>
      <c r="I59" s="1">
        <f t="shared" si="46"/>
        <v>-567918.22755999991</v>
      </c>
      <c r="J59" s="1">
        <f t="shared" si="46"/>
        <v>-523576.42426749994</v>
      </c>
      <c r="K59" s="1">
        <f t="shared" si="46"/>
        <v>-479234.62097499997</v>
      </c>
      <c r="L59" s="1">
        <f t="shared" si="46"/>
        <v>-434600.38288249995</v>
      </c>
      <c r="M59" s="1">
        <f t="shared" si="46"/>
        <v>-389963.94600249996</v>
      </c>
      <c r="N59" s="1">
        <f t="shared" si="46"/>
        <v>-343735.62275999994</v>
      </c>
      <c r="O59" s="1">
        <f t="shared" si="46"/>
        <v>-297656.75208999997</v>
      </c>
      <c r="P59" s="1">
        <f t="shared" si="46"/>
        <v>-247264.19280999995</v>
      </c>
      <c r="Q59" s="1">
        <f t="shared" si="46"/>
        <v>-1524473.5155525</v>
      </c>
      <c r="R59" s="1">
        <f t="shared" si="46"/>
        <v>-1420615.9833475</v>
      </c>
      <c r="S59" s="1">
        <f t="shared" si="46"/>
        <v>-1316917.61317</v>
      </c>
      <c r="T59" s="1">
        <f t="shared" si="46"/>
        <v>-1210487.10038</v>
      </c>
      <c r="U59" s="1">
        <f t="shared" si="46"/>
        <v>-1528363.0069424999</v>
      </c>
      <c r="V59" s="1">
        <f t="shared" si="46"/>
        <v>-1382140.1432324999</v>
      </c>
      <c r="W59" s="1">
        <f t="shared" si="46"/>
        <v>-1235804.3900674998</v>
      </c>
      <c r="X59" s="1">
        <f t="shared" si="46"/>
        <v>-1089126.5841249998</v>
      </c>
      <c r="Y59" s="1">
        <f t="shared" si="46"/>
        <v>-942391.29853999976</v>
      </c>
      <c r="Z59" s="1">
        <f t="shared" si="46"/>
        <v>-795590.36600999977</v>
      </c>
      <c r="AA59" s="1">
        <f t="shared" si="46"/>
        <v>-648381.80274249974</v>
      </c>
      <c r="AB59" s="1">
        <f t="shared" si="46"/>
        <v>-726051.79103249963</v>
      </c>
      <c r="AC59" s="1">
        <f t="shared" si="46"/>
        <v>-551935.99932249961</v>
      </c>
      <c r="AD59" s="1">
        <f t="shared" si="46"/>
        <v>-377820.20761249959</v>
      </c>
      <c r="AE59" s="1">
        <f t="shared" si="46"/>
        <v>-203704.41590249955</v>
      </c>
      <c r="AF59" s="1">
        <f t="shared" si="46"/>
        <v>-29588.624192499497</v>
      </c>
      <c r="AG59" s="1">
        <f t="shared" si="46"/>
        <v>144527.16751750055</v>
      </c>
      <c r="AH59" s="1">
        <f t="shared" si="46"/>
        <v>318642.9592275006</v>
      </c>
      <c r="AI59" s="1">
        <f t="shared" si="46"/>
        <v>492758.75093750062</v>
      </c>
      <c r="AJ59" s="1">
        <f t="shared" si="46"/>
        <v>666874.54264750064</v>
      </c>
      <c r="AK59" s="1">
        <f t="shared" si="46"/>
        <v>840990.33435750066</v>
      </c>
      <c r="AL59" s="1">
        <f t="shared" si="46"/>
        <v>1015106.1260675007</v>
      </c>
      <c r="AM59" s="1">
        <f t="shared" si="46"/>
        <v>1189221.9177775008</v>
      </c>
      <c r="AN59" s="1">
        <f t="shared" si="46"/>
        <v>1363337.7094875008</v>
      </c>
      <c r="AO59" s="1">
        <f t="shared" si="46"/>
        <v>1537453.5011975009</v>
      </c>
      <c r="AP59" s="1">
        <f t="shared" si="46"/>
        <v>1711569.2929075009</v>
      </c>
      <c r="AQ59" s="1">
        <f t="shared" si="46"/>
        <v>1885685.0846175009</v>
      </c>
      <c r="AR59" s="1">
        <f t="shared" si="46"/>
        <v>2059800.8763275009</v>
      </c>
      <c r="AS59" s="1">
        <f t="shared" si="46"/>
        <v>2233916.6680375012</v>
      </c>
    </row>
    <row r="60" spans="1:71">
      <c r="A60" s="69">
        <f t="shared" si="25"/>
        <v>52</v>
      </c>
      <c r="C60" s="215" t="s">
        <v>361</v>
      </c>
      <c r="D60" s="20"/>
      <c r="E60" s="20">
        <f t="shared" ref="E60:AB60" si="47">((D58/2)+SUM(E58:O58)+(P58/2))/12</f>
        <v>-9150327.183658462</v>
      </c>
      <c r="F60" s="20">
        <f t="shared" si="47"/>
        <v>-10497876.263376556</v>
      </c>
      <c r="G60" s="20">
        <f t="shared" si="47"/>
        <v>-11958657.222523481</v>
      </c>
      <c r="H60" s="20">
        <f t="shared" si="47"/>
        <v>-13532784.374552965</v>
      </c>
      <c r="I60" s="20">
        <f t="shared" si="47"/>
        <v>-15220890.279309766</v>
      </c>
      <c r="J60" s="20">
        <f t="shared" si="47"/>
        <v>-17022851.049397502</v>
      </c>
      <c r="K60" s="20">
        <f t="shared" si="47"/>
        <v>-18813694.315795694</v>
      </c>
      <c r="L60" s="20">
        <f t="shared" si="47"/>
        <v>-20469072.955950093</v>
      </c>
      <c r="M60" s="20">
        <f t="shared" si="47"/>
        <v>-21988984.396826364</v>
      </c>
      <c r="N60" s="20">
        <f t="shared" si="47"/>
        <v>-23373426.977526318</v>
      </c>
      <c r="O60" s="20">
        <f t="shared" si="47"/>
        <v>-24622423.988227189</v>
      </c>
      <c r="P60" s="20">
        <f t="shared" si="47"/>
        <v>-25735990.773900691</v>
      </c>
      <c r="Q60" s="20">
        <f t="shared" si="47"/>
        <v>-26713760.783013735</v>
      </c>
      <c r="R60" s="20">
        <f t="shared" si="47"/>
        <v>-27556197.090503614</v>
      </c>
      <c r="S60" s="20">
        <f t="shared" si="47"/>
        <v>-28264146.225108307</v>
      </c>
      <c r="T60" s="20">
        <f t="shared" si="47"/>
        <v>-28837631.389515698</v>
      </c>
      <c r="U60" s="20">
        <f t="shared" si="47"/>
        <v>-29276693.32258508</v>
      </c>
      <c r="V60" s="20">
        <f t="shared" si="47"/>
        <v>-29582003.830168042</v>
      </c>
      <c r="W60" s="20">
        <f t="shared" si="47"/>
        <v>-29809850.857744221</v>
      </c>
      <c r="X60" s="20">
        <f t="shared" si="47"/>
        <v>-30015895.591282707</v>
      </c>
      <c r="Y60" s="20">
        <f t="shared" si="47"/>
        <v>-30200145.234035503</v>
      </c>
      <c r="Z60" s="20">
        <f t="shared" si="47"/>
        <v>-30362606.111932587</v>
      </c>
      <c r="AA60" s="20">
        <f t="shared" si="47"/>
        <v>-30503280.174478263</v>
      </c>
      <c r="AB60" s="20">
        <f t="shared" si="47"/>
        <v>-30622174.915235844</v>
      </c>
      <c r="AC60" s="20">
        <f>((AB58/2)+SUM(AC58:AM58)+(AN58/2))/12</f>
        <v>-30719722.819475681</v>
      </c>
      <c r="AD60" s="20">
        <f>((AC58/2)+SUM(AD58:AN58)+(AO58/2))/12</f>
        <v>-30796349.91831477</v>
      </c>
      <c r="AE60" s="20">
        <f t="shared" ref="AE60:AS60" si="48">((AD58/2)+SUM(AE58:AO58)+(AP58/2))/12</f>
        <v>-30852056.211753126</v>
      </c>
      <c r="AF60" s="20">
        <f t="shared" si="48"/>
        <v>-30886841.699790731</v>
      </c>
      <c r="AG60" s="20">
        <f t="shared" si="48"/>
        <v>-30900706.382427599</v>
      </c>
      <c r="AH60" s="20">
        <f t="shared" si="48"/>
        <v>-30893650.259663731</v>
      </c>
      <c r="AI60" s="20">
        <f t="shared" si="48"/>
        <v>-29594007.293307234</v>
      </c>
      <c r="AJ60" s="20">
        <f t="shared" si="48"/>
        <v>-27012967.741286162</v>
      </c>
      <c r="AK60" s="20">
        <f t="shared" si="48"/>
        <v>-24433387.899720449</v>
      </c>
      <c r="AL60" s="20">
        <f t="shared" si="48"/>
        <v>-21855267.768610086</v>
      </c>
      <c r="AM60" s="20">
        <f t="shared" si="48"/>
        <v>-19278607.347955082</v>
      </c>
      <c r="AN60" s="20">
        <f t="shared" si="48"/>
        <v>-16703406.637755424</v>
      </c>
      <c r="AO60" s="20">
        <f t="shared" si="48"/>
        <v>-14129665.638011122</v>
      </c>
      <c r="AP60" s="20">
        <f t="shared" si="48"/>
        <v>-11557384.348722177</v>
      </c>
      <c r="AQ60" s="20">
        <f t="shared" si="48"/>
        <v>-8986562.7698885854</v>
      </c>
      <c r="AR60" s="20">
        <f t="shared" si="48"/>
        <v>-6417200.9015103457</v>
      </c>
      <c r="AS60" s="20">
        <f t="shared" si="48"/>
        <v>-3849298.7435874599</v>
      </c>
    </row>
    <row r="61" spans="1:71" s="5" customFormat="1">
      <c r="A61" s="238">
        <f>A60+1</f>
        <v>53</v>
      </c>
      <c r="C61" s="235" t="s">
        <v>137</v>
      </c>
      <c r="D61" s="7"/>
      <c r="E61" s="216">
        <f t="shared" ref="E61:AC61" si="49">((D59/2)+SUM(E59:O59)+(P59/2))/12</f>
        <v>-312652.24115916662</v>
      </c>
      <c r="F61" s="216">
        <f t="shared" si="49"/>
        <v>-386616.8949273958</v>
      </c>
      <c r="G61" s="216">
        <f t="shared" si="49"/>
        <v>-509593.99433468748</v>
      </c>
      <c r="H61" s="216">
        <f t="shared" si="49"/>
        <v>-624407.60342593747</v>
      </c>
      <c r="I61" s="216">
        <f t="shared" si="49"/>
        <v>-704781.18712156254</v>
      </c>
      <c r="J61" s="216">
        <f t="shared" si="49"/>
        <v>-769722.23095739575</v>
      </c>
      <c r="K61" s="216">
        <f t="shared" si="49"/>
        <v>-845514.25172187481</v>
      </c>
      <c r="L61" s="216">
        <f t="shared" si="49"/>
        <v>-912811.48039093742</v>
      </c>
      <c r="M61" s="216">
        <f t="shared" si="49"/>
        <v>-971607.14582156239</v>
      </c>
      <c r="N61" s="216">
        <f t="shared" si="49"/>
        <v>-1021896.8772290623</v>
      </c>
      <c r="O61" s="216">
        <f t="shared" si="49"/>
        <v>-1063741.9645535415</v>
      </c>
      <c r="P61" s="216">
        <f t="shared" si="49"/>
        <v>-1097182.789299479</v>
      </c>
      <c r="Q61" s="216">
        <f t="shared" si="49"/>
        <v>-1131745.8163359372</v>
      </c>
      <c r="R61" s="216">
        <f t="shared" si="49"/>
        <v>-1111172.903085625</v>
      </c>
      <c r="S61" s="216">
        <f t="shared" si="49"/>
        <v>-1027200.6825870833</v>
      </c>
      <c r="T61" s="216">
        <f t="shared" si="49"/>
        <v>-937366.97537864593</v>
      </c>
      <c r="U61" s="216">
        <f t="shared" si="49"/>
        <v>-841778.98898468725</v>
      </c>
      <c r="V61" s="216">
        <f t="shared" si="49"/>
        <v>-722871.12854104128</v>
      </c>
      <c r="W61" s="216">
        <f t="shared" si="49"/>
        <v>-582301.40866937453</v>
      </c>
      <c r="X61" s="216">
        <f t="shared" si="49"/>
        <v>-439411.98185833287</v>
      </c>
      <c r="Y61" s="216">
        <f t="shared" si="49"/>
        <v>-294221.8040342704</v>
      </c>
      <c r="Z61" s="216">
        <f t="shared" si="49"/>
        <v>-146747.52238135375</v>
      </c>
      <c r="AA61" s="216">
        <f t="shared" si="49"/>
        <v>3005.7328259379478</v>
      </c>
      <c r="AB61" s="216">
        <f t="shared" si="49"/>
        <v>155018.24168416718</v>
      </c>
      <c r="AC61" s="216">
        <f t="shared" si="49"/>
        <v>318642.95922750054</v>
      </c>
      <c r="AD61" s="216">
        <f>((AC59/2)+SUM(AD59:AN59)+(AO59/2))/12</f>
        <v>492758.7509375005</v>
      </c>
      <c r="AE61" s="216">
        <f t="shared" ref="AE61" si="50">((AD59/2)+SUM(AE59:AO59)+(AP59/2))/12</f>
        <v>666874.54264750064</v>
      </c>
      <c r="AF61" s="216">
        <f t="shared" ref="AF61" si="51">((AE59/2)+SUM(AF59:AP59)+(AQ59/2))/12</f>
        <v>840990.33435750066</v>
      </c>
      <c r="AG61" s="216">
        <f t="shared" ref="AG61" si="52">((AF59/2)+SUM(AG59:AQ59)+(AR59/2))/12</f>
        <v>1015106.1260675007</v>
      </c>
      <c r="AH61" s="216">
        <f t="shared" ref="AH61" si="53">((AG59/2)+SUM(AH59:AR59)+(AS59/2))/12</f>
        <v>1189221.9177775008</v>
      </c>
      <c r="AI61" s="216">
        <f t="shared" ref="AI61" si="54">((AH59/2)+SUM(AI59:AS59)+(AT59/2))/12</f>
        <v>1263003.0236646885</v>
      </c>
      <c r="AJ61" s="216">
        <f t="shared" ref="AJ61" si="55">((AI59/2)+SUM(AJ59:AT59)+(AU59/2))/12</f>
        <v>1229194.6190744799</v>
      </c>
      <c r="AK61" s="216">
        <f t="shared" ref="AK61" si="56">((AJ59/2)+SUM(AK59:AU59)+(AV59/2))/12</f>
        <v>1180876.5651751047</v>
      </c>
      <c r="AL61" s="216">
        <f t="shared" ref="AL61" si="57">((AK59/2)+SUM(AL59:AV59)+(AW59/2))/12</f>
        <v>1118048.8619665632</v>
      </c>
      <c r="AM61" s="216">
        <f t="shared" ref="AM61" si="58">((AL59/2)+SUM(AM59:AW59)+(AX59/2))/12</f>
        <v>1040711.5094488547</v>
      </c>
      <c r="AN61" s="216">
        <f t="shared" ref="AN61" si="59">((AM59/2)+SUM(AN59:AX59)+(AY59/2))/12</f>
        <v>948864.50762197969</v>
      </c>
      <c r="AO61" s="216">
        <f t="shared" ref="AO61" si="60">((AN59/2)+SUM(AO59:AY59)+(AZ59/2))/12</f>
        <v>842507.85648593784</v>
      </c>
      <c r="AP61" s="216">
        <f t="shared" ref="AP61" si="61">((AO59/2)+SUM(AP59:AZ59)+(BA59/2))/12</f>
        <v>721641.55604072951</v>
      </c>
      <c r="AQ61" s="216">
        <f t="shared" ref="AQ61" si="62">((AP59/2)+SUM(AQ59:BA59)+(BB59/2))/12</f>
        <v>586265.60628635448</v>
      </c>
      <c r="AR61" s="216">
        <f t="shared" ref="AR61" si="63">((AQ59/2)+SUM(AR59:BB59)+(BC59/2))/12</f>
        <v>436380.00722281268</v>
      </c>
      <c r="AS61" s="216">
        <f t="shared" ref="AS61" si="64">((AR59/2)+SUM(AS59:BC59)+(BD59/2))/12</f>
        <v>271984.75885010429</v>
      </c>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row>
    <row r="62" spans="1:71">
      <c r="A62" s="69">
        <f t="shared" si="25"/>
        <v>54</v>
      </c>
      <c r="C62" s="2" t="s">
        <v>138</v>
      </c>
      <c r="E62" s="20">
        <f t="shared" ref="E62:AC62" si="65">((D51/2)+SUM(E51:O51)+(P51/2))/12</f>
        <v>29031358.120833326</v>
      </c>
      <c r="F62" s="20">
        <f t="shared" si="65"/>
        <v>32611108.32291666</v>
      </c>
      <c r="G62" s="20">
        <f t="shared" si="65"/>
        <v>37447859.862500004</v>
      </c>
      <c r="H62" s="20">
        <f t="shared" si="65"/>
        <v>42112711.471666671</v>
      </c>
      <c r="I62" s="20">
        <f t="shared" si="65"/>
        <v>45826345.269166671</v>
      </c>
      <c r="J62" s="20">
        <f t="shared" si="65"/>
        <v>49726275.903333336</v>
      </c>
      <c r="K62" s="20">
        <f t="shared" si="65"/>
        <v>54573434.801250003</v>
      </c>
      <c r="L62" s="20">
        <f t="shared" si="65"/>
        <v>59427601.712916672</v>
      </c>
      <c r="M62" s="20">
        <f t="shared" si="65"/>
        <v>64285637.849166669</v>
      </c>
      <c r="N62" s="20">
        <f t="shared" si="65"/>
        <v>69146171.576666668</v>
      </c>
      <c r="O62" s="20">
        <f t="shared" si="65"/>
        <v>73971682.481250003</v>
      </c>
      <c r="P62" s="20">
        <f t="shared" si="65"/>
        <v>78774118.240416661</v>
      </c>
      <c r="Q62" s="20">
        <f t="shared" si="65"/>
        <v>84127759.312500015</v>
      </c>
      <c r="R62" s="20">
        <f t="shared" si="65"/>
        <v>88785047.095416665</v>
      </c>
      <c r="S62" s="20">
        <f t="shared" si="65"/>
        <v>92169359.332499996</v>
      </c>
      <c r="T62" s="20">
        <f t="shared" si="65"/>
        <v>95518780.309583321</v>
      </c>
      <c r="U62" s="20">
        <f t="shared" si="65"/>
        <v>98806939.844166681</v>
      </c>
      <c r="V62" s="20">
        <f t="shared" si="65"/>
        <v>101084865.01541668</v>
      </c>
      <c r="W62" s="20">
        <f t="shared" si="65"/>
        <v>102415353.26000001</v>
      </c>
      <c r="X62" s="20">
        <f t="shared" si="65"/>
        <v>103740900.08250003</v>
      </c>
      <c r="Y62" s="20">
        <f t="shared" si="65"/>
        <v>105055614.94708335</v>
      </c>
      <c r="Z62" s="20">
        <f t="shared" si="65"/>
        <v>106360817.13500001</v>
      </c>
      <c r="AA62" s="20">
        <f t="shared" si="65"/>
        <v>107663087.73750001</v>
      </c>
      <c r="AB62" s="20">
        <f t="shared" si="65"/>
        <v>108954089.82375003</v>
      </c>
      <c r="AC62" s="20">
        <f t="shared" si="65"/>
        <v>109594738.12000002</v>
      </c>
      <c r="AD62" s="20">
        <f>((AC51/2)+SUM(AD51:AN51)+(AO51/2))/12</f>
        <v>109594738.12000002</v>
      </c>
      <c r="AE62" s="20">
        <f t="shared" ref="AE62" si="66">((AD51/2)+SUM(AE51:AO51)+(AP51/2))/12</f>
        <v>109594738.12000002</v>
      </c>
      <c r="AF62" s="20">
        <f t="shared" ref="AF62" si="67">((AE51/2)+SUM(AF51:AP51)+(AQ51/2))/12</f>
        <v>109594738.12000002</v>
      </c>
      <c r="AG62" s="20">
        <f t="shared" ref="AG62" si="68">((AF51/2)+SUM(AG51:AQ51)+(AR51/2))/12</f>
        <v>109594738.12000002</v>
      </c>
      <c r="AH62" s="20">
        <f>((AG51/2)+SUM(AH51:AR51)+(AS51/2))/12</f>
        <v>109594738.12000002</v>
      </c>
      <c r="AI62" s="20">
        <f t="shared" ref="AI62" si="69">((AH51/2)+SUM(AI51:AS51)+(AT51/2))/12</f>
        <v>105028290.69833337</v>
      </c>
      <c r="AJ62" s="20">
        <f t="shared" ref="AJ62" si="70">((AI51/2)+SUM(AJ51:AT51)+(AU51/2))/12</f>
        <v>95895395.855000019</v>
      </c>
      <c r="AK62" s="20">
        <f t="shared" ref="AK62" si="71">((AJ51/2)+SUM(AK51:AU51)+(AV51/2))/12</f>
        <v>86762501.011666685</v>
      </c>
      <c r="AL62" s="20">
        <f t="shared" ref="AL62" si="72">((AK51/2)+SUM(AL51:AV51)+(AW51/2))/12</f>
        <v>77629606.168333352</v>
      </c>
      <c r="AM62" s="20">
        <f t="shared" ref="AM62" si="73">((AL51/2)+SUM(AM51:AW51)+(AX51/2))/12</f>
        <v>68496711.325000018</v>
      </c>
      <c r="AN62" s="20">
        <f t="shared" ref="AN62" si="74">((AM51/2)+SUM(AN51:AX51)+(AY51/2))/12</f>
        <v>59363816.481666684</v>
      </c>
      <c r="AO62" s="20">
        <f t="shared" ref="AO62" si="75">((AN51/2)+SUM(AO51:AY51)+(AZ51/2))/12</f>
        <v>50230921.63833335</v>
      </c>
      <c r="AP62" s="20">
        <f t="shared" ref="AP62" si="76">((AO51/2)+SUM(AP51:AZ51)+(BA51/2))/12</f>
        <v>41098026.795000009</v>
      </c>
      <c r="AQ62" s="20">
        <f t="shared" ref="AQ62" si="77">((AP51/2)+SUM(AQ51:BA51)+(BB51/2))/12</f>
        <v>31965131.951666672</v>
      </c>
      <c r="AR62" s="20">
        <f t="shared" ref="AR62" si="78">((AQ51/2)+SUM(AR51:BB51)+(BC51/2))/12</f>
        <v>22832237.108333338</v>
      </c>
      <c r="AS62" s="20">
        <f t="shared" ref="AS62" si="79">((AR51/2)+SUM(AS51:BC51)+(BD51/2))/12</f>
        <v>13699342.265000002</v>
      </c>
    </row>
    <row r="63" spans="1:71">
      <c r="A63" s="69">
        <f t="shared" si="25"/>
        <v>55</v>
      </c>
      <c r="C63" s="2" t="s">
        <v>139</v>
      </c>
      <c r="D63" s="20">
        <v>-10100000</v>
      </c>
    </row>
    <row r="64" spans="1:71">
      <c r="A64" s="69">
        <f t="shared" si="25"/>
        <v>56</v>
      </c>
      <c r="C64" s="2" t="s">
        <v>140</v>
      </c>
      <c r="D64" s="20">
        <f>AD62+D63</f>
        <v>99494738.12000002</v>
      </c>
    </row>
    <row r="66" spans="2:2">
      <c r="B66" s="215" t="s">
        <v>293</v>
      </c>
    </row>
  </sheetData>
  <mergeCells count="1">
    <mergeCell ref="A1:Q1"/>
  </mergeCells>
  <pageMargins left="0.25" right="0.25" top="0.75" bottom="0.75" header="0.3" footer="0.3"/>
  <pageSetup scale="66" fitToWidth="2"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H34"/>
  <sheetViews>
    <sheetView view="pageLayout" zoomScaleNormal="100" workbookViewId="0">
      <selection activeCell="B13" sqref="B13"/>
    </sheetView>
  </sheetViews>
  <sheetFormatPr defaultRowHeight="12.75"/>
  <cols>
    <col min="1" max="1" width="3.5703125" style="69" customWidth="1"/>
    <col min="2" max="2" width="54" bestFit="1" customWidth="1"/>
    <col min="3" max="3" width="19.42578125" customWidth="1"/>
    <col min="4" max="4" width="2.42578125" customWidth="1"/>
    <col min="5" max="5" width="19.7109375" bestFit="1" customWidth="1"/>
    <col min="6" max="6" width="1.7109375" customWidth="1"/>
    <col min="7" max="7" width="15.28515625" customWidth="1"/>
    <col min="8" max="8" width="11.28515625" bestFit="1" customWidth="1"/>
  </cols>
  <sheetData>
    <row r="1" spans="1:8">
      <c r="A1" s="248" t="s">
        <v>153</v>
      </c>
      <c r="B1" s="248"/>
      <c r="C1" s="248"/>
      <c r="D1" s="248"/>
      <c r="E1" s="248"/>
      <c r="F1" s="214"/>
      <c r="G1" s="214"/>
    </row>
    <row r="2" spans="1:8">
      <c r="A2" s="248"/>
      <c r="B2" s="248"/>
      <c r="C2" s="248"/>
      <c r="D2" s="248"/>
      <c r="E2" s="248"/>
      <c r="F2" s="214"/>
      <c r="G2" s="214"/>
    </row>
    <row r="3" spans="1:8">
      <c r="A3" s="24"/>
      <c r="B3" s="53"/>
      <c r="C3" s="53"/>
      <c r="D3" s="53"/>
      <c r="E3" s="53"/>
      <c r="F3" s="53"/>
      <c r="G3" s="53"/>
    </row>
    <row r="4" spans="1:8">
      <c r="A4" s="68"/>
      <c r="B4" s="55"/>
      <c r="C4" s="55" t="s">
        <v>154</v>
      </c>
    </row>
    <row r="5" spans="1:8">
      <c r="A5" s="68"/>
      <c r="B5" s="56"/>
      <c r="C5" s="57" t="s">
        <v>155</v>
      </c>
    </row>
    <row r="6" spans="1:8">
      <c r="A6" s="68">
        <v>1</v>
      </c>
      <c r="B6" s="58" t="s">
        <v>156</v>
      </c>
      <c r="C6" s="59">
        <f ca="1">LOOKUP(C33,'Exhibit 1.1'!D3:AS3,'Exhibit 1.1'!O51:AS51)</f>
        <v>109594738.12000002</v>
      </c>
      <c r="D6" s="54"/>
    </row>
    <row r="7" spans="1:8">
      <c r="A7" s="68">
        <f t="shared" ref="A7:A20" si="0">A6+1</f>
        <v>2</v>
      </c>
      <c r="B7" s="58" t="s">
        <v>158</v>
      </c>
      <c r="C7" s="60">
        <v>-10100000</v>
      </c>
      <c r="D7" s="54" t="s">
        <v>157</v>
      </c>
    </row>
    <row r="8" spans="1:8">
      <c r="A8" s="68">
        <f t="shared" si="0"/>
        <v>3</v>
      </c>
      <c r="B8" s="58" t="s">
        <v>160</v>
      </c>
      <c r="C8" s="61">
        <f ca="1">SUM(C6:C7)</f>
        <v>99494738.12000002</v>
      </c>
      <c r="D8" s="54" t="s">
        <v>159</v>
      </c>
    </row>
    <row r="9" spans="1:8">
      <c r="A9" s="68">
        <f t="shared" si="0"/>
        <v>4</v>
      </c>
      <c r="B9" s="58" t="s">
        <v>161</v>
      </c>
      <c r="C9" s="236">
        <f>-LOOKUP(C34,'Exhibit 1.1'!D3:AS3,'Exhibit 1.1'!D61:AS61)</f>
        <v>-492758.7509375005</v>
      </c>
      <c r="D9" s="54"/>
    </row>
    <row r="10" spans="1:8">
      <c r="A10" s="68">
        <f t="shared" si="0"/>
        <v>5</v>
      </c>
      <c r="B10" s="58" t="s">
        <v>163</v>
      </c>
      <c r="C10" s="237">
        <f>LOOKUP(C34,'Exhibit 1.1'!D3:AS3,'Exhibit 1.1'!D60:AS60)</f>
        <v>-30796349.91831477</v>
      </c>
      <c r="D10" s="54" t="s">
        <v>162</v>
      </c>
    </row>
    <row r="11" spans="1:8">
      <c r="A11" s="68">
        <f t="shared" si="0"/>
        <v>6</v>
      </c>
      <c r="B11" s="58" t="s">
        <v>165</v>
      </c>
      <c r="C11" s="61">
        <f ca="1">SUM(C8:C10)</f>
        <v>68205629.450747743</v>
      </c>
      <c r="D11" s="54"/>
      <c r="H11" s="9"/>
    </row>
    <row r="12" spans="1:8">
      <c r="A12" s="68">
        <f t="shared" si="0"/>
        <v>7</v>
      </c>
      <c r="B12" s="58" t="s">
        <v>166</v>
      </c>
      <c r="C12" s="62">
        <v>0.1179</v>
      </c>
      <c r="D12" s="54" t="s">
        <v>164</v>
      </c>
    </row>
    <row r="13" spans="1:8">
      <c r="A13" s="68">
        <f t="shared" si="0"/>
        <v>8</v>
      </c>
      <c r="B13" s="58" t="s">
        <v>167</v>
      </c>
      <c r="C13" s="59">
        <f ca="1">C11*C12</f>
        <v>8041443.7122431593</v>
      </c>
      <c r="D13" s="54"/>
    </row>
    <row r="14" spans="1:8">
      <c r="A14" s="68">
        <f t="shared" si="0"/>
        <v>9</v>
      </c>
      <c r="B14" s="58" t="s">
        <v>168</v>
      </c>
      <c r="C14" s="59">
        <f ca="1">C8*0.021</f>
        <v>2089389.5005200005</v>
      </c>
      <c r="D14" s="54" t="s">
        <v>294</v>
      </c>
    </row>
    <row r="15" spans="1:8">
      <c r="A15" s="68">
        <f t="shared" si="0"/>
        <v>10</v>
      </c>
      <c r="B15" s="58" t="s">
        <v>169</v>
      </c>
      <c r="C15" s="61">
        <f ca="1">C11*0.012</f>
        <v>818467.55340897292</v>
      </c>
      <c r="D15" s="54"/>
    </row>
    <row r="16" spans="1:8" ht="13.5" thickBot="1">
      <c r="A16" s="68">
        <f t="shared" si="0"/>
        <v>11</v>
      </c>
      <c r="B16" s="58" t="s">
        <v>170</v>
      </c>
      <c r="C16" s="63">
        <f ca="1">SUM(C13:C15)</f>
        <v>10949300.766172133</v>
      </c>
    </row>
    <row r="17" spans="1:7" ht="13.5" thickTop="1">
      <c r="A17" s="68">
        <f t="shared" si="0"/>
        <v>12</v>
      </c>
      <c r="B17" s="58" t="s">
        <v>322</v>
      </c>
      <c r="C17" s="218"/>
    </row>
    <row r="18" spans="1:7">
      <c r="A18" s="68">
        <f t="shared" si="0"/>
        <v>13</v>
      </c>
      <c r="B18" s="219" t="s">
        <v>317</v>
      </c>
      <c r="C18" s="220">
        <v>-94812</v>
      </c>
    </row>
    <row r="19" spans="1:7">
      <c r="A19" s="68">
        <f t="shared" si="0"/>
        <v>14</v>
      </c>
      <c r="B19" s="221" t="s">
        <v>318</v>
      </c>
      <c r="C19" s="220">
        <v>25469</v>
      </c>
    </row>
    <row r="20" spans="1:7" ht="13.5" thickBot="1">
      <c r="A20" s="68">
        <f t="shared" si="0"/>
        <v>15</v>
      </c>
      <c r="B20" s="222" t="s">
        <v>319</v>
      </c>
      <c r="C20" s="223">
        <f ca="1">SUM(C16:C19)</f>
        <v>10879957.766172133</v>
      </c>
    </row>
    <row r="21" spans="1:7" ht="13.5" thickTop="1"/>
    <row r="22" spans="1:7">
      <c r="B22" s="64" t="s">
        <v>275</v>
      </c>
    </row>
    <row r="23" spans="1:7">
      <c r="B23" s="64" t="s">
        <v>376</v>
      </c>
    </row>
    <row r="24" spans="1:7">
      <c r="B24" s="56" t="s">
        <v>377</v>
      </c>
    </row>
    <row r="25" spans="1:7">
      <c r="B25" s="56" t="s">
        <v>295</v>
      </c>
      <c r="C25" s="66"/>
      <c r="D25" s="4"/>
      <c r="E25" s="66"/>
      <c r="F25" s="4"/>
      <c r="G25" s="66"/>
    </row>
    <row r="26" spans="1:7">
      <c r="B26" s="56" t="s">
        <v>296</v>
      </c>
      <c r="C26" s="65"/>
      <c r="D26" s="4"/>
      <c r="E26" s="65"/>
      <c r="F26" s="4"/>
      <c r="G26" s="67"/>
    </row>
    <row r="27" spans="1:7">
      <c r="B27" s="56" t="s">
        <v>171</v>
      </c>
      <c r="C27" s="65"/>
      <c r="D27" s="4"/>
      <c r="E27" s="65"/>
      <c r="F27" s="4"/>
      <c r="G27" s="67"/>
    </row>
    <row r="33" spans="2:3">
      <c r="B33" t="s">
        <v>362</v>
      </c>
      <c r="C33" s="232">
        <v>41121</v>
      </c>
    </row>
    <row r="34" spans="2:3">
      <c r="B34" s="215" t="s">
        <v>363</v>
      </c>
      <c r="C34" s="232">
        <v>41182</v>
      </c>
    </row>
  </sheetData>
  <mergeCells count="2">
    <mergeCell ref="A1:E1"/>
    <mergeCell ref="A2:E2"/>
  </mergeCells>
  <pageMargins left="0.7" right="0.7" top="0.89124999999999999" bottom="0.75" header="0.3" footer="0.3"/>
  <pageSetup scale="93" orientation="portrait" r:id="rId1"/>
  <headerFooter scaleWithDoc="0">
    <oddHeader>&amp;RQuestar Gas Company
Docket 12-057-12
Exhibit 1.1 Page 4 of 4</oddHeader>
  </headerFooter>
</worksheet>
</file>

<file path=xl/worksheets/sheet4.xml><?xml version="1.0" encoding="utf-8"?>
<worksheet xmlns="http://schemas.openxmlformats.org/spreadsheetml/2006/main" xmlns:r="http://schemas.openxmlformats.org/officeDocument/2006/relationships">
  <dimension ref="A1:H21"/>
  <sheetViews>
    <sheetView view="pageLayout" zoomScaleNormal="100" workbookViewId="0">
      <selection activeCell="B22" sqref="B22"/>
    </sheetView>
  </sheetViews>
  <sheetFormatPr defaultRowHeight="12.75"/>
  <cols>
    <col min="1" max="1" width="3.28515625" customWidth="1"/>
    <col min="2" max="2" width="5.7109375" customWidth="1"/>
    <col min="3" max="3" width="18.28515625" customWidth="1"/>
    <col min="4" max="4" width="3.85546875" customWidth="1"/>
    <col min="5" max="5" width="14" bestFit="1" customWidth="1"/>
    <col min="6" max="6" width="3.85546875" customWidth="1"/>
    <col min="7" max="7" width="16" bestFit="1" customWidth="1"/>
    <col min="8" max="8" width="3.85546875" customWidth="1"/>
  </cols>
  <sheetData>
    <row r="1" spans="1:8">
      <c r="A1" s="71"/>
      <c r="B1" s="249" t="s">
        <v>172</v>
      </c>
      <c r="C1" s="249"/>
      <c r="D1" s="249"/>
      <c r="E1" s="249"/>
      <c r="F1" s="249"/>
      <c r="G1" s="249"/>
      <c r="H1" s="72"/>
    </row>
    <row r="2" spans="1:8">
      <c r="A2" s="71"/>
      <c r="B2" s="73"/>
      <c r="C2" s="72"/>
      <c r="D2" s="72"/>
      <c r="E2" s="73"/>
      <c r="F2" s="72"/>
      <c r="G2" s="73"/>
      <c r="H2" s="72"/>
    </row>
    <row r="3" spans="1:8">
      <c r="A3" s="71"/>
      <c r="B3" s="73"/>
      <c r="C3" s="72"/>
      <c r="D3" s="72"/>
      <c r="E3" s="73"/>
      <c r="F3" s="72"/>
      <c r="G3" s="73"/>
      <c r="H3" s="72"/>
    </row>
    <row r="4" spans="1:8">
      <c r="A4" s="71"/>
      <c r="B4" s="73"/>
      <c r="C4" s="74" t="s">
        <v>173</v>
      </c>
      <c r="D4" s="74"/>
      <c r="E4" s="74" t="s">
        <v>174</v>
      </c>
      <c r="F4" s="74"/>
      <c r="G4" s="74" t="s">
        <v>175</v>
      </c>
      <c r="H4" s="74"/>
    </row>
    <row r="5" spans="1:8">
      <c r="A5" s="71"/>
      <c r="B5" s="73"/>
      <c r="C5" s="75" t="s">
        <v>176</v>
      </c>
      <c r="D5" s="73"/>
      <c r="E5" s="73"/>
      <c r="F5" s="73"/>
      <c r="G5" s="74" t="s">
        <v>88</v>
      </c>
      <c r="H5" s="73"/>
    </row>
    <row r="6" spans="1:8">
      <c r="A6" s="71"/>
      <c r="B6" s="73"/>
      <c r="C6" s="76" t="s">
        <v>177</v>
      </c>
      <c r="D6" s="74"/>
      <c r="E6" s="74" t="s">
        <v>178</v>
      </c>
      <c r="F6" s="74"/>
      <c r="G6" s="74" t="s">
        <v>179</v>
      </c>
      <c r="H6" s="74"/>
    </row>
    <row r="7" spans="1:8">
      <c r="A7" s="71"/>
      <c r="B7" s="73"/>
      <c r="C7" s="77" t="s">
        <v>180</v>
      </c>
      <c r="D7" s="78"/>
      <c r="E7" s="78" t="s">
        <v>181</v>
      </c>
      <c r="F7" s="78"/>
      <c r="G7" s="78" t="s">
        <v>154</v>
      </c>
      <c r="H7" s="78"/>
    </row>
    <row r="8" spans="1:8">
      <c r="A8" s="71"/>
      <c r="B8" s="73"/>
      <c r="C8" s="79" t="s">
        <v>157</v>
      </c>
      <c r="D8" s="73"/>
      <c r="E8" s="80"/>
      <c r="F8" s="73"/>
      <c r="G8" s="81"/>
      <c r="H8" s="73"/>
    </row>
    <row r="9" spans="1:8">
      <c r="A9" s="82">
        <v>1</v>
      </c>
      <c r="B9" s="73" t="s">
        <v>182</v>
      </c>
      <c r="C9" s="83">
        <v>239318631.93504602</v>
      </c>
      <c r="D9" s="84"/>
      <c r="E9" s="85">
        <f>C9/$C$17</f>
        <v>0.92690027429994493</v>
      </c>
      <c r="F9" s="84"/>
      <c r="G9" s="84">
        <f ca="1">E9*$G$17</f>
        <v>10084635.837836767</v>
      </c>
      <c r="H9" s="84"/>
    </row>
    <row r="10" spans="1:8">
      <c r="A10" s="82">
        <v>2</v>
      </c>
      <c r="B10" s="73" t="s">
        <v>183</v>
      </c>
      <c r="C10" s="86">
        <v>4423772.2729999106</v>
      </c>
      <c r="D10" s="87"/>
      <c r="E10" s="85">
        <f>C10/$C$17</f>
        <v>1.7133625159603139E-2</v>
      </c>
      <c r="F10" s="87"/>
      <c r="G10" s="84">
        <f t="shared" ref="G10:G15" ca="1" si="0">E10*$G$17</f>
        <v>186413.11811790644</v>
      </c>
      <c r="H10" s="87"/>
    </row>
    <row r="11" spans="1:8">
      <c r="A11" s="82">
        <v>3</v>
      </c>
      <c r="B11" s="73" t="s">
        <v>184</v>
      </c>
      <c r="C11" s="86">
        <v>2164923.8462406527</v>
      </c>
      <c r="D11" s="87"/>
      <c r="E11" s="85">
        <f t="shared" ref="E11:E15" si="1">C11/$C$17</f>
        <v>8.3849238594326699E-3</v>
      </c>
      <c r="F11" s="87"/>
      <c r="G11" s="84">
        <f t="shared" ca="1" si="0"/>
        <v>91227.617463196497</v>
      </c>
      <c r="H11" s="87"/>
    </row>
    <row r="12" spans="1:8">
      <c r="A12" s="82">
        <v>4</v>
      </c>
      <c r="B12" s="73" t="s">
        <v>185</v>
      </c>
      <c r="C12" s="86">
        <v>560034.6692479694</v>
      </c>
      <c r="D12" s="87"/>
      <c r="E12" s="85">
        <f t="shared" si="1"/>
        <v>2.1690592343195027E-3</v>
      </c>
      <c r="F12" s="87"/>
      <c r="G12" s="84">
        <f t="shared" ca="1" si="0"/>
        <v>23599.272861721856</v>
      </c>
      <c r="H12" s="87"/>
    </row>
    <row r="13" spans="1:8">
      <c r="A13" s="82">
        <v>5</v>
      </c>
      <c r="B13" s="73" t="s">
        <v>186</v>
      </c>
      <c r="C13" s="86">
        <v>6685487.87654055</v>
      </c>
      <c r="D13" s="87"/>
      <c r="E13" s="85">
        <f t="shared" si="1"/>
        <v>2.5893431265628635E-2</v>
      </c>
      <c r="F13" s="87"/>
      <c r="G13" s="84">
        <f t="shared" ca="1" si="0"/>
        <v>281719.43859132059</v>
      </c>
      <c r="H13" s="87"/>
    </row>
    <row r="14" spans="1:8">
      <c r="A14" s="82">
        <v>6</v>
      </c>
      <c r="B14" s="73" t="s">
        <v>187</v>
      </c>
      <c r="C14" s="86">
        <v>20090.830167618489</v>
      </c>
      <c r="D14" s="87"/>
      <c r="E14" s="85">
        <f t="shared" si="1"/>
        <v>7.7813398157538673E-5</v>
      </c>
      <c r="F14" s="87"/>
      <c r="G14" s="84">
        <f t="shared" ca="1" si="0"/>
        <v>846.60648559635729</v>
      </c>
      <c r="H14" s="87"/>
    </row>
    <row r="15" spans="1:8">
      <c r="A15" s="82">
        <v>7</v>
      </c>
      <c r="B15" s="73" t="s">
        <v>188</v>
      </c>
      <c r="C15" s="88">
        <v>5019486.1378632095</v>
      </c>
      <c r="D15" s="87"/>
      <c r="E15" s="89">
        <f t="shared" si="1"/>
        <v>1.9440872782913711E-2</v>
      </c>
      <c r="F15" s="87"/>
      <c r="G15" s="90">
        <f t="shared" ca="1" si="0"/>
        <v>211515.87481562648</v>
      </c>
      <c r="H15" s="87"/>
    </row>
    <row r="16" spans="1:8">
      <c r="A16" s="82"/>
      <c r="B16" s="73"/>
      <c r="C16" s="91"/>
      <c r="D16" s="91"/>
      <c r="E16" s="91"/>
      <c r="F16" s="91"/>
      <c r="G16" s="91"/>
      <c r="H16" s="91"/>
    </row>
    <row r="17" spans="1:8">
      <c r="A17" s="82">
        <v>8</v>
      </c>
      <c r="B17" s="73" t="s">
        <v>189</v>
      </c>
      <c r="C17" s="91">
        <f>SUM(C9:C15)</f>
        <v>258192427.56810591</v>
      </c>
      <c r="D17" s="91"/>
      <c r="E17" s="92">
        <f>SUM(E9:E15)</f>
        <v>1</v>
      </c>
      <c r="F17" s="91"/>
      <c r="G17" s="91">
        <f ca="1">'Exhibit 1.1 Page 4'!C20</f>
        <v>10879957.766172133</v>
      </c>
      <c r="H17" s="91" t="s">
        <v>159</v>
      </c>
    </row>
    <row r="18" spans="1:8">
      <c r="A18" s="82"/>
      <c r="B18" s="73"/>
      <c r="C18" s="91"/>
      <c r="D18" s="91"/>
      <c r="E18" s="91"/>
      <c r="F18" s="91"/>
      <c r="G18" s="91"/>
      <c r="H18" s="91"/>
    </row>
    <row r="19" spans="1:8">
      <c r="A19" s="71"/>
      <c r="B19" s="73"/>
      <c r="C19" s="73"/>
      <c r="D19" s="73"/>
      <c r="E19" s="73"/>
      <c r="F19" s="73"/>
      <c r="G19" s="73"/>
      <c r="H19" s="73"/>
    </row>
    <row r="20" spans="1:8">
      <c r="A20" s="71"/>
      <c r="B20" s="71" t="s">
        <v>190</v>
      </c>
      <c r="C20" s="73"/>
      <c r="D20" s="73"/>
      <c r="E20" s="73"/>
      <c r="F20" s="73"/>
      <c r="G20" s="73"/>
      <c r="H20" s="73"/>
    </row>
    <row r="21" spans="1:8">
      <c r="A21" s="71"/>
      <c r="B21" s="73" t="s">
        <v>378</v>
      </c>
      <c r="C21" s="71"/>
      <c r="D21" s="71"/>
      <c r="E21" s="71"/>
      <c r="F21" s="71"/>
      <c r="G21" s="71"/>
      <c r="H21" s="71"/>
    </row>
  </sheetData>
  <mergeCells count="1">
    <mergeCell ref="B1:G1"/>
  </mergeCells>
  <pageMargins left="0.7" right="0.7" top="0.86458333333333337" bottom="0.75" header="0.3" footer="0.3"/>
  <pageSetup orientation="portrait" r:id="rId1"/>
  <headerFooter scaleWithDoc="0">
    <oddHeader>&amp;RQuestar Gas Company
Docket 12-057-12
Exhibit 1.2</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Q74"/>
  <sheetViews>
    <sheetView view="pageLayout" zoomScaleNormal="100" workbookViewId="0">
      <selection activeCell="B1" sqref="B1:M1"/>
    </sheetView>
  </sheetViews>
  <sheetFormatPr defaultRowHeight="12.75"/>
  <cols>
    <col min="1" max="1" width="4.42578125" style="5" customWidth="1"/>
    <col min="2" max="3" width="9.140625" style="5"/>
    <col min="4" max="4" width="7.42578125" style="5" bestFit="1" customWidth="1"/>
    <col min="5" max="5" width="9.140625" style="5" bestFit="1" customWidth="1"/>
    <col min="6" max="6" width="4.140625" style="5" customWidth="1"/>
    <col min="7" max="7" width="13.28515625" style="5" customWidth="1"/>
    <col min="8" max="8" width="9.5703125" style="5" bestFit="1" customWidth="1"/>
    <col min="9" max="9" width="13.28515625" style="5" customWidth="1"/>
    <col min="10" max="10" width="3" style="5" customWidth="1"/>
    <col min="11" max="11" width="15.28515625" style="5" customWidth="1"/>
    <col min="12" max="12" width="12.140625" style="5" bestFit="1" customWidth="1"/>
    <col min="13" max="15" width="13.7109375" style="5" customWidth="1"/>
    <col min="17" max="17" width="10.42578125" bestFit="1" customWidth="1"/>
  </cols>
  <sheetData>
    <row r="1" spans="1:17" ht="15.75">
      <c r="A1" s="93"/>
      <c r="B1" s="251" t="s">
        <v>191</v>
      </c>
      <c r="C1" s="251"/>
      <c r="D1" s="251"/>
      <c r="E1" s="251"/>
      <c r="F1" s="251"/>
      <c r="G1" s="251"/>
      <c r="H1" s="251"/>
      <c r="I1" s="251"/>
      <c r="J1" s="251"/>
      <c r="K1" s="251"/>
      <c r="L1" s="251"/>
      <c r="M1" s="251"/>
      <c r="N1" s="94"/>
      <c r="O1" s="94"/>
    </row>
    <row r="2" spans="1:17">
      <c r="A2" s="93"/>
      <c r="B2" s="95"/>
      <c r="C2" s="95"/>
      <c r="D2" s="95"/>
      <c r="E2" s="96"/>
      <c r="F2" s="96"/>
      <c r="G2" s="95"/>
      <c r="H2" s="95"/>
      <c r="I2" s="95"/>
      <c r="J2" s="97"/>
      <c r="K2" s="95"/>
      <c r="L2" s="95"/>
      <c r="M2" s="95"/>
      <c r="N2" s="95"/>
      <c r="O2" s="95"/>
    </row>
    <row r="3" spans="1:17">
      <c r="A3" s="93"/>
      <c r="B3" s="93"/>
      <c r="C3" s="93" t="s">
        <v>173</v>
      </c>
      <c r="D3" s="93" t="s">
        <v>174</v>
      </c>
      <c r="E3" s="224" t="s">
        <v>175</v>
      </c>
      <c r="F3" s="224"/>
      <c r="G3" s="93" t="s">
        <v>192</v>
      </c>
      <c r="H3" s="93" t="s">
        <v>193</v>
      </c>
      <c r="I3" s="93" t="s">
        <v>194</v>
      </c>
      <c r="J3" s="98"/>
      <c r="K3" s="98" t="s">
        <v>195</v>
      </c>
      <c r="L3" s="98" t="s">
        <v>196</v>
      </c>
      <c r="M3" s="98" t="s">
        <v>197</v>
      </c>
      <c r="N3" s="98" t="s">
        <v>198</v>
      </c>
      <c r="O3" s="98" t="s">
        <v>199</v>
      </c>
    </row>
    <row r="4" spans="1:17">
      <c r="A4" s="93"/>
      <c r="B4" s="99" t="s">
        <v>200</v>
      </c>
      <c r="C4" s="100"/>
      <c r="D4" s="100"/>
      <c r="E4" s="101"/>
      <c r="F4" s="101"/>
      <c r="G4" s="250" t="s">
        <v>201</v>
      </c>
      <c r="H4" s="250"/>
      <c r="I4" s="250"/>
      <c r="J4" s="100"/>
      <c r="K4" s="102" t="s">
        <v>202</v>
      </c>
      <c r="L4" s="103"/>
      <c r="M4" s="102" t="s">
        <v>202</v>
      </c>
      <c r="N4" s="102" t="s">
        <v>203</v>
      </c>
      <c r="O4" s="102" t="s">
        <v>204</v>
      </c>
    </row>
    <row r="5" spans="1:17">
      <c r="A5" s="93"/>
      <c r="B5" s="99"/>
      <c r="C5" s="100"/>
      <c r="D5" s="100"/>
      <c r="E5" s="101"/>
      <c r="F5" s="101"/>
      <c r="G5" s="233"/>
      <c r="H5" s="233"/>
      <c r="I5" s="233"/>
      <c r="J5" s="100"/>
      <c r="K5" s="102" t="s">
        <v>205</v>
      </c>
      <c r="L5" s="103" t="s">
        <v>206</v>
      </c>
      <c r="M5" s="102" t="s">
        <v>205</v>
      </c>
      <c r="N5" s="102"/>
      <c r="O5" s="102" t="s">
        <v>207</v>
      </c>
    </row>
    <row r="6" spans="1:17" ht="13.5" thickBot="1">
      <c r="A6" s="93"/>
      <c r="B6" s="104" t="s">
        <v>208</v>
      </c>
      <c r="C6" s="105"/>
      <c r="D6" s="105"/>
      <c r="E6" s="106" t="s">
        <v>209</v>
      </c>
      <c r="F6" s="107"/>
      <c r="G6" s="108" t="s">
        <v>209</v>
      </c>
      <c r="H6" s="108" t="s">
        <v>210</v>
      </c>
      <c r="I6" s="109" t="s">
        <v>211</v>
      </c>
      <c r="J6" s="100"/>
      <c r="K6" s="108" t="s">
        <v>154</v>
      </c>
      <c r="L6" s="108" t="s">
        <v>212</v>
      </c>
      <c r="M6" s="108" t="s">
        <v>213</v>
      </c>
      <c r="N6" s="108"/>
      <c r="O6" s="108"/>
    </row>
    <row r="7" spans="1:17">
      <c r="A7" s="93">
        <v>1</v>
      </c>
      <c r="B7" s="110" t="s">
        <v>214</v>
      </c>
      <c r="C7" s="110" t="s">
        <v>215</v>
      </c>
      <c r="D7" s="110" t="s">
        <v>216</v>
      </c>
      <c r="E7" s="111">
        <v>45</v>
      </c>
      <c r="F7" s="111"/>
      <c r="G7" s="112">
        <v>54107229</v>
      </c>
      <c r="H7" s="113">
        <v>2.2293799999999999</v>
      </c>
      <c r="I7" s="114">
        <f>ROUND(G7*H7,0)</f>
        <v>120625574</v>
      </c>
      <c r="J7" s="115"/>
      <c r="K7" s="112">
        <f ca="1">M7*G7</f>
        <v>6689119.9276935318</v>
      </c>
      <c r="L7" s="116">
        <f ca="1">L12</f>
        <v>5.5453579995127317E-2</v>
      </c>
      <c r="M7" s="117">
        <f ca="1">L7*H7</f>
        <v>0.12362710216953693</v>
      </c>
      <c r="N7" s="117">
        <v>0.10113999999999999</v>
      </c>
      <c r="O7" s="117">
        <f ca="1">M7-N7</f>
        <v>2.2487102169536935E-2</v>
      </c>
      <c r="Q7" s="117"/>
    </row>
    <row r="8" spans="1:17">
      <c r="A8" s="93">
        <f>A7+1</f>
        <v>2</v>
      </c>
      <c r="B8" s="110"/>
      <c r="C8" s="110" t="s">
        <v>217</v>
      </c>
      <c r="D8" s="110" t="s">
        <v>218</v>
      </c>
      <c r="E8" s="111">
        <v>155</v>
      </c>
      <c r="F8" s="111"/>
      <c r="G8" s="112">
        <v>15583596</v>
      </c>
      <c r="H8" s="113">
        <v>0.92557</v>
      </c>
      <c r="I8" s="114">
        <f>ROUND(G8*H8,0)</f>
        <v>14423709</v>
      </c>
      <c r="J8" s="118"/>
      <c r="K8" s="112">
        <f ca="1">M8*G8</f>
        <v>799846.2980697318</v>
      </c>
      <c r="L8" s="116">
        <f ca="1">L12</f>
        <v>5.5453579995127317E-2</v>
      </c>
      <c r="M8" s="117">
        <f ca="1">L8*H8</f>
        <v>5.1326170036089989E-2</v>
      </c>
      <c r="N8" s="117">
        <v>4.199E-2</v>
      </c>
      <c r="O8" s="117">
        <f ca="1">M8-N8</f>
        <v>9.3361700360899899E-3</v>
      </c>
      <c r="Q8" s="117"/>
    </row>
    <row r="9" spans="1:17">
      <c r="A9" s="93"/>
      <c r="B9" s="119"/>
      <c r="C9" s="110"/>
      <c r="D9" s="110"/>
      <c r="E9" s="120"/>
      <c r="F9" s="120"/>
      <c r="G9" s="112"/>
      <c r="H9" s="113"/>
      <c r="I9" s="114"/>
      <c r="J9" s="118"/>
      <c r="K9" s="112"/>
      <c r="L9" s="113"/>
      <c r="M9" s="114"/>
      <c r="N9" s="114"/>
      <c r="O9" s="114"/>
    </row>
    <row r="10" spans="1:17">
      <c r="A10" s="93">
        <f>A8+1</f>
        <v>3</v>
      </c>
      <c r="B10" s="121" t="s">
        <v>219</v>
      </c>
      <c r="C10" s="110" t="s">
        <v>215</v>
      </c>
      <c r="D10" s="110" t="str">
        <f>D7</f>
        <v>First</v>
      </c>
      <c r="E10" s="120">
        <f>E7</f>
        <v>45</v>
      </c>
      <c r="F10" s="120"/>
      <c r="G10" s="112">
        <v>23178450</v>
      </c>
      <c r="H10" s="113">
        <v>1.87767</v>
      </c>
      <c r="I10" s="112">
        <f>ROUND(G10*H10,0)</f>
        <v>43521480</v>
      </c>
      <c r="J10" s="118"/>
      <c r="K10" s="112">
        <f ca="1">M10*G10</f>
        <v>2413421.8844147655</v>
      </c>
      <c r="L10" s="116">
        <f ca="1">L12</f>
        <v>5.5453579995127317E-2</v>
      </c>
      <c r="M10" s="117">
        <f t="shared" ref="M10:M11" ca="1" si="0">L10*H10</f>
        <v>0.1041235235494507</v>
      </c>
      <c r="N10" s="117">
        <v>8.5190000000000002E-2</v>
      </c>
      <c r="O10" s="117">
        <f ca="1">M10-N10</f>
        <v>1.8933523549450701E-2</v>
      </c>
    </row>
    <row r="11" spans="1:17">
      <c r="A11" s="93">
        <f>A10+1</f>
        <v>4</v>
      </c>
      <c r="B11" s="121"/>
      <c r="C11" s="110" t="s">
        <v>217</v>
      </c>
      <c r="D11" s="110" t="str">
        <f>D8</f>
        <v>Next</v>
      </c>
      <c r="E11" s="120">
        <f>E8</f>
        <v>155</v>
      </c>
      <c r="F11" s="120"/>
      <c r="G11" s="112">
        <v>4714926</v>
      </c>
      <c r="H11" s="113">
        <v>0.69703999999999999</v>
      </c>
      <c r="I11" s="112">
        <f>ROUND(G11*H11,0)</f>
        <v>3286492</v>
      </c>
      <c r="J11" s="118"/>
      <c r="K11" s="112">
        <f ca="1">M11*G11</f>
        <v>182247.74808118213</v>
      </c>
      <c r="L11" s="116">
        <f ca="1">L12</f>
        <v>5.5453579995127317E-2</v>
      </c>
      <c r="M11" s="117">
        <f t="shared" ca="1" si="0"/>
        <v>3.8653363399803548E-2</v>
      </c>
      <c r="N11" s="117">
        <v>3.1620000000000002E-2</v>
      </c>
      <c r="O11" s="117">
        <f ca="1">M11-N11</f>
        <v>7.0333633998035452E-3</v>
      </c>
    </row>
    <row r="12" spans="1:17" ht="13.5" thickBot="1">
      <c r="A12" s="93">
        <f>A11+1</f>
        <v>5</v>
      </c>
      <c r="B12" s="122" t="s">
        <v>220</v>
      </c>
      <c r="C12" s="95"/>
      <c r="D12" s="110"/>
      <c r="E12" s="120"/>
      <c r="F12" s="120"/>
      <c r="G12" s="123">
        <f>SUM(G10:G11,G7:G8)</f>
        <v>97584201</v>
      </c>
      <c r="H12" s="124"/>
      <c r="I12" s="123">
        <f>SUM(I7:I11)</f>
        <v>181857255</v>
      </c>
      <c r="J12" s="125"/>
      <c r="K12" s="123">
        <f ca="1">'Exhibit 1.2'!G9</f>
        <v>10084635.837836767</v>
      </c>
      <c r="L12" s="126">
        <f ca="1">K12/I12</f>
        <v>5.5453579995127317E-2</v>
      </c>
      <c r="M12" s="123"/>
      <c r="N12" s="123"/>
      <c r="O12" s="123"/>
    </row>
    <row r="13" spans="1:17" ht="13.5" thickTop="1">
      <c r="A13" s="93">
        <f>A12+1</f>
        <v>6</v>
      </c>
      <c r="B13" s="100" t="s">
        <v>221</v>
      </c>
      <c r="C13" s="127"/>
      <c r="D13" s="127"/>
      <c r="E13" s="128"/>
      <c r="F13" s="128"/>
      <c r="G13" s="129"/>
      <c r="H13" s="130"/>
      <c r="I13" s="131">
        <v>63615536</v>
      </c>
      <c r="J13" s="118"/>
      <c r="K13" s="129"/>
      <c r="L13" s="130"/>
      <c r="M13" s="131"/>
      <c r="N13" s="131"/>
      <c r="O13" s="131"/>
    </row>
    <row r="14" spans="1:17">
      <c r="A14" s="93">
        <f>A13+1</f>
        <v>7</v>
      </c>
      <c r="B14" s="100" t="s">
        <v>220</v>
      </c>
      <c r="C14" s="127"/>
      <c r="D14" s="127"/>
      <c r="E14" s="128"/>
      <c r="F14" s="128"/>
      <c r="G14" s="129"/>
      <c r="H14" s="130"/>
      <c r="I14" s="131">
        <f>SUM(I12:I13)</f>
        <v>245472791</v>
      </c>
      <c r="J14" s="118"/>
      <c r="K14" s="129"/>
      <c r="L14" s="130"/>
      <c r="M14" s="131"/>
      <c r="N14" s="131"/>
      <c r="O14" s="131"/>
    </row>
    <row r="15" spans="1:17" ht="13.5" thickBot="1">
      <c r="A15" s="93"/>
      <c r="B15" s="132"/>
      <c r="C15" s="132"/>
      <c r="D15" s="132"/>
      <c r="E15" s="133"/>
      <c r="F15" s="101"/>
      <c r="G15" s="134"/>
      <c r="H15" s="132"/>
      <c r="I15" s="134"/>
      <c r="J15" s="134"/>
      <c r="K15" s="134"/>
      <c r="L15" s="134"/>
      <c r="M15" s="134"/>
      <c r="N15" s="134"/>
      <c r="O15" s="134"/>
    </row>
    <row r="16" spans="1:17">
      <c r="A16" s="93"/>
      <c r="B16" s="100"/>
      <c r="C16" s="100"/>
      <c r="D16" s="100"/>
      <c r="E16" s="101"/>
      <c r="F16" s="101"/>
      <c r="G16" s="135"/>
      <c r="H16" s="100"/>
      <c r="I16" s="135"/>
      <c r="J16" s="135"/>
      <c r="K16" s="102" t="s">
        <v>202</v>
      </c>
      <c r="L16" s="135"/>
      <c r="M16" s="102" t="s">
        <v>202</v>
      </c>
      <c r="N16" s="102"/>
      <c r="O16" s="102"/>
    </row>
    <row r="17" spans="1:15">
      <c r="A17" s="93"/>
      <c r="B17" s="99" t="s">
        <v>222</v>
      </c>
      <c r="C17" s="100"/>
      <c r="D17" s="100"/>
      <c r="E17" s="101"/>
      <c r="F17" s="101"/>
      <c r="G17" s="250" t="s">
        <v>201</v>
      </c>
      <c r="H17" s="250"/>
      <c r="I17" s="250"/>
      <c r="J17" s="100"/>
      <c r="K17" s="102" t="s">
        <v>205</v>
      </c>
      <c r="L17" s="103" t="s">
        <v>223</v>
      </c>
      <c r="M17" s="102" t="s">
        <v>205</v>
      </c>
      <c r="N17" s="102"/>
      <c r="O17" s="102"/>
    </row>
    <row r="18" spans="1:15" ht="13.5" thickBot="1">
      <c r="A18" s="93"/>
      <c r="B18" s="104" t="s">
        <v>208</v>
      </c>
      <c r="C18" s="105"/>
      <c r="D18" s="105"/>
      <c r="E18" s="106" t="s">
        <v>209</v>
      </c>
      <c r="F18" s="107"/>
      <c r="G18" s="108" t="s">
        <v>209</v>
      </c>
      <c r="H18" s="108" t="s">
        <v>210</v>
      </c>
      <c r="I18" s="109" t="s">
        <v>211</v>
      </c>
      <c r="J18" s="100"/>
      <c r="K18" s="108" t="s">
        <v>154</v>
      </c>
      <c r="L18" s="108" t="s">
        <v>212</v>
      </c>
      <c r="M18" s="108" t="s">
        <v>213</v>
      </c>
      <c r="N18" s="108"/>
      <c r="O18" s="108"/>
    </row>
    <row r="19" spans="1:15">
      <c r="A19" s="93">
        <f>A14+1</f>
        <v>8</v>
      </c>
      <c r="B19" s="136" t="s">
        <v>224</v>
      </c>
      <c r="C19" s="110"/>
      <c r="D19" s="110" t="s">
        <v>225</v>
      </c>
      <c r="E19" s="120">
        <v>0</v>
      </c>
      <c r="F19" s="120"/>
      <c r="G19" s="112">
        <v>560400</v>
      </c>
      <c r="H19" s="113">
        <v>5.0114000000000001</v>
      </c>
      <c r="I19" s="112">
        <f>ROUND(G19*H19,0)</f>
        <v>2808389</v>
      </c>
      <c r="J19" s="118"/>
      <c r="K19" s="112">
        <f ca="1">'Exhibit 1.2'!G11</f>
        <v>91227.617463196497</v>
      </c>
      <c r="L19" s="137">
        <f ca="1">K19/I19</f>
        <v>3.2483967663737644E-2</v>
      </c>
      <c r="M19" s="117">
        <f t="shared" ref="M19" ca="1" si="1">L19*H19</f>
        <v>0.16279015555005483</v>
      </c>
      <c r="N19" s="117">
        <v>0.16009999999999999</v>
      </c>
      <c r="O19" s="117">
        <f ca="1">M19-N19</f>
        <v>2.6901555500548346E-3</v>
      </c>
    </row>
    <row r="20" spans="1:15">
      <c r="A20" s="93"/>
      <c r="B20" s="136"/>
      <c r="C20" s="110"/>
      <c r="D20" s="110"/>
      <c r="E20" s="120"/>
      <c r="F20" s="120"/>
      <c r="G20" s="112"/>
      <c r="H20" s="113"/>
      <c r="I20" s="112"/>
      <c r="J20" s="118"/>
      <c r="K20" s="112"/>
      <c r="L20" s="138"/>
      <c r="M20" s="117"/>
      <c r="N20" s="117"/>
      <c r="O20" s="117"/>
    </row>
    <row r="21" spans="1:15" ht="13.5" thickBot="1">
      <c r="A21" s="93"/>
      <c r="B21" s="133"/>
      <c r="C21" s="133"/>
      <c r="D21" s="133"/>
      <c r="E21" s="133"/>
      <c r="F21" s="101"/>
      <c r="G21" s="139"/>
      <c r="H21" s="140"/>
      <c r="I21" s="140"/>
      <c r="J21" s="100"/>
      <c r="K21" s="139"/>
      <c r="L21" s="140"/>
      <c r="M21" s="140"/>
      <c r="N21" s="140"/>
      <c r="O21" s="140"/>
    </row>
    <row r="22" spans="1:15">
      <c r="A22" s="93"/>
      <c r="B22" s="101"/>
      <c r="C22" s="101"/>
      <c r="D22" s="101"/>
      <c r="E22" s="101"/>
      <c r="F22" s="101"/>
      <c r="G22" s="141"/>
      <c r="H22" s="142"/>
      <c r="I22" s="142"/>
      <c r="J22" s="100"/>
      <c r="K22" s="102" t="s">
        <v>202</v>
      </c>
      <c r="L22" s="142"/>
      <c r="M22" s="102" t="s">
        <v>202</v>
      </c>
      <c r="N22" s="102"/>
      <c r="O22" s="102"/>
    </row>
    <row r="23" spans="1:15">
      <c r="A23" s="93"/>
      <c r="B23" s="99" t="s">
        <v>226</v>
      </c>
      <c r="C23" s="101"/>
      <c r="D23" s="101"/>
      <c r="E23" s="101"/>
      <c r="F23" s="102"/>
      <c r="G23" s="250" t="s">
        <v>201</v>
      </c>
      <c r="H23" s="250"/>
      <c r="I23" s="250"/>
      <c r="J23" s="100"/>
      <c r="K23" s="102" t="s">
        <v>205</v>
      </c>
      <c r="L23" s="103" t="s">
        <v>223</v>
      </c>
      <c r="M23" s="102" t="s">
        <v>205</v>
      </c>
      <c r="N23" s="102"/>
      <c r="O23" s="102"/>
    </row>
    <row r="24" spans="1:15" ht="13.5" thickBot="1">
      <c r="A24" s="93"/>
      <c r="B24" s="104" t="s">
        <v>208</v>
      </c>
      <c r="C24" s="105"/>
      <c r="D24" s="105"/>
      <c r="E24" s="106" t="s">
        <v>209</v>
      </c>
      <c r="F24" s="107"/>
      <c r="G24" s="108" t="s">
        <v>209</v>
      </c>
      <c r="H24" s="108" t="s">
        <v>210</v>
      </c>
      <c r="I24" s="109" t="s">
        <v>211</v>
      </c>
      <c r="J24" s="100"/>
      <c r="K24" s="108" t="s">
        <v>154</v>
      </c>
      <c r="L24" s="108" t="s">
        <v>212</v>
      </c>
      <c r="M24" s="108" t="s">
        <v>213</v>
      </c>
      <c r="N24" s="108"/>
      <c r="O24" s="108"/>
    </row>
    <row r="25" spans="1:15">
      <c r="A25" s="93">
        <f>A19+1</f>
        <v>9</v>
      </c>
      <c r="B25" s="110" t="s">
        <v>214</v>
      </c>
      <c r="C25" s="110" t="s">
        <v>215</v>
      </c>
      <c r="D25" s="110" t="s">
        <v>216</v>
      </c>
      <c r="E25" s="120">
        <v>200</v>
      </c>
      <c r="F25" s="120"/>
      <c r="G25" s="112">
        <v>577698</v>
      </c>
      <c r="H25" s="113">
        <v>0.73760999999999999</v>
      </c>
      <c r="I25" s="112">
        <f>ROUND(G25*H25,0)</f>
        <v>426116</v>
      </c>
      <c r="J25" s="118"/>
      <c r="K25" s="112">
        <f ca="1">M25*G25</f>
        <v>26050.87711295428</v>
      </c>
      <c r="L25" s="143">
        <f ca="1">L32</f>
        <v>6.1135671996718599E-2</v>
      </c>
      <c r="M25" s="113">
        <f t="shared" ref="M25:M27" ca="1" si="2">L25*H25</f>
        <v>4.5094283021499607E-2</v>
      </c>
      <c r="N25" s="113">
        <v>2.6610000000000002E-2</v>
      </c>
      <c r="O25" s="113">
        <f ca="1">M25-N25</f>
        <v>1.8484283021499605E-2</v>
      </c>
    </row>
    <row r="26" spans="1:15">
      <c r="A26" s="93">
        <f>A25+1</f>
        <v>10</v>
      </c>
      <c r="B26" s="119"/>
      <c r="C26" s="110" t="s">
        <v>217</v>
      </c>
      <c r="D26" s="110" t="s">
        <v>218</v>
      </c>
      <c r="E26" s="120">
        <v>1800</v>
      </c>
      <c r="F26" s="120"/>
      <c r="G26" s="112">
        <v>1294663</v>
      </c>
      <c r="H26" s="113">
        <v>0.59009</v>
      </c>
      <c r="I26" s="112">
        <f>ROUND(G26*H26,0)</f>
        <v>763968</v>
      </c>
      <c r="J26" s="118"/>
      <c r="K26" s="112">
        <f ca="1">M26*G26</f>
        <v>46705.678091756025</v>
      </c>
      <c r="L26" s="143">
        <f ca="1">L32</f>
        <v>6.1135671996718599E-2</v>
      </c>
      <c r="M26" s="113">
        <f t="shared" ca="1" si="2"/>
        <v>3.6075548688543679E-2</v>
      </c>
      <c r="N26" s="113">
        <v>2.129E-2</v>
      </c>
      <c r="O26" s="113">
        <f ca="1">M26-N26</f>
        <v>1.4785548688543679E-2</v>
      </c>
    </row>
    <row r="27" spans="1:15">
      <c r="A27" s="93">
        <f>A26+1</f>
        <v>11</v>
      </c>
      <c r="B27" s="119"/>
      <c r="C27" s="110" t="s">
        <v>227</v>
      </c>
      <c r="D27" s="110" t="s">
        <v>225</v>
      </c>
      <c r="E27" s="120">
        <v>2000</v>
      </c>
      <c r="F27" s="120"/>
      <c r="G27" s="112">
        <v>733254</v>
      </c>
      <c r="H27" s="113">
        <v>0.53108999999999995</v>
      </c>
      <c r="I27" s="112">
        <f>ROUND(G27*H27,0)</f>
        <v>389424</v>
      </c>
      <c r="J27" s="118"/>
      <c r="K27" s="112">
        <f ca="1">M27*G27</f>
        <v>23807.689792046771</v>
      </c>
      <c r="L27" s="143">
        <f ca="1">L32</f>
        <v>6.1135671996718599E-2</v>
      </c>
      <c r="M27" s="113">
        <f t="shared" ca="1" si="2"/>
        <v>3.2468544040737277E-2</v>
      </c>
      <c r="N27" s="113">
        <v>1.916E-2</v>
      </c>
      <c r="O27" s="113">
        <f ca="1">M27-N27</f>
        <v>1.3308544040737277E-2</v>
      </c>
    </row>
    <row r="28" spans="1:15">
      <c r="A28" s="93"/>
      <c r="B28" s="119" t="s">
        <v>228</v>
      </c>
      <c r="C28" s="110"/>
      <c r="D28" s="110"/>
      <c r="E28" s="120"/>
      <c r="F28" s="120"/>
      <c r="G28" s="112"/>
      <c r="H28" s="144"/>
      <c r="I28" s="114"/>
      <c r="J28" s="118"/>
      <c r="K28" s="112"/>
      <c r="L28" s="143"/>
      <c r="M28" s="113"/>
      <c r="N28" s="113"/>
      <c r="O28" s="113"/>
    </row>
    <row r="29" spans="1:15">
      <c r="A29" s="93">
        <f>A27+1</f>
        <v>12</v>
      </c>
      <c r="B29" s="121" t="s">
        <v>219</v>
      </c>
      <c r="C29" s="110" t="s">
        <v>215</v>
      </c>
      <c r="D29" s="110" t="str">
        <f t="shared" ref="D29:E29" si="3">D25</f>
        <v>First</v>
      </c>
      <c r="E29" s="120">
        <f t="shared" si="3"/>
        <v>200</v>
      </c>
      <c r="F29" s="120"/>
      <c r="G29" s="112">
        <v>762654</v>
      </c>
      <c r="H29" s="113">
        <v>0.65959999999999996</v>
      </c>
      <c r="I29" s="112">
        <f>ROUND(G29*H29,0)</f>
        <v>503047</v>
      </c>
      <c r="J29" s="118"/>
      <c r="K29" s="112">
        <f ca="1">M29*G29</f>
        <v>30754.090616133984</v>
      </c>
      <c r="L29" s="143">
        <f ca="1">L32</f>
        <v>6.1135671996718599E-2</v>
      </c>
      <c r="M29" s="113">
        <f t="shared" ref="M29:M31" ca="1" si="4">L29*H29</f>
        <v>4.0325089249035585E-2</v>
      </c>
      <c r="N29" s="113">
        <v>2.3789999999999999E-2</v>
      </c>
      <c r="O29" s="113">
        <f ca="1">M29-N29</f>
        <v>1.6535089249035587E-2</v>
      </c>
    </row>
    <row r="30" spans="1:15">
      <c r="A30" s="93">
        <f>A29+1</f>
        <v>13</v>
      </c>
      <c r="B30" s="121"/>
      <c r="C30" s="110" t="s">
        <v>217</v>
      </c>
      <c r="D30" s="110" t="str">
        <f>D26</f>
        <v>Next</v>
      </c>
      <c r="E30" s="120">
        <f>E26</f>
        <v>1800</v>
      </c>
      <c r="F30" s="120"/>
      <c r="G30" s="112">
        <v>1376146</v>
      </c>
      <c r="H30" s="113">
        <v>0.51587000000000005</v>
      </c>
      <c r="I30" s="112">
        <f>ROUND(G30*H30,0)</f>
        <v>709912</v>
      </c>
      <c r="J30" s="118"/>
      <c r="K30" s="112">
        <f ca="1">M30*G30</f>
        <v>43400.973896045878</v>
      </c>
      <c r="L30" s="143">
        <f ca="1">L32</f>
        <v>6.1135671996718599E-2</v>
      </c>
      <c r="M30" s="113">
        <f t="shared" ca="1" si="4"/>
        <v>3.1538059112947228E-2</v>
      </c>
      <c r="N30" s="113">
        <v>1.8610000000000002E-2</v>
      </c>
      <c r="O30" s="113">
        <f ca="1">M30-N30</f>
        <v>1.2928059112947227E-2</v>
      </c>
    </row>
    <row r="31" spans="1:15">
      <c r="A31" s="93">
        <f>A30+1</f>
        <v>14</v>
      </c>
      <c r="B31" s="121"/>
      <c r="C31" s="110" t="s">
        <v>227</v>
      </c>
      <c r="D31" s="110" t="str">
        <f>D27</f>
        <v>All Over</v>
      </c>
      <c r="E31" s="120">
        <f>E27</f>
        <v>2000</v>
      </c>
      <c r="F31" s="120"/>
      <c r="G31" s="112">
        <v>572681</v>
      </c>
      <c r="H31" s="113">
        <v>0.44824999999999998</v>
      </c>
      <c r="I31" s="112">
        <f>ROUND(G31*H31,0)</f>
        <v>256704</v>
      </c>
      <c r="J31" s="118"/>
      <c r="K31" s="112">
        <f ca="1">M31*G31</f>
        <v>15693.787332532944</v>
      </c>
      <c r="L31" s="143">
        <f ca="1">L32</f>
        <v>6.1135671996718599E-2</v>
      </c>
      <c r="M31" s="113">
        <f t="shared" ca="1" si="4"/>
        <v>2.7404064972529112E-2</v>
      </c>
      <c r="N31" s="113">
        <v>1.617E-2</v>
      </c>
      <c r="O31" s="113">
        <f ca="1">M31-N31</f>
        <v>1.1234064972529111E-2</v>
      </c>
    </row>
    <row r="32" spans="1:15">
      <c r="A32" s="93">
        <f>A31+1</f>
        <v>15</v>
      </c>
      <c r="B32" s="122" t="s">
        <v>220</v>
      </c>
      <c r="C32" s="95"/>
      <c r="D32" s="110"/>
      <c r="E32" s="120"/>
      <c r="F32" s="120"/>
      <c r="G32" s="145">
        <f>SUM(G25:G31)</f>
        <v>5317096</v>
      </c>
      <c r="H32" s="146"/>
      <c r="I32" s="145">
        <f>SUM(I25:I31)</f>
        <v>3049171</v>
      </c>
      <c r="J32" s="118"/>
      <c r="K32" s="145">
        <f ca="1">'Exhibit 1.2'!G10</f>
        <v>186413.11811790644</v>
      </c>
      <c r="L32" s="137">
        <f ca="1">K32/I32</f>
        <v>6.1135671996718599E-2</v>
      </c>
      <c r="M32" s="145"/>
      <c r="N32" s="145"/>
      <c r="O32" s="145"/>
    </row>
    <row r="33" spans="1:15">
      <c r="A33" s="93"/>
      <c r="B33" s="122"/>
      <c r="C33" s="95"/>
      <c r="D33" s="110"/>
      <c r="E33" s="120"/>
      <c r="F33" s="120"/>
      <c r="G33" s="147"/>
      <c r="H33" s="148"/>
      <c r="I33" s="147"/>
      <c r="J33" s="118"/>
      <c r="K33" s="147"/>
      <c r="L33" s="138"/>
      <c r="M33" s="147"/>
      <c r="N33" s="147"/>
      <c r="O33" s="147"/>
    </row>
    <row r="34" spans="1:15" ht="13.5" thickBot="1">
      <c r="A34" s="93"/>
      <c r="B34" s="132"/>
      <c r="C34" s="132"/>
      <c r="D34" s="132"/>
      <c r="E34" s="133"/>
      <c r="F34" s="101"/>
      <c r="G34" s="134"/>
      <c r="H34" s="132"/>
      <c r="I34" s="134"/>
      <c r="J34" s="135"/>
      <c r="K34" s="134"/>
      <c r="L34" s="132"/>
      <c r="M34" s="134"/>
      <c r="N34" s="134"/>
      <c r="O34" s="134"/>
    </row>
    <row r="35" spans="1:15">
      <c r="A35" s="93"/>
      <c r="B35" s="100"/>
      <c r="C35" s="100"/>
      <c r="D35" s="100"/>
      <c r="E35" s="101"/>
      <c r="F35" s="101"/>
      <c r="G35" s="135"/>
      <c r="H35" s="100"/>
      <c r="I35" s="135"/>
      <c r="J35" s="135"/>
      <c r="K35" s="102" t="s">
        <v>202</v>
      </c>
      <c r="L35" s="100"/>
      <c r="M35" s="102" t="s">
        <v>202</v>
      </c>
      <c r="N35" s="102"/>
      <c r="O35" s="102"/>
    </row>
    <row r="36" spans="1:15">
      <c r="A36" s="93"/>
      <c r="B36" s="99" t="s">
        <v>229</v>
      </c>
      <c r="C36" s="100"/>
      <c r="D36" s="100"/>
      <c r="E36" s="103"/>
      <c r="F36" s="103"/>
      <c r="G36" s="250" t="s">
        <v>201</v>
      </c>
      <c r="H36" s="250"/>
      <c r="I36" s="250"/>
      <c r="J36" s="100"/>
      <c r="K36" s="102" t="s">
        <v>205</v>
      </c>
      <c r="L36" s="103" t="s">
        <v>223</v>
      </c>
      <c r="M36" s="102" t="s">
        <v>205</v>
      </c>
      <c r="N36" s="102"/>
      <c r="O36" s="102"/>
    </row>
    <row r="37" spans="1:15" ht="13.5" thickBot="1">
      <c r="A37" s="93"/>
      <c r="B37" s="104" t="s">
        <v>208</v>
      </c>
      <c r="C37" s="105"/>
      <c r="D37" s="105"/>
      <c r="E37" s="106" t="s">
        <v>209</v>
      </c>
      <c r="F37" s="107"/>
      <c r="G37" s="108" t="s">
        <v>209</v>
      </c>
      <c r="H37" s="108" t="s">
        <v>210</v>
      </c>
      <c r="I37" s="109" t="s">
        <v>211</v>
      </c>
      <c r="J37" s="100"/>
      <c r="K37" s="108" t="s">
        <v>154</v>
      </c>
      <c r="L37" s="108" t="s">
        <v>212</v>
      </c>
      <c r="M37" s="108" t="s">
        <v>213</v>
      </c>
      <c r="N37" s="108"/>
      <c r="O37" s="108"/>
    </row>
    <row r="38" spans="1:15">
      <c r="A38" s="93">
        <f>A32+1</f>
        <v>16</v>
      </c>
      <c r="B38" s="110"/>
      <c r="C38" s="110" t="s">
        <v>215</v>
      </c>
      <c r="D38" s="110" t="s">
        <v>216</v>
      </c>
      <c r="E38" s="149">
        <v>2000</v>
      </c>
      <c r="F38" s="150"/>
      <c r="G38" s="112">
        <v>1336340</v>
      </c>
      <c r="H38" s="113">
        <v>0.23780999999999999</v>
      </c>
      <c r="I38" s="112">
        <f>ROUND(G38*H38,0)</f>
        <v>317795</v>
      </c>
      <c r="J38" s="118"/>
      <c r="K38" s="112">
        <f ca="1">M38*G38</f>
        <v>12246.858621313071</v>
      </c>
      <c r="L38" s="116">
        <f ca="1">L41</f>
        <v>3.8536975181622288E-2</v>
      </c>
      <c r="M38" s="113">
        <f t="shared" ref="M38:M40" ca="1" si="5">L38*H38</f>
        <v>9.1644780679415953E-3</v>
      </c>
      <c r="N38" s="113">
        <v>8.09E-3</v>
      </c>
      <c r="O38" s="113">
        <f ca="1">M38-N38</f>
        <v>1.0744780679415953E-3</v>
      </c>
    </row>
    <row r="39" spans="1:15">
      <c r="A39" s="93">
        <f>A38+1</f>
        <v>17</v>
      </c>
      <c r="B39" s="119"/>
      <c r="C39" s="110" t="s">
        <v>217</v>
      </c>
      <c r="D39" s="110" t="s">
        <v>218</v>
      </c>
      <c r="E39" s="149">
        <v>18000</v>
      </c>
      <c r="F39" s="150"/>
      <c r="G39" s="112">
        <v>1338408</v>
      </c>
      <c r="H39" s="113">
        <v>0.21878</v>
      </c>
      <c r="I39" s="112">
        <f>ROUND(G39*H39,0)</f>
        <v>292817</v>
      </c>
      <c r="J39" s="118"/>
      <c r="K39" s="112">
        <f ca="1">M39*G39</f>
        <v>11284.277694382399</v>
      </c>
      <c r="L39" s="116">
        <f ca="1">L41</f>
        <v>3.8536975181622288E-2</v>
      </c>
      <c r="M39" s="113">
        <f t="shared" ca="1" si="5"/>
        <v>8.4311194302353239E-3</v>
      </c>
      <c r="N39" s="113">
        <v>7.45E-3</v>
      </c>
      <c r="O39" s="113">
        <f ca="1">M39-N39</f>
        <v>9.8111943023532384E-4</v>
      </c>
    </row>
    <row r="40" spans="1:15">
      <c r="A40" s="93">
        <f>A39+1</f>
        <v>18</v>
      </c>
      <c r="B40" s="119"/>
      <c r="C40" s="110" t="s">
        <v>227</v>
      </c>
      <c r="D40" s="110" t="s">
        <v>225</v>
      </c>
      <c r="E40" s="149">
        <v>20000</v>
      </c>
      <c r="F40" s="150"/>
      <c r="G40" s="112">
        <v>8783</v>
      </c>
      <c r="H40" s="113">
        <v>0.20127999999999999</v>
      </c>
      <c r="I40" s="112">
        <f>ROUND(G40*H40,0)</f>
        <v>1768</v>
      </c>
      <c r="J40" s="118"/>
      <c r="K40" s="112">
        <f ca="1">M40*G40</f>
        <v>68.127292527903549</v>
      </c>
      <c r="L40" s="116">
        <f ca="1">L41</f>
        <v>3.8536975181622288E-2</v>
      </c>
      <c r="M40" s="113">
        <f t="shared" ca="1" si="5"/>
        <v>7.7567223645569339E-3</v>
      </c>
      <c r="N40" s="113">
        <v>6.8500000000000002E-3</v>
      </c>
      <c r="O40" s="113">
        <f ca="1">M40-N40</f>
        <v>9.0672236455693368E-4</v>
      </c>
    </row>
    <row r="41" spans="1:15">
      <c r="A41" s="93">
        <f>A40+1</f>
        <v>19</v>
      </c>
      <c r="B41" s="122" t="s">
        <v>220</v>
      </c>
      <c r="C41" s="95"/>
      <c r="D41" s="110"/>
      <c r="E41" s="120"/>
      <c r="F41" s="120"/>
      <c r="G41" s="145">
        <f>SUM(G38:G40)</f>
        <v>2683531</v>
      </c>
      <c r="H41" s="146"/>
      <c r="I41" s="145">
        <f>SUM(I38:I40)</f>
        <v>612380</v>
      </c>
      <c r="J41" s="118"/>
      <c r="K41" s="145">
        <f ca="1">'Exhibit 1.2'!G12</f>
        <v>23599.272861721856</v>
      </c>
      <c r="L41" s="137">
        <f ca="1">K41/I41</f>
        <v>3.8536975181622288E-2</v>
      </c>
      <c r="M41" s="145"/>
      <c r="N41" s="145"/>
      <c r="O41" s="145"/>
    </row>
    <row r="42" spans="1:15">
      <c r="A42" s="93"/>
      <c r="B42" s="122"/>
      <c r="C42" s="95"/>
      <c r="D42" s="110"/>
      <c r="E42" s="120"/>
      <c r="F42" s="120"/>
      <c r="G42" s="147"/>
      <c r="H42" s="148"/>
      <c r="I42" s="147"/>
      <c r="J42" s="118"/>
      <c r="K42" s="147"/>
      <c r="L42" s="138"/>
      <c r="M42" s="147"/>
      <c r="N42" s="147"/>
      <c r="O42" s="147"/>
    </row>
    <row r="43" spans="1:15" ht="13.5" thickBot="1">
      <c r="A43" s="93"/>
      <c r="B43" s="151"/>
      <c r="C43" s="152"/>
      <c r="D43" s="152"/>
      <c r="E43" s="153"/>
      <c r="F43" s="128"/>
      <c r="G43" s="154"/>
      <c r="H43" s="155"/>
      <c r="I43" s="134"/>
      <c r="J43" s="118"/>
      <c r="K43" s="154"/>
      <c r="L43" s="155"/>
      <c r="M43" s="134"/>
      <c r="N43" s="134"/>
      <c r="O43" s="134"/>
    </row>
    <row r="44" spans="1:15">
      <c r="A44" s="93"/>
      <c r="B44" s="156"/>
      <c r="C44" s="127"/>
      <c r="D44" s="127"/>
      <c r="E44" s="128"/>
      <c r="F44" s="128"/>
      <c r="G44" s="157"/>
      <c r="H44" s="158"/>
      <c r="I44" s="135"/>
      <c r="J44" s="118"/>
      <c r="K44" s="102" t="s">
        <v>202</v>
      </c>
      <c r="L44" s="158"/>
      <c r="M44" s="102" t="s">
        <v>202</v>
      </c>
      <c r="N44" s="102"/>
      <c r="O44" s="102"/>
    </row>
    <row r="45" spans="1:15">
      <c r="A45" s="93"/>
      <c r="B45" s="99" t="s">
        <v>230</v>
      </c>
      <c r="C45" s="100"/>
      <c r="D45" s="100"/>
      <c r="E45" s="103"/>
      <c r="F45" s="103"/>
      <c r="G45" s="250" t="s">
        <v>201</v>
      </c>
      <c r="H45" s="250"/>
      <c r="I45" s="250"/>
      <c r="J45" s="100"/>
      <c r="K45" s="102" t="s">
        <v>205</v>
      </c>
      <c r="L45" s="103" t="s">
        <v>206</v>
      </c>
      <c r="M45" s="102" t="s">
        <v>205</v>
      </c>
      <c r="N45" s="102"/>
      <c r="O45" s="102"/>
    </row>
    <row r="46" spans="1:15" ht="13.5" thickBot="1">
      <c r="A46" s="93"/>
      <c r="B46" s="104" t="s">
        <v>208</v>
      </c>
      <c r="C46" s="105"/>
      <c r="D46" s="105"/>
      <c r="E46" s="106" t="s">
        <v>209</v>
      </c>
      <c r="F46" s="107"/>
      <c r="G46" s="108" t="s">
        <v>209</v>
      </c>
      <c r="H46" s="108" t="s">
        <v>210</v>
      </c>
      <c r="I46" s="109" t="s">
        <v>211</v>
      </c>
      <c r="J46" s="100"/>
      <c r="K46" s="108" t="s">
        <v>154</v>
      </c>
      <c r="L46" s="108" t="s">
        <v>212</v>
      </c>
      <c r="M46" s="108" t="s">
        <v>213</v>
      </c>
      <c r="N46" s="108"/>
      <c r="O46" s="108"/>
    </row>
    <row r="47" spans="1:15">
      <c r="A47" s="93">
        <f>A41+1</f>
        <v>20</v>
      </c>
      <c r="B47" s="110"/>
      <c r="C47" s="110" t="s">
        <v>215</v>
      </c>
      <c r="D47" s="110" t="s">
        <v>216</v>
      </c>
      <c r="E47" s="120">
        <v>10000</v>
      </c>
      <c r="F47" s="120"/>
      <c r="G47" s="112">
        <v>1728987</v>
      </c>
      <c r="H47" s="113">
        <v>0.20574999999999999</v>
      </c>
      <c r="I47" s="112">
        <f>ROUND(G47*H47,0)</f>
        <v>355739</v>
      </c>
      <c r="J47" s="118"/>
      <c r="K47" s="112">
        <f ca="1">M47*G47</f>
        <v>49345.710809313299</v>
      </c>
      <c r="L47" s="116">
        <f ca="1">L51</f>
        <v>0.13871321494450672</v>
      </c>
      <c r="M47" s="113">
        <f t="shared" ref="M47:M49" ca="1" si="6">L47*H47</f>
        <v>2.8540243974832256E-2</v>
      </c>
      <c r="N47" s="113">
        <v>2.0449999999999999E-2</v>
      </c>
      <c r="O47" s="113">
        <f ca="1">M47-N47</f>
        <v>8.090243974832257E-3</v>
      </c>
    </row>
    <row r="48" spans="1:15">
      <c r="A48" s="93">
        <f>A47+1</f>
        <v>21</v>
      </c>
      <c r="B48" s="119"/>
      <c r="C48" s="110" t="s">
        <v>217</v>
      </c>
      <c r="D48" s="110" t="s">
        <v>218</v>
      </c>
      <c r="E48" s="120">
        <v>112500</v>
      </c>
      <c r="F48" s="120"/>
      <c r="G48" s="112">
        <v>4853349</v>
      </c>
      <c r="H48" s="113">
        <v>0.19081999999999999</v>
      </c>
      <c r="I48" s="112">
        <f>ROUND(G48*H48,0)</f>
        <v>926116</v>
      </c>
      <c r="J48" s="118"/>
      <c r="K48" s="112">
        <f ca="1">M48*G48</f>
        <v>128464.5355644552</v>
      </c>
      <c r="L48" s="116">
        <f ca="1">L51</f>
        <v>0.13871321494450672</v>
      </c>
      <c r="M48" s="113">
        <f t="shared" ca="1" si="6"/>
        <v>2.6469255675710773E-2</v>
      </c>
      <c r="N48" s="113">
        <v>1.8970000000000001E-2</v>
      </c>
      <c r="O48" s="113">
        <f ca="1">M48-N48</f>
        <v>7.4992556757107719E-3</v>
      </c>
    </row>
    <row r="49" spans="1:17">
      <c r="A49" s="93">
        <f>A48+1</f>
        <v>22</v>
      </c>
      <c r="B49" s="119"/>
      <c r="C49" s="110" t="s">
        <v>227</v>
      </c>
      <c r="D49" s="110" t="s">
        <v>218</v>
      </c>
      <c r="E49" s="120">
        <v>477500</v>
      </c>
      <c r="F49" s="120"/>
      <c r="G49" s="112">
        <v>1915104</v>
      </c>
      <c r="H49" s="113">
        <v>0.12687999999999999</v>
      </c>
      <c r="I49" s="112">
        <f>ROUND(G49*H49,0)</f>
        <v>242988</v>
      </c>
      <c r="J49" s="118"/>
      <c r="K49" s="112">
        <f ca="1">M49*G49</f>
        <v>33705.701536786568</v>
      </c>
      <c r="L49" s="116">
        <f ca="1">L51</f>
        <v>0.13871321494450672</v>
      </c>
      <c r="M49" s="113">
        <f t="shared" ca="1" si="6"/>
        <v>1.7599932712159011E-2</v>
      </c>
      <c r="N49" s="113">
        <v>1.261E-2</v>
      </c>
      <c r="O49" s="113">
        <f ca="1">M49-N49</f>
        <v>4.9899327121590113E-3</v>
      </c>
    </row>
    <row r="50" spans="1:17">
      <c r="A50" s="93">
        <f>A49+1</f>
        <v>23</v>
      </c>
      <c r="B50" s="119"/>
      <c r="C50" s="110" t="s">
        <v>231</v>
      </c>
      <c r="D50" s="110" t="s">
        <v>225</v>
      </c>
      <c r="E50" s="120">
        <v>600000</v>
      </c>
      <c r="F50" s="120"/>
      <c r="G50" s="112">
        <v>0</v>
      </c>
      <c r="H50" s="113">
        <v>2.8029999999999999E-2</v>
      </c>
      <c r="I50" s="112">
        <f>ROUND(G50*H50,0)</f>
        <v>0</v>
      </c>
      <c r="J50" s="118"/>
      <c r="K50" s="112">
        <f>M50*G50</f>
        <v>0</v>
      </c>
      <c r="L50" s="113"/>
      <c r="M50" s="113"/>
      <c r="N50" s="113"/>
      <c r="O50" s="113"/>
    </row>
    <row r="51" spans="1:17">
      <c r="A51" s="93">
        <f>A50+1</f>
        <v>24</v>
      </c>
      <c r="B51" s="122" t="s">
        <v>220</v>
      </c>
      <c r="C51" s="95"/>
      <c r="D51" s="110"/>
      <c r="E51" s="120"/>
      <c r="F51" s="120"/>
      <c r="G51" s="145">
        <f>SUM(G47:G50)</f>
        <v>8497440</v>
      </c>
      <c r="H51" s="146"/>
      <c r="I51" s="145">
        <f>SUM(I47:I50)</f>
        <v>1524843</v>
      </c>
      <c r="J51" s="118"/>
      <c r="K51" s="145">
        <f ca="1">'Exhibit 1.2'!G15</f>
        <v>211515.87481562648</v>
      </c>
      <c r="L51" s="137">
        <f ca="1">K51/I51</f>
        <v>0.13871321494450672</v>
      </c>
      <c r="M51" s="145"/>
      <c r="N51" s="145"/>
      <c r="O51" s="145"/>
    </row>
    <row r="52" spans="1:17">
      <c r="A52" s="93"/>
      <c r="B52" s="122"/>
      <c r="C52" s="95"/>
      <c r="D52" s="110"/>
      <c r="E52" s="120"/>
      <c r="F52" s="120"/>
      <c r="G52" s="147"/>
      <c r="H52" s="148"/>
      <c r="I52" s="147"/>
      <c r="J52" s="118"/>
      <c r="K52" s="147"/>
      <c r="L52" s="138"/>
      <c r="M52" s="147"/>
      <c r="N52" s="147"/>
      <c r="O52" s="147"/>
    </row>
    <row r="53" spans="1:17" ht="13.5" thickBot="1">
      <c r="A53" s="93"/>
      <c r="B53" s="151"/>
      <c r="C53" s="152"/>
      <c r="D53" s="152"/>
      <c r="E53" s="153"/>
      <c r="F53" s="159"/>
      <c r="G53" s="154"/>
      <c r="H53" s="155"/>
      <c r="I53" s="134"/>
      <c r="J53" s="118"/>
      <c r="K53" s="154"/>
      <c r="L53" s="155"/>
      <c r="M53" s="134"/>
      <c r="N53" s="134"/>
      <c r="O53" s="134"/>
    </row>
    <row r="54" spans="1:17">
      <c r="A54" s="93"/>
      <c r="B54" s="156"/>
      <c r="C54" s="127"/>
      <c r="D54" s="127"/>
      <c r="E54" s="128"/>
      <c r="F54" s="159"/>
      <c r="G54" s="157"/>
      <c r="H54" s="158"/>
      <c r="I54" s="135"/>
      <c r="J54" s="118"/>
      <c r="K54" s="102" t="s">
        <v>202</v>
      </c>
      <c r="L54" s="158"/>
      <c r="M54" s="102" t="s">
        <v>202</v>
      </c>
      <c r="N54" s="102"/>
      <c r="O54" s="102"/>
    </row>
    <row r="55" spans="1:17">
      <c r="A55" s="93"/>
      <c r="B55" s="99" t="s">
        <v>232</v>
      </c>
      <c r="C55" s="100"/>
      <c r="D55" s="100"/>
      <c r="E55" s="103"/>
      <c r="F55" s="159"/>
      <c r="G55" s="250" t="s">
        <v>201</v>
      </c>
      <c r="H55" s="250"/>
      <c r="I55" s="250"/>
      <c r="J55" s="118"/>
      <c r="K55" s="102" t="s">
        <v>205</v>
      </c>
      <c r="L55" s="103" t="s">
        <v>206</v>
      </c>
      <c r="M55" s="102" t="s">
        <v>205</v>
      </c>
      <c r="N55" s="102"/>
      <c r="O55" s="102"/>
    </row>
    <row r="56" spans="1:17" ht="13.5" thickBot="1">
      <c r="A56" s="93"/>
      <c r="B56" s="104" t="s">
        <v>208</v>
      </c>
      <c r="C56" s="105"/>
      <c r="D56" s="105"/>
      <c r="E56" s="106" t="s">
        <v>209</v>
      </c>
      <c r="F56" s="159"/>
      <c r="G56" s="108" t="s">
        <v>209</v>
      </c>
      <c r="H56" s="108" t="s">
        <v>210</v>
      </c>
      <c r="I56" s="109" t="s">
        <v>211</v>
      </c>
      <c r="J56" s="118"/>
      <c r="K56" s="108" t="s">
        <v>154</v>
      </c>
      <c r="L56" s="108" t="s">
        <v>212</v>
      </c>
      <c r="M56" s="108" t="s">
        <v>213</v>
      </c>
      <c r="N56" s="108"/>
      <c r="O56" s="108"/>
    </row>
    <row r="57" spans="1:17">
      <c r="A57" s="93">
        <f>A51+1</f>
        <v>25</v>
      </c>
      <c r="B57" s="110"/>
      <c r="C57" s="110" t="s">
        <v>215</v>
      </c>
      <c r="D57" s="110" t="s">
        <v>216</v>
      </c>
      <c r="E57" s="120">
        <v>20000</v>
      </c>
      <c r="F57" s="159"/>
      <c r="G57" s="112">
        <v>18326645</v>
      </c>
      <c r="H57" s="113">
        <v>0.20175000000000001</v>
      </c>
      <c r="I57" s="112">
        <f>ROUND(G57*H57,0)</f>
        <v>3697401</v>
      </c>
      <c r="J57" s="118"/>
      <c r="K57" s="112">
        <f ca="1">M57*G57</f>
        <v>150638.53867076183</v>
      </c>
      <c r="L57" s="160">
        <f ca="1">L62</f>
        <v>4.0741740967813106E-2</v>
      </c>
      <c r="M57" s="113">
        <f ca="1">L57*H57</f>
        <v>8.2196462402562946E-3</v>
      </c>
      <c r="N57" s="113">
        <v>7.1300000000000001E-3</v>
      </c>
      <c r="O57" s="113">
        <f ca="1">M57-N57</f>
        <v>1.0896462402562946E-3</v>
      </c>
    </row>
    <row r="58" spans="1:17">
      <c r="A58" s="93">
        <f>A57+1</f>
        <v>26</v>
      </c>
      <c r="B58" s="119"/>
      <c r="C58" s="110" t="s">
        <v>217</v>
      </c>
      <c r="D58" s="110" t="s">
        <v>218</v>
      </c>
      <c r="E58" s="120">
        <v>80000</v>
      </c>
      <c r="F58" s="159"/>
      <c r="G58" s="112">
        <v>9459326</v>
      </c>
      <c r="H58" s="113">
        <v>0.15131</v>
      </c>
      <c r="I58" s="112">
        <f>ROUND(G58*H58,0)</f>
        <v>1431291</v>
      </c>
      <c r="J58" s="118"/>
      <c r="K58" s="112">
        <f t="shared" ref="K58:K60" ca="1" si="7">M58*G58</f>
        <v>58313.271569919896</v>
      </c>
      <c r="L58" s="160">
        <f ca="1">L62</f>
        <v>4.0741740967813106E-2</v>
      </c>
      <c r="M58" s="113">
        <f t="shared" ref="M58:M61" ca="1" si="8">L58*H58</f>
        <v>6.1646328258398008E-3</v>
      </c>
      <c r="N58" s="113">
        <v>5.3499999999999997E-3</v>
      </c>
      <c r="O58" s="113">
        <f ca="1">M58-N58</f>
        <v>8.1463282583980109E-4</v>
      </c>
    </row>
    <row r="59" spans="1:17">
      <c r="A59" s="93">
        <f>A58+1</f>
        <v>27</v>
      </c>
      <c r="B59" s="119"/>
      <c r="C59" s="110" t="s">
        <v>227</v>
      </c>
      <c r="D59" s="110" t="s">
        <v>218</v>
      </c>
      <c r="E59" s="120">
        <v>400000</v>
      </c>
      <c r="F59" s="159"/>
      <c r="G59" s="112">
        <v>5836814</v>
      </c>
      <c r="H59" s="113">
        <v>0.12105</v>
      </c>
      <c r="I59" s="112">
        <f>ROUND(G59*H59,0)</f>
        <v>706546</v>
      </c>
      <c r="J59" s="118"/>
      <c r="K59" s="112">
        <f t="shared" ca="1" si="7"/>
        <v>28785.927750105184</v>
      </c>
      <c r="L59" s="160">
        <f ca="1">L62</f>
        <v>4.0741740967813106E-2</v>
      </c>
      <c r="M59" s="113">
        <f t="shared" ca="1" si="8"/>
        <v>4.9317877441537768E-3</v>
      </c>
      <c r="N59" s="113">
        <v>4.28E-3</v>
      </c>
      <c r="O59" s="113">
        <f ca="1">M59-N59</f>
        <v>6.5178774415377682E-4</v>
      </c>
    </row>
    <row r="60" spans="1:17">
      <c r="A60" s="93">
        <f>A59+1</f>
        <v>28</v>
      </c>
      <c r="B60" s="119"/>
      <c r="C60" s="110" t="s">
        <v>231</v>
      </c>
      <c r="D60" s="110" t="s">
        <v>225</v>
      </c>
      <c r="E60" s="120">
        <v>500000</v>
      </c>
      <c r="F60" s="159"/>
      <c r="G60" s="112">
        <v>508880</v>
      </c>
      <c r="H60" s="161">
        <v>4.8419999999999998E-2</v>
      </c>
      <c r="I60" s="147">
        <f>ROUND(G60*H60,0)</f>
        <v>24640</v>
      </c>
      <c r="J60" s="118"/>
      <c r="K60" s="147">
        <f t="shared" ca="1" si="7"/>
        <v>1003.8752588979896</v>
      </c>
      <c r="L60" s="160">
        <f ca="1">L62</f>
        <v>4.0741740967813106E-2</v>
      </c>
      <c r="M60" s="161">
        <f t="shared" ca="1" si="8"/>
        <v>1.9727150976615107E-3</v>
      </c>
      <c r="N60" s="161">
        <v>1.7099999999999999E-3</v>
      </c>
      <c r="O60" s="161">
        <f ca="1">M60-N60</f>
        <v>2.6271509766151078E-4</v>
      </c>
    </row>
    <row r="61" spans="1:17">
      <c r="A61" s="93">
        <f>A60+1</f>
        <v>29</v>
      </c>
      <c r="B61" s="162" t="s">
        <v>233</v>
      </c>
      <c r="C61" s="121"/>
      <c r="D61" s="156"/>
      <c r="E61" s="159"/>
      <c r="F61" s="159"/>
      <c r="G61" s="163">
        <v>55491</v>
      </c>
      <c r="H61" s="239">
        <v>19.010000000000002</v>
      </c>
      <c r="I61" s="163">
        <f>G61*H61</f>
        <v>1054883.9100000001</v>
      </c>
      <c r="J61" s="118"/>
      <c r="K61" s="163">
        <f ca="1">M61*G61</f>
        <v>42977.807012333877</v>
      </c>
      <c r="L61" s="164">
        <f ca="1">L62</f>
        <v>4.0741740967813106E-2</v>
      </c>
      <c r="M61" s="165">
        <f t="shared" ca="1" si="8"/>
        <v>0.77450049579812719</v>
      </c>
      <c r="N61" s="165"/>
      <c r="O61" s="165"/>
      <c r="Q61" s="9"/>
    </row>
    <row r="62" spans="1:17">
      <c r="A62" s="93">
        <f>A61+1</f>
        <v>30</v>
      </c>
      <c r="B62" s="162" t="s">
        <v>234</v>
      </c>
      <c r="C62" s="121"/>
      <c r="D62" s="156"/>
      <c r="E62" s="159"/>
      <c r="F62" s="159"/>
      <c r="G62" s="147"/>
      <c r="H62" s="161"/>
      <c r="I62" s="147">
        <f>SUM(I57:I61)</f>
        <v>6914761.9100000001</v>
      </c>
      <c r="J62" s="118"/>
      <c r="K62" s="147">
        <f ca="1">'Exhibit 1.2'!G13</f>
        <v>281719.43859132059</v>
      </c>
      <c r="L62" s="138">
        <f ca="1">K62/I62</f>
        <v>4.0741740967813106E-2</v>
      </c>
      <c r="M62" s="166"/>
      <c r="N62" s="166"/>
      <c r="O62" s="166"/>
    </row>
    <row r="63" spans="1:17">
      <c r="A63" s="93"/>
      <c r="B63" s="162"/>
      <c r="C63" s="121"/>
      <c r="D63" s="156"/>
      <c r="E63" s="159"/>
      <c r="F63" s="159"/>
      <c r="G63" s="147"/>
      <c r="H63" s="161"/>
      <c r="I63" s="147"/>
      <c r="J63" s="118"/>
      <c r="K63" s="147"/>
      <c r="L63" s="138"/>
      <c r="M63" s="166"/>
      <c r="N63" s="166"/>
      <c r="O63" s="166"/>
    </row>
    <row r="64" spans="1:17" ht="13.5" thickBot="1">
      <c r="A64" s="93"/>
      <c r="B64" s="151"/>
      <c r="C64" s="167"/>
      <c r="D64" s="151"/>
      <c r="E64" s="168"/>
      <c r="F64" s="159"/>
      <c r="G64" s="169"/>
      <c r="H64" s="170"/>
      <c r="I64" s="134"/>
      <c r="J64" s="100"/>
      <c r="K64" s="134"/>
      <c r="L64" s="170"/>
      <c r="M64" s="134"/>
      <c r="N64" s="134"/>
      <c r="O64" s="134"/>
    </row>
    <row r="65" spans="1:15">
      <c r="A65" s="93"/>
      <c r="B65" s="156"/>
      <c r="C65" s="121"/>
      <c r="D65" s="156"/>
      <c r="E65" s="159"/>
      <c r="F65" s="159"/>
      <c r="G65" s="147"/>
      <c r="H65" s="166"/>
      <c r="I65" s="135"/>
      <c r="J65" s="100"/>
      <c r="K65" s="102" t="s">
        <v>202</v>
      </c>
      <c r="L65" s="166"/>
      <c r="M65" s="102" t="s">
        <v>202</v>
      </c>
      <c r="N65" s="102"/>
      <c r="O65" s="102"/>
    </row>
    <row r="66" spans="1:15">
      <c r="A66" s="93"/>
      <c r="B66" s="99" t="s">
        <v>235</v>
      </c>
      <c r="C66" s="100"/>
      <c r="D66" s="100"/>
      <c r="E66" s="103"/>
      <c r="F66" s="103"/>
      <c r="G66" s="250" t="s">
        <v>201</v>
      </c>
      <c r="H66" s="250"/>
      <c r="I66" s="250"/>
      <c r="J66" s="100"/>
      <c r="K66" s="102" t="s">
        <v>205</v>
      </c>
      <c r="L66" s="103" t="s">
        <v>223</v>
      </c>
      <c r="M66" s="102" t="s">
        <v>205</v>
      </c>
      <c r="N66" s="102"/>
      <c r="O66" s="102"/>
    </row>
    <row r="67" spans="1:15" ht="13.5" thickBot="1">
      <c r="A67" s="93"/>
      <c r="B67" s="104" t="s">
        <v>208</v>
      </c>
      <c r="C67" s="105"/>
      <c r="D67" s="105"/>
      <c r="E67" s="106" t="s">
        <v>209</v>
      </c>
      <c r="F67" s="107"/>
      <c r="G67" s="106" t="s">
        <v>209</v>
      </c>
      <c r="H67" s="106" t="s">
        <v>210</v>
      </c>
      <c r="I67" s="106" t="s">
        <v>211</v>
      </c>
      <c r="J67" s="100"/>
      <c r="K67" s="108" t="s">
        <v>154</v>
      </c>
      <c r="L67" s="108" t="s">
        <v>212</v>
      </c>
      <c r="M67" s="108" t="s">
        <v>213</v>
      </c>
      <c r="N67" s="108"/>
      <c r="O67" s="108"/>
    </row>
    <row r="68" spans="1:15">
      <c r="A68" s="93">
        <f>A62+1</f>
        <v>31</v>
      </c>
      <c r="B68" s="136" t="s">
        <v>224</v>
      </c>
      <c r="C68" s="110"/>
      <c r="D68" s="110" t="s">
        <v>225</v>
      </c>
      <c r="E68" s="120">
        <v>0</v>
      </c>
      <c r="F68" s="120"/>
      <c r="G68" s="112">
        <v>32256</v>
      </c>
      <c r="H68" s="240">
        <v>0.65141000000000004</v>
      </c>
      <c r="I68" s="171">
        <f>G68*H68</f>
        <v>21011.880960000002</v>
      </c>
      <c r="J68" s="118"/>
      <c r="K68" s="112">
        <f ca="1">'Exhibit 1.2'!G14</f>
        <v>846.60648559635729</v>
      </c>
      <c r="L68" s="116">
        <f ca="1">K68/I68</f>
        <v>4.0291799063969055E-2</v>
      </c>
      <c r="M68" s="113">
        <f t="shared" ref="M68" ca="1" si="9">L68*H68</f>
        <v>2.6246480828260085E-2</v>
      </c>
      <c r="N68" s="113">
        <v>2.333E-2</v>
      </c>
      <c r="O68" s="113">
        <f ca="1">M68-N68</f>
        <v>2.9164808282600846E-3</v>
      </c>
    </row>
    <row r="69" spans="1:15">
      <c r="A69" s="93">
        <f>A68+1</f>
        <v>32</v>
      </c>
      <c r="B69" s="122" t="s">
        <v>220</v>
      </c>
      <c r="C69" s="95"/>
      <c r="D69" s="110"/>
      <c r="E69" s="120"/>
      <c r="F69" s="120"/>
      <c r="G69" s="150">
        <f>SUM(G68)</f>
        <v>32256</v>
      </c>
      <c r="H69" s="172"/>
      <c r="I69" s="150">
        <f>SUM(I68)</f>
        <v>21011.880960000002</v>
      </c>
      <c r="J69" s="118"/>
      <c r="K69" s="147"/>
      <c r="L69" s="148"/>
      <c r="M69" s="147"/>
      <c r="N69" s="147"/>
      <c r="O69" s="147"/>
    </row>
    <row r="70" spans="1:15">
      <c r="A70" s="93"/>
      <c r="B70" s="156"/>
      <c r="C70" s="127"/>
      <c r="D70" s="127"/>
      <c r="E70" s="128"/>
      <c r="F70" s="128"/>
      <c r="G70" s="129"/>
      <c r="H70" s="130"/>
      <c r="I70" s="131"/>
      <c r="J70" s="118"/>
      <c r="K70" s="129"/>
      <c r="L70" s="130"/>
      <c r="M70" s="131"/>
      <c r="N70" s="131"/>
      <c r="O70" s="131"/>
    </row>
    <row r="71" spans="1:15" ht="13.5" thickBot="1">
      <c r="A71" s="93">
        <f>A69+1</f>
        <v>33</v>
      </c>
      <c r="B71" s="95"/>
      <c r="C71" s="95"/>
      <c r="D71" s="95"/>
      <c r="E71" s="96"/>
      <c r="F71" s="96"/>
      <c r="G71" s="95"/>
      <c r="H71" s="95"/>
      <c r="I71" s="173" t="s">
        <v>88</v>
      </c>
      <c r="J71" s="97"/>
      <c r="K71" s="174">
        <f ca="1">SUM(K68,K62,K51,K41,K32,K19,K12)</f>
        <v>10879957.766172135</v>
      </c>
      <c r="L71" s="95"/>
      <c r="M71" s="95"/>
      <c r="N71" s="95"/>
      <c r="O71" s="95"/>
    </row>
    <row r="72" spans="1:15" ht="13.5" thickTop="1"/>
    <row r="74" spans="1:15">
      <c r="G74" s="216"/>
    </row>
  </sheetData>
  <mergeCells count="8">
    <mergeCell ref="G55:I55"/>
    <mergeCell ref="G66:I66"/>
    <mergeCell ref="B1:M1"/>
    <mergeCell ref="G4:I4"/>
    <mergeCell ref="G17:I17"/>
    <mergeCell ref="G23:I23"/>
    <mergeCell ref="G36:I36"/>
    <mergeCell ref="G45:I45"/>
  </mergeCells>
  <pageMargins left="0.7" right="0.7" top="0.81968750000000001" bottom="0.75" header="0.3" footer="0.3"/>
  <pageSetup scale="61" orientation="portrait" r:id="rId1"/>
  <headerFooter scaleWithDoc="0">
    <oddHeader>&amp;RQuestar Gas Company
Docket 12-057-12
Exhibit 1.3</oddHeader>
  </headerFooter>
</worksheet>
</file>

<file path=xl/worksheets/sheet6.xml><?xml version="1.0" encoding="utf-8"?>
<worksheet xmlns="http://schemas.openxmlformats.org/spreadsheetml/2006/main" xmlns:r="http://schemas.openxmlformats.org/officeDocument/2006/relationships">
  <dimension ref="A1:J39"/>
  <sheetViews>
    <sheetView view="pageLayout" zoomScaleNormal="100" workbookViewId="0">
      <selection activeCell="K8" sqref="K8"/>
    </sheetView>
  </sheetViews>
  <sheetFormatPr defaultRowHeight="12.75"/>
  <cols>
    <col min="1" max="1" width="5" customWidth="1"/>
    <col min="2" max="2" width="8.7109375" bestFit="1" customWidth="1"/>
    <col min="3" max="3" width="9" customWidth="1"/>
    <col min="4" max="4" width="10.42578125" customWidth="1"/>
    <col min="5" max="5" width="14.140625" customWidth="1"/>
    <col min="6" max="6" width="3.5703125" customWidth="1"/>
    <col min="7" max="7" width="12.7109375" customWidth="1"/>
    <col min="8" max="8" width="2.85546875" customWidth="1"/>
    <col min="9" max="9" width="12.7109375" customWidth="1"/>
    <col min="10" max="10" width="2.85546875" customWidth="1"/>
  </cols>
  <sheetData>
    <row r="1" spans="1:10">
      <c r="A1" s="175"/>
      <c r="B1" s="259" t="s">
        <v>236</v>
      </c>
      <c r="C1" s="260"/>
      <c r="D1" s="260"/>
      <c r="E1" s="260"/>
      <c r="F1" s="260"/>
      <c r="G1" s="260"/>
      <c r="H1" s="260"/>
      <c r="I1" s="260"/>
      <c r="J1" s="176"/>
    </row>
    <row r="2" spans="1:10">
      <c r="A2" s="175"/>
      <c r="B2" s="259" t="s">
        <v>237</v>
      </c>
      <c r="C2" s="260"/>
      <c r="D2" s="260"/>
      <c r="E2" s="260"/>
      <c r="F2" s="260"/>
      <c r="G2" s="260"/>
      <c r="H2" s="260"/>
      <c r="I2" s="260"/>
      <c r="J2" s="176"/>
    </row>
    <row r="3" spans="1:10">
      <c r="A3" s="175"/>
      <c r="B3" s="175"/>
      <c r="C3" s="177"/>
      <c r="D3" s="175"/>
      <c r="E3" s="175"/>
      <c r="F3" s="175"/>
      <c r="G3" s="175"/>
      <c r="H3" s="175"/>
      <c r="I3" s="175"/>
      <c r="J3" s="175"/>
    </row>
    <row r="4" spans="1:10">
      <c r="A4" s="175"/>
      <c r="B4" s="175"/>
      <c r="C4" s="177"/>
      <c r="D4" s="175"/>
      <c r="E4" s="175"/>
      <c r="F4" s="175"/>
      <c r="G4" s="175"/>
      <c r="H4" s="175"/>
      <c r="I4" s="175"/>
      <c r="J4" s="175"/>
    </row>
    <row r="5" spans="1:10">
      <c r="A5" s="175"/>
      <c r="B5" s="178" t="s">
        <v>238</v>
      </c>
      <c r="C5" s="178" t="s">
        <v>239</v>
      </c>
      <c r="D5" s="179" t="s">
        <v>240</v>
      </c>
      <c r="E5" s="261" t="s">
        <v>241</v>
      </c>
      <c r="F5" s="261"/>
      <c r="G5" s="261" t="s">
        <v>242</v>
      </c>
      <c r="H5" s="261"/>
      <c r="I5" s="261" t="s">
        <v>243</v>
      </c>
      <c r="J5" s="261"/>
    </row>
    <row r="6" spans="1:10">
      <c r="A6" s="175"/>
      <c r="B6" s="180"/>
      <c r="C6" s="176"/>
      <c r="D6" s="180"/>
      <c r="E6" s="259" t="s">
        <v>244</v>
      </c>
      <c r="F6" s="260"/>
      <c r="G6" s="259" t="s">
        <v>245</v>
      </c>
      <c r="H6" s="260"/>
      <c r="I6" s="180"/>
      <c r="J6" s="180"/>
    </row>
    <row r="7" spans="1:10">
      <c r="A7" s="181"/>
      <c r="B7" s="182" t="s">
        <v>213</v>
      </c>
      <c r="C7" s="182"/>
      <c r="D7" s="183" t="s">
        <v>246</v>
      </c>
      <c r="E7" s="252" t="s">
        <v>247</v>
      </c>
      <c r="F7" s="253"/>
      <c r="G7" s="254" t="s">
        <v>248</v>
      </c>
      <c r="H7" s="255"/>
      <c r="I7" s="184"/>
      <c r="J7" s="184"/>
    </row>
    <row r="8" spans="1:10" ht="13.5" thickBot="1">
      <c r="A8" s="185"/>
      <c r="B8" s="186" t="s">
        <v>249</v>
      </c>
      <c r="C8" s="186" t="s">
        <v>250</v>
      </c>
      <c r="D8" s="187" t="s">
        <v>251</v>
      </c>
      <c r="E8" s="256" t="str">
        <f>A39</f>
        <v>2/1/12</v>
      </c>
      <c r="F8" s="256"/>
      <c r="G8" s="257" t="s">
        <v>252</v>
      </c>
      <c r="H8" s="258"/>
      <c r="I8" s="188" t="s">
        <v>253</v>
      </c>
      <c r="J8" s="186"/>
    </row>
    <row r="9" spans="1:10">
      <c r="A9" s="175"/>
      <c r="B9" s="175"/>
      <c r="C9" s="177"/>
      <c r="D9" s="175"/>
      <c r="E9" s="175"/>
      <c r="F9" s="175"/>
      <c r="G9" s="175"/>
      <c r="H9" s="175"/>
      <c r="I9" s="175"/>
      <c r="J9" s="175"/>
    </row>
    <row r="10" spans="1:10">
      <c r="A10" s="177">
        <v>1</v>
      </c>
      <c r="B10" s="177" t="s">
        <v>182</v>
      </c>
      <c r="C10" s="177" t="s">
        <v>254</v>
      </c>
      <c r="D10" s="189">
        <v>14.9</v>
      </c>
      <c r="E10" s="190">
        <f>ROUND((D10*$D$39)+$B$39,2)</f>
        <v>125.21</v>
      </c>
      <c r="F10" s="190"/>
      <c r="G10" s="190">
        <f ca="1">ROUND((D10*$D$36)+$B$36,2)</f>
        <v>125.55</v>
      </c>
      <c r="H10" s="190"/>
      <c r="I10" s="190">
        <f ca="1">G10-E10</f>
        <v>0.34000000000000341</v>
      </c>
      <c r="J10" s="190"/>
    </row>
    <row r="11" spans="1:10">
      <c r="A11" s="177">
        <f t="shared" ref="A11:A21" si="0">A10+1</f>
        <v>2</v>
      </c>
      <c r="B11" s="175"/>
      <c r="C11" s="177" t="s">
        <v>255</v>
      </c>
      <c r="D11" s="189">
        <v>12.5</v>
      </c>
      <c r="E11" s="191">
        <f>ROUND((D11*$D$39)+$B$39,2)</f>
        <v>105.85</v>
      </c>
      <c r="F11" s="191"/>
      <c r="G11" s="191">
        <f t="shared" ref="G11:G12" ca="1" si="1">ROUND((D11*$D$36)+$B$36,2)</f>
        <v>106.13</v>
      </c>
      <c r="H11" s="191"/>
      <c r="I11" s="191">
        <f t="shared" ref="I11:I21" ca="1" si="2">G11-E11</f>
        <v>0.28000000000000114</v>
      </c>
      <c r="J11" s="191"/>
    </row>
    <row r="12" spans="1:10">
      <c r="A12" s="177">
        <f t="shared" si="0"/>
        <v>3</v>
      </c>
      <c r="B12" s="175"/>
      <c r="C12" s="177" t="s">
        <v>256</v>
      </c>
      <c r="D12" s="189">
        <v>10.1</v>
      </c>
      <c r="E12" s="191">
        <f>ROUND((D12*$D$39)+$B$39,2)</f>
        <v>86.48</v>
      </c>
      <c r="F12" s="191"/>
      <c r="G12" s="191">
        <f t="shared" ca="1" si="1"/>
        <v>86.71</v>
      </c>
      <c r="H12" s="191"/>
      <c r="I12" s="191">
        <f t="shared" ca="1" si="2"/>
        <v>0.22999999999998977</v>
      </c>
      <c r="J12" s="191"/>
    </row>
    <row r="13" spans="1:10">
      <c r="A13" s="177">
        <f t="shared" si="0"/>
        <v>4</v>
      </c>
      <c r="B13" s="175"/>
      <c r="C13" s="177" t="s">
        <v>257</v>
      </c>
      <c r="D13" s="189">
        <v>8.3000000000000007</v>
      </c>
      <c r="E13" s="191">
        <f>ROUND((D13*$C$39)+$B$39,2)</f>
        <v>63.79</v>
      </c>
      <c r="F13" s="191"/>
      <c r="G13" s="191">
        <f ca="1">ROUND((D13*$C$36)+$B$36,2)</f>
        <v>63.94</v>
      </c>
      <c r="H13" s="191"/>
      <c r="I13" s="191">
        <f t="shared" ca="1" si="2"/>
        <v>0.14999999999999858</v>
      </c>
      <c r="J13" s="191"/>
    </row>
    <row r="14" spans="1:10">
      <c r="A14" s="177">
        <f t="shared" si="0"/>
        <v>5</v>
      </c>
      <c r="B14" s="175"/>
      <c r="C14" s="177" t="s">
        <v>258</v>
      </c>
      <c r="D14" s="189">
        <v>4.4000000000000004</v>
      </c>
      <c r="E14" s="191">
        <f t="shared" ref="E14:E19" si="3">ROUND((D14*$C$39)+$B$39,2)</f>
        <v>36.159999999999997</v>
      </c>
      <c r="F14" s="191"/>
      <c r="G14" s="191">
        <f t="shared" ref="G14:G19" ca="1" si="4">ROUND((D14*$C$36)+$B$36,2)</f>
        <v>36.25</v>
      </c>
      <c r="H14" s="191"/>
      <c r="I14" s="191">
        <f t="shared" ca="1" si="2"/>
        <v>9.0000000000003411E-2</v>
      </c>
      <c r="J14" s="191"/>
    </row>
    <row r="15" spans="1:10">
      <c r="A15" s="177">
        <f t="shared" si="0"/>
        <v>6</v>
      </c>
      <c r="B15" s="175"/>
      <c r="C15" s="177" t="s">
        <v>259</v>
      </c>
      <c r="D15" s="189">
        <v>3.1</v>
      </c>
      <c r="E15" s="191">
        <f t="shared" si="3"/>
        <v>26.96</v>
      </c>
      <c r="F15" s="191"/>
      <c r="G15" s="191">
        <f t="shared" ca="1" si="4"/>
        <v>27.01</v>
      </c>
      <c r="H15" s="191"/>
      <c r="I15" s="191">
        <f t="shared" ca="1" si="2"/>
        <v>5.0000000000000711E-2</v>
      </c>
      <c r="J15" s="191"/>
    </row>
    <row r="16" spans="1:10">
      <c r="A16" s="177">
        <f t="shared" si="0"/>
        <v>7</v>
      </c>
      <c r="B16" s="175"/>
      <c r="C16" s="177" t="s">
        <v>260</v>
      </c>
      <c r="D16" s="189">
        <v>2</v>
      </c>
      <c r="E16" s="191">
        <f t="shared" si="3"/>
        <v>19.170000000000002</v>
      </c>
      <c r="F16" s="191"/>
      <c r="G16" s="191">
        <f t="shared" ca="1" si="4"/>
        <v>19.2</v>
      </c>
      <c r="H16" s="191"/>
      <c r="I16" s="191">
        <f t="shared" ca="1" si="2"/>
        <v>2.9999999999997584E-2</v>
      </c>
      <c r="J16" s="191"/>
    </row>
    <row r="17" spans="1:10">
      <c r="A17" s="177">
        <f t="shared" si="0"/>
        <v>8</v>
      </c>
      <c r="B17" s="175"/>
      <c r="C17" s="177" t="s">
        <v>261</v>
      </c>
      <c r="D17" s="189">
        <v>1.8</v>
      </c>
      <c r="E17" s="191">
        <f t="shared" si="3"/>
        <v>17.75</v>
      </c>
      <c r="F17" s="191"/>
      <c r="G17" s="191">
        <f t="shared" ca="1" si="4"/>
        <v>17.78</v>
      </c>
      <c r="H17" s="191"/>
      <c r="I17" s="191">
        <f t="shared" ca="1" si="2"/>
        <v>3.0000000000001137E-2</v>
      </c>
      <c r="J17" s="191"/>
    </row>
    <row r="18" spans="1:10">
      <c r="A18" s="177">
        <f t="shared" si="0"/>
        <v>9</v>
      </c>
      <c r="B18" s="175"/>
      <c r="C18" s="177" t="s">
        <v>262</v>
      </c>
      <c r="D18" s="189">
        <v>2</v>
      </c>
      <c r="E18" s="191">
        <f t="shared" si="3"/>
        <v>19.170000000000002</v>
      </c>
      <c r="F18" s="191"/>
      <c r="G18" s="191">
        <f t="shared" ca="1" si="4"/>
        <v>19.2</v>
      </c>
      <c r="H18" s="191"/>
      <c r="I18" s="191">
        <f t="shared" ca="1" si="2"/>
        <v>2.9999999999997584E-2</v>
      </c>
      <c r="J18" s="191"/>
    </row>
    <row r="19" spans="1:10">
      <c r="A19" s="177">
        <f t="shared" si="0"/>
        <v>10</v>
      </c>
      <c r="B19" s="175"/>
      <c r="C19" s="177" t="s">
        <v>263</v>
      </c>
      <c r="D19" s="189">
        <v>3.1</v>
      </c>
      <c r="E19" s="191">
        <f t="shared" si="3"/>
        <v>26.96</v>
      </c>
      <c r="F19" s="191"/>
      <c r="G19" s="191">
        <f t="shared" ca="1" si="4"/>
        <v>27.01</v>
      </c>
      <c r="H19" s="191"/>
      <c r="I19" s="191">
        <f t="shared" ca="1" si="2"/>
        <v>5.0000000000000711E-2</v>
      </c>
      <c r="J19" s="191"/>
    </row>
    <row r="20" spans="1:10">
      <c r="A20" s="177">
        <f t="shared" si="0"/>
        <v>11</v>
      </c>
      <c r="B20" s="175"/>
      <c r="C20" s="177" t="s">
        <v>264</v>
      </c>
      <c r="D20" s="189">
        <v>6.3</v>
      </c>
      <c r="E20" s="191">
        <f>ROUND((D20*$D$39)+$B$39,2)</f>
        <v>55.83</v>
      </c>
      <c r="F20" s="191"/>
      <c r="G20" s="191">
        <f t="shared" ref="G20:G21" ca="1" si="5">ROUND((D20*$D$36)+$B$36,2)</f>
        <v>55.97</v>
      </c>
      <c r="H20" s="191"/>
      <c r="I20" s="191">
        <f t="shared" ca="1" si="2"/>
        <v>0.14000000000000057</v>
      </c>
      <c r="J20" s="191"/>
    </row>
    <row r="21" spans="1:10">
      <c r="A21" s="177">
        <f t="shared" si="0"/>
        <v>12</v>
      </c>
      <c r="B21" s="175"/>
      <c r="C21" s="177" t="s">
        <v>265</v>
      </c>
      <c r="D21" s="189">
        <v>11.5</v>
      </c>
      <c r="E21" s="191">
        <f>ROUND((D21*$D$39)+$B$39,2)</f>
        <v>97.78</v>
      </c>
      <c r="F21" s="191"/>
      <c r="G21" s="191">
        <f t="shared" ca="1" si="5"/>
        <v>98.04</v>
      </c>
      <c r="H21" s="191"/>
      <c r="I21" s="191">
        <f t="shared" ca="1" si="2"/>
        <v>0.26000000000000512</v>
      </c>
      <c r="J21" s="191"/>
    </row>
    <row r="22" spans="1:10" ht="13.5" thickBot="1">
      <c r="A22" s="177"/>
      <c r="B22" s="175"/>
      <c r="C22" s="177"/>
      <c r="D22" s="192"/>
      <c r="E22" s="193"/>
      <c r="F22" s="193"/>
      <c r="G22" s="193"/>
      <c r="H22" s="193"/>
      <c r="I22" s="194"/>
      <c r="J22" s="195"/>
    </row>
    <row r="23" spans="1:10" ht="13.5" thickTop="1">
      <c r="A23" s="177"/>
      <c r="B23" s="175"/>
      <c r="C23" s="177"/>
      <c r="D23" s="196"/>
      <c r="E23" s="197"/>
      <c r="F23" s="197"/>
      <c r="G23" s="177"/>
      <c r="H23" s="177"/>
      <c r="I23" s="197" t="s">
        <v>266</v>
      </c>
      <c r="J23" s="197"/>
    </row>
    <row r="24" spans="1:10">
      <c r="A24" s="177">
        <f>A21+1</f>
        <v>13</v>
      </c>
      <c r="B24" s="175"/>
      <c r="C24" s="198" t="s">
        <v>88</v>
      </c>
      <c r="D24" s="199">
        <f>SUM(D10:D23)</f>
        <v>80</v>
      </c>
      <c r="E24" s="190">
        <f>SUM(E10:E21)</f>
        <v>681.11</v>
      </c>
      <c r="F24" s="190"/>
      <c r="G24" s="190">
        <f ca="1">SUM(G10:G21)</f>
        <v>682.79</v>
      </c>
      <c r="H24" s="190"/>
      <c r="I24" s="190">
        <f ca="1">SUM(I10:I21)</f>
        <v>1.6799999999999997</v>
      </c>
      <c r="J24" s="190"/>
    </row>
    <row r="25" spans="1:10">
      <c r="A25" s="175"/>
      <c r="B25" s="175"/>
      <c r="C25" s="177"/>
      <c r="D25" s="175"/>
      <c r="E25" s="200"/>
      <c r="F25" s="200"/>
      <c r="G25" s="175"/>
      <c r="H25" s="175"/>
      <c r="I25" s="175"/>
      <c r="J25" s="175"/>
    </row>
    <row r="26" spans="1:10">
      <c r="A26" s="175"/>
      <c r="B26" s="175" t="s">
        <v>266</v>
      </c>
      <c r="C26" s="177"/>
      <c r="D26" s="175"/>
      <c r="E26" s="175"/>
      <c r="F26" s="175"/>
      <c r="G26" s="201" t="s">
        <v>267</v>
      </c>
      <c r="H26" s="201"/>
      <c r="I26" s="202">
        <f ca="1">ROUND(I24/E24,4)*100</f>
        <v>0.25</v>
      </c>
      <c r="J26" s="203" t="s">
        <v>268</v>
      </c>
    </row>
    <row r="34" spans="1:4">
      <c r="A34" s="204"/>
      <c r="B34" s="205"/>
      <c r="C34" s="74" t="s">
        <v>219</v>
      </c>
      <c r="D34" s="74" t="s">
        <v>214</v>
      </c>
    </row>
    <row r="35" spans="1:4" ht="13.5" thickBot="1">
      <c r="A35" s="205"/>
      <c r="B35" s="206" t="s">
        <v>269</v>
      </c>
      <c r="C35" s="207" t="s">
        <v>270</v>
      </c>
      <c r="D35" s="207" t="s">
        <v>270</v>
      </c>
    </row>
    <row r="36" spans="1:4">
      <c r="A36" s="208" t="s">
        <v>271</v>
      </c>
      <c r="B36" s="209">
        <v>5</v>
      </c>
      <c r="C36" s="210">
        <f ca="1">C39+'Exhibit 1.3'!O10</f>
        <v>7.1015335235494508</v>
      </c>
      <c r="D36" s="210">
        <f ca="1">D39+'Exhibit 1.3'!O7</f>
        <v>8.0902971021695365</v>
      </c>
    </row>
    <row r="37" spans="1:4">
      <c r="A37" s="208"/>
      <c r="B37" s="209"/>
      <c r="C37" s="210"/>
      <c r="D37" s="210"/>
    </row>
    <row r="38" spans="1:4">
      <c r="A38" s="205" t="s">
        <v>272</v>
      </c>
      <c r="B38" s="209"/>
      <c r="C38" s="211"/>
      <c r="D38" s="211"/>
    </row>
    <row r="39" spans="1:4">
      <c r="A39" s="212" t="s">
        <v>375</v>
      </c>
      <c r="B39" s="209">
        <v>5</v>
      </c>
      <c r="C39" s="213">
        <v>7.0826000000000002</v>
      </c>
      <c r="D39" s="213">
        <v>8.0678099999999997</v>
      </c>
    </row>
  </sheetData>
  <mergeCells count="11">
    <mergeCell ref="E7:F7"/>
    <mergeCell ref="G7:H7"/>
    <mergeCell ref="E8:F8"/>
    <mergeCell ref="G8:H8"/>
    <mergeCell ref="B1:I1"/>
    <mergeCell ref="B2:I2"/>
    <mergeCell ref="E5:F5"/>
    <mergeCell ref="G5:H5"/>
    <mergeCell ref="I5:J5"/>
    <mergeCell ref="E6:F6"/>
    <mergeCell ref="G6:H6"/>
  </mergeCells>
  <pageMargins left="0.7" right="0.7" top="0.84375" bottom="0.75" header="0.3" footer="0.3"/>
  <pageSetup orientation="portrait" r:id="rId1"/>
  <headerFooter scaleWithDoc="0">
    <oddHeader>&amp;RQuestar Gas Company
Docket 12-057-12
Exhibit 1.4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Calculations</vt:lpstr>
      <vt:lpstr>Exhibit 1.1</vt:lpstr>
      <vt:lpstr>Exhibit 1.1 Page 4</vt:lpstr>
      <vt:lpstr>Exhibit 1.2</vt:lpstr>
      <vt:lpstr>Exhibit 1.3</vt:lpstr>
      <vt:lpstr>Exhibit 1.4</vt:lpstr>
      <vt:lpstr>Cumulative_Investment</vt:lpstr>
      <vt:lpstr>'Exhibit 1.1'!Print_Area</vt:lpstr>
      <vt:lpstr>'Exhibit 1.1 Page 4'!Print_Area</vt:lpstr>
      <vt:lpstr>'Exhibit 1.2'!Print_Area</vt:lpstr>
      <vt:lpstr>'Exhibit 1.3'!Print_Area</vt:lpstr>
      <vt:lpstr>'Exhibit 1.4'!Print_Area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Summers</dc:creator>
  <cp:lastModifiedBy>Melissa Robyn Paschal</cp:lastModifiedBy>
  <cp:lastPrinted>2012-07-31T19:56:04Z</cp:lastPrinted>
  <dcterms:created xsi:type="dcterms:W3CDTF">2011-08-18T22:49:59Z</dcterms:created>
  <dcterms:modified xsi:type="dcterms:W3CDTF">2012-08-02T20:35:30Z</dcterms:modified>
</cp:coreProperties>
</file>